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9.xml" ContentType="application/vnd.openxmlformats-officedocument.drawing+xml"/>
  <Override PartName="/xl/queryTables/queryTable1.xml" ContentType="application/vnd.openxmlformats-officedocument.spreadsheetml.queryTable+xml"/>
  <Override PartName="/xl/drawings/drawing10.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11.xml" ContentType="application/vnd.openxmlformats-officedocument.drawing+xml"/>
  <Override PartName="/xl/drawings/drawing1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15.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16.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Ex1.xml" ContentType="application/vnd.ms-office.chartex+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charts/chartEx2.xml" ContentType="application/vnd.ms-office.chartex+xml"/>
  <Override PartName="/xl/charts/style43.xml" ContentType="application/vnd.ms-office.chartstyle+xml"/>
  <Override PartName="/xl/charts/colors43.xml" ContentType="application/vnd.ms-office.chartcolorstyle+xml"/>
  <Override PartName="/xl/charts/chartEx3.xml" ContentType="application/vnd.ms-office.chartex+xml"/>
  <Override PartName="/xl/charts/style44.xml" ContentType="application/vnd.ms-office.chartstyle+xml"/>
  <Override PartName="/xl/charts/colors4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treyer_k\Documents\PSI\AEGIS-CH\Publication\SP1_SP2_SP4\"/>
    </mc:Choice>
  </mc:AlternateContent>
  <xr:revisionPtr revIDLastSave="0" documentId="13_ncr:20001_{FB30D5B6-3570-454D-B490-B37B84207880}" xr6:coauthVersionLast="47" xr6:coauthVersionMax="47" xr10:uidLastSave="{00000000-0000-0000-0000-000000000000}"/>
  <bookViews>
    <workbookView xWindow="-120" yWindow="-120" windowWidth="29040" windowHeight="17520" tabRatio="899" firstSheet="1" activeTab="5" xr2:uid="{6BB84362-AA55-4DBB-A52B-60AA1C8D14BC}"/>
  </bookViews>
  <sheets>
    <sheet name="readme" sheetId="1" r:id="rId1"/>
    <sheet name="mapping" sheetId="25" r:id="rId2"/>
    <sheet name="Plant_parameters" sheetId="8" r:id="rId3"/>
    <sheet name="Sheet1" sheetId="31" r:id="rId4"/>
    <sheet name="LCIA_CC" sheetId="23" r:id="rId5"/>
    <sheet name="ags_CA_seed" sheetId="37" r:id="rId6"/>
    <sheet name="LCIA_CH_20250508" sheetId="33" r:id="rId7"/>
    <sheet name="LCIA_CH_20250512" sheetId="35" r:id="rId8"/>
    <sheet name="LCA_Shortlist" sheetId="36" r:id="rId9"/>
    <sheet name="LCIA_ADP" sheetId="34" r:id="rId10"/>
    <sheet name="LCI_ags" sheetId="18" r:id="rId11"/>
    <sheet name="LCI_CO2" sheetId="22" r:id="rId12"/>
    <sheet name="literature_CO2_cond_transp" sheetId="21" r:id="rId13"/>
    <sheet name="CO2" sheetId="20" r:id="rId14"/>
    <sheet name="Drilling_summary" sheetId="30" r:id="rId15"/>
    <sheet name="Drilling - PPGD rig" sheetId="12" r:id="rId16"/>
    <sheet name="Drilling - time" sheetId="10" r:id="rId17"/>
    <sheet name="Drilling - well design" sheetId="13" r:id="rId18"/>
    <sheet name="Drilling - energy_material_6km" sheetId="3" r:id="rId19"/>
    <sheet name="Drilling - energy_material_8" sheetId="27" r:id="rId20"/>
    <sheet name="Drilling - energy_material_4_5" sheetId="28" r:id="rId21"/>
    <sheet name="Drilling - fluid" sheetId="32" r:id="rId22"/>
    <sheet name="Surface plant" sheetId="4" r:id="rId23"/>
    <sheet name="O&amp;M" sheetId="5" r:id="rId24"/>
    <sheet name="EoL" sheetId="6" r:id="rId25"/>
    <sheet name="Polygons_files" sheetId="9" r:id="rId26"/>
    <sheet name="CH_polygons_ppgd_co2" sheetId="16" r:id="rId27"/>
    <sheet name="AGS CO2 PPGD" sheetId="15" r:id="rId28"/>
    <sheet name="drilling_energy_TS_ETH" sheetId="29" r:id="rId29"/>
    <sheet name="Electricity_mixes" sheetId="24" r:id="rId30"/>
    <sheet name="LCI_CHelectricity" sheetId="26"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27" hidden="1">'AGS CO2 PPGD'!$A$1:$AK$134</definedName>
    <definedName name="_xlnm._FilterDatabase" localSheetId="5" hidden="1">ags_CA_seed!$A$24:$L$1677</definedName>
    <definedName name="_xlnm._FilterDatabase" localSheetId="9" hidden="1">LCIA_ADP!$I$47:$AB$67</definedName>
    <definedName name="_xlnm._FilterDatabase" localSheetId="4" hidden="1">LCIA_CC!$I$47:$AB$68</definedName>
    <definedName name="_xlchart.v1.0" hidden="1">CH_polygons_ppgd_co2!$AD$2:$AD$129</definedName>
    <definedName name="_xlchart.v1.1" hidden="1">'AGS CO2 PPGD'!$V$1</definedName>
    <definedName name="_xlchart.v1.2" hidden="1">'AGS CO2 PPGD'!$V$2:$V$129</definedName>
    <definedName name="_xlchart.v1.3" hidden="1">'AGS CO2 PPGD'!$P$1</definedName>
    <definedName name="_xlchart.v1.4" hidden="1">'AGS CO2 PPGD'!$P$2:$P$129</definedName>
    <definedName name="aerobrewdb">#REF!</definedName>
    <definedName name="aeroSAF_kg">#REF!</definedName>
    <definedName name="aeroSAF_withFGrec_kg">#REF!</definedName>
    <definedName name="biogas_ch4_allocation_energy">#REF!</definedName>
    <definedName name="biogas_co2_allocation_energy">#REF!</definedName>
    <definedName name="biomassdrydb">#REF!</definedName>
    <definedName name="biomdigestdb">#REF!</definedName>
    <definedName name="biospheredb">#REF!</definedName>
    <definedName name="biospherev310">readme!$D$27</definedName>
    <definedName name="capacity_factor">Plant_parameters!$D$13</definedName>
    <definedName name="ch">#REF!</definedName>
    <definedName name="CH4_5545">#REF!</definedName>
    <definedName name="ch4_allocation_madeup">#REF!</definedName>
    <definedName name="cm_per_inch">readme!$C$17</definedName>
    <definedName name="CO2_input_4_5km">'CO2'!$C$34</definedName>
    <definedName name="CO2_input_6km">'CO2'!$C$33</definedName>
    <definedName name="CO2_input_8km">'CO2'!$C$35</definedName>
    <definedName name="co2_per_kWh_6km" localSheetId="9">LCIA_ADP!$M$33</definedName>
    <definedName name="co2_per_kWh_6km">LCIA_CC!$M$33</definedName>
    <definedName name="co2_tons_4_5km">'CO2'!$C$29</definedName>
    <definedName name="co2_tons_6km">'CO2'!$C$28</definedName>
    <definedName name="co2_tons_8km">'CO2'!$C$30</definedName>
    <definedName name="CO2conddb">#REF!</definedName>
    <definedName name="db_co2">LCI_CO2!$B$1</definedName>
    <definedName name="diesel">Plant_parameters!$C$33</definedName>
    <definedName name="distance_co2_transport">literature_CO2_cond_transp!$B$396</definedName>
    <definedName name="ecoinventdb">#REF!</definedName>
    <definedName name="ecoinventv310">readme!$D$26</definedName>
    <definedName name="electrolysisdb">#REF!</definedName>
    <definedName name="ExternalData_1" localSheetId="12" hidden="1">literature_CO2_cond_transp!$B$121:$F$127</definedName>
    <definedName name="flag_electr">#REF!</definedName>
    <definedName name="flag_transp_pipe">#REF!</definedName>
    <definedName name="flag_transp_truck">#REF!</definedName>
    <definedName name="glo">#REF!</definedName>
    <definedName name="h_per_a">Plant_parameters!$D$14</definedName>
    <definedName name="h2transportdb">#REF!</definedName>
    <definedName name="hpa">#REF!</definedName>
    <definedName name="hydro_reservoir">Electricity_mixes!$N$451</definedName>
    <definedName name="hydro_run">Electricity_mixes!$N$452</definedName>
    <definedName name="imports" localSheetId="12">literature_CO2_cond_transp!$B$38:$E$40</definedName>
    <definedName name="kWh_per_m_ppgd">'Drilling - energy_material_6km'!$O$76</definedName>
    <definedName name="kWh_per_m_rotary">'Drilling - energy_material_6km'!$P$76</definedName>
    <definedName name="kWh_per_MJ">readme!$C$21</definedName>
    <definedName name="LCIA_CC_cement_BAU_2030" localSheetId="9">LCIA_ADP!$Q$79</definedName>
    <definedName name="LCIA_CC_cement_BAU_2030">LCIA_CC!$Q$80</definedName>
    <definedName name="LCIA_CC_cement_BAU_2040" localSheetId="9">LCIA_ADP!$R$79</definedName>
    <definedName name="LCIA_CC_cement_BAU_2040">LCIA_CC!$R$80</definedName>
    <definedName name="LCIA_CC_cement_BAU_2050" localSheetId="9">LCIA_ADP!$S$79</definedName>
    <definedName name="LCIA_CC_cement_BAU_2050">LCIA_CC!$S$80</definedName>
    <definedName name="LCIA_CC_cement_ev_2020" localSheetId="9">LCIA_ADP!$P$79</definedName>
    <definedName name="LCIA_CC_cement_ev_2020">LCIA_CC!$P$80</definedName>
    <definedName name="LCIA_CC_cement_LOW_2030" localSheetId="9">LCIA_ADP!$T$79</definedName>
    <definedName name="LCIA_CC_cement_LOW_2030">LCIA_CC!$T$80</definedName>
    <definedName name="LCIA_CC_cement_LOW_2040" localSheetId="9">LCIA_ADP!$U$79</definedName>
    <definedName name="LCIA_CC_cement_LOW_2040">LCIA_CC!$U$80</definedName>
    <definedName name="LCIA_CC_cement_LOW_2050" localSheetId="9">LCIA_ADP!$V$79</definedName>
    <definedName name="LCIA_CC_cement_LOW_2050">LCIA_CC!$V$80</definedName>
    <definedName name="LCIA_CC_ch_el_BAU_2019" localSheetId="9">LCIA_ADP!#REF!</definedName>
    <definedName name="LCIA_CC_ch_el_BAU_2019">LCIA_CC!$P$48</definedName>
    <definedName name="LCIA_CC_ch_el_BAU_2030" localSheetId="9">LCIA_ADP!#REF!</definedName>
    <definedName name="LCIA_CC_ch_el_BAU_2030">LCIA_CC!$Q$48</definedName>
    <definedName name="LCIA_CC_ch_el_BAU_2040" localSheetId="9">LCIA_ADP!#REF!</definedName>
    <definedName name="LCIA_CC_ch_el_BAU_2040">LCIA_CC!$R$48</definedName>
    <definedName name="LCIA_CC_ch_el_BAU_2050" localSheetId="9">LCIA_ADP!#REF!</definedName>
    <definedName name="LCIA_CC_ch_el_BAU_2050">LCIA_CC!$S$48</definedName>
    <definedName name="LCIA_CC_ch_el_ev_highv" localSheetId="9">LCIA_ADP!$P$52</definedName>
    <definedName name="LCIA_CC_ch_el_ev_highv">LCIA_CC!$P$52</definedName>
    <definedName name="LCIA_CC_ch_el_ev_lowv" localSheetId="9">LCIA_ADP!$P$50</definedName>
    <definedName name="LCIA_CC_ch_el_ev_lowv">LCIA_CC!$P$50</definedName>
    <definedName name="LCIA_CC_ch_el_ev_mediumv" localSheetId="9">LCIA_ADP!$P$51</definedName>
    <definedName name="LCIA_CC_ch_el_ev_mediumv">LCIA_CC!$P$51</definedName>
    <definedName name="LCIA_CC_ch_el_ev_productionmix" localSheetId="9">LCIA_ADP!$P$49</definedName>
    <definedName name="LCIA_CC_ch_el_ev_productionmix">LCIA_CC!$P$49</definedName>
    <definedName name="LCIA_CC_ch_el_LOW_2030" localSheetId="9">LCIA_ADP!#REF!</definedName>
    <definedName name="LCIA_CC_ch_el_LOW_2030">LCIA_CC!$T$48</definedName>
    <definedName name="LCIA_CC_ch_el_LOW_2040" localSheetId="9">LCIA_ADP!#REF!</definedName>
    <definedName name="LCIA_CC_ch_el_LOW_2040">LCIA_CC!$U$48</definedName>
    <definedName name="LCIA_CC_ch_el_LOW_2050" localSheetId="9">LCIA_ADP!#REF!</definedName>
    <definedName name="LCIA_CC_ch_el_LOW_2050">LCIA_CC!$V$48</definedName>
    <definedName name="LCIA_CC_dieselgen">LCIA_CC!$P$54</definedName>
    <definedName name="LCIA_CC_dieselgen_BAU_2050">LCIA_CC!$S$54</definedName>
    <definedName name="LCIA_CC_dieselgen_LOW_2050">LCIA_CC!$V$54</definedName>
    <definedName name="LCIA_CC_el_hydro_run" localSheetId="9">LCIA_ADP!$P$53</definedName>
    <definedName name="LCIA_CC_el_hydro_run">LCIA_CC!$P$53</definedName>
    <definedName name="LCIA_CC_maintenance" localSheetId="9">LCIA_ADP!$P$76</definedName>
    <definedName name="LCIA_CC_maintenance">LCIA_CC!$P$77</definedName>
    <definedName name="LCIA_CC_steel_BAU_2030" localSheetId="9">LCIA_ADP!$Q$78</definedName>
    <definedName name="LCIA_CC_steel_BAU_2030">LCIA_CC!$Q$79</definedName>
    <definedName name="LCIA_CC_steel_BAU_2040" localSheetId="9">LCIA_ADP!$R$78</definedName>
    <definedName name="LCIA_CC_steel_BAU_2040">LCIA_CC!$R$79</definedName>
    <definedName name="LCIA_CC_steel_BAU_2050" localSheetId="9">LCIA_ADP!$S$78</definedName>
    <definedName name="LCIA_CC_steel_BAU_2050">LCIA_CC!$S$79</definedName>
    <definedName name="LCIA_CC_steel_ev_2020" localSheetId="9">LCIA_ADP!$P$78</definedName>
    <definedName name="LCIA_CC_steel_ev_2020">LCIA_CC!$P$79</definedName>
    <definedName name="LCIA_CC_steel_LOW_2030" localSheetId="9">LCIA_ADP!$T$78</definedName>
    <definedName name="LCIA_CC_steel_LOW_2030">LCIA_CC!$T$79</definedName>
    <definedName name="LCIA_CC_steel_LOW_2040" localSheetId="9">LCIA_ADP!$U$78</definedName>
    <definedName name="LCIA_CC_steel_LOW_2040">LCIA_CC!$U$79</definedName>
    <definedName name="LCIA_CC_steel_LOW_2050" localSheetId="9">LCIA_ADP!$V$78</definedName>
    <definedName name="LCIA_CC_steel_LOW_2050">LCIA_CC!$V$79</definedName>
    <definedName name="LCIA_CC_surfaceplant" localSheetId="9">LCIA_ADP!#REF!</definedName>
    <definedName name="LCIA_CC_surfaceplant">LCIA_CC!#REF!</definedName>
    <definedName name="LCIA_CC_water_BAU_2030" localSheetId="9">LCIA_ADP!$Q$80</definedName>
    <definedName name="LCIA_CC_water_BAU_2030">LCIA_CC!$Q$81</definedName>
    <definedName name="LCIA_CC_water_BAU_2040" localSheetId="9">LCIA_ADP!$R$80</definedName>
    <definedName name="LCIA_CC_water_BAU_2040">LCIA_CC!$R$81</definedName>
    <definedName name="LCIA_CC_water_BAU_2050" localSheetId="9">LCIA_ADP!$S$80</definedName>
    <definedName name="LCIA_CC_water_BAU_2050">LCIA_CC!$S$81</definedName>
    <definedName name="LCIA_CC_water_cooled" localSheetId="9">LCIA_ADP!#REF!</definedName>
    <definedName name="LCIA_CC_water_cooled">LCIA_CC!#REF!</definedName>
    <definedName name="LCIA_CC_water_ev_2020" localSheetId="9">LCIA_ADP!$P$80</definedName>
    <definedName name="LCIA_CC_water_ev_2020">LCIA_CC!$P$81</definedName>
    <definedName name="LCIA_CC_water_LOW_2030" localSheetId="9">LCIA_ADP!$T$80</definedName>
    <definedName name="LCIA_CC_water_LOW_2030">LCIA_CC!$T$81</definedName>
    <definedName name="LCIA_CC_water_LOW_2040" localSheetId="9">LCIA_ADP!$U$80</definedName>
    <definedName name="LCIA_CC_water_LOW_2040">LCIA_CC!$U$81</definedName>
    <definedName name="LCIA_CC_water_LOW_2050" localSheetId="9">LCIA_ADP!$V$80</definedName>
    <definedName name="LCIA_CC_water_LOW_2050">LCIA_CC!$V$81</definedName>
    <definedName name="LCIA_CC_waterpump_op" localSheetId="9">LCIA_ADP!#REF!</definedName>
    <definedName name="LCIA_CC_waterpump_op">LCIA_CC!#REF!</definedName>
    <definedName name="LCIA_cc_well_closure" localSheetId="9">LCIA_ADP!#REF!</definedName>
    <definedName name="LCIA_cc_well_closure">LCIA_CC!#REF!</definedName>
    <definedName name="lifetime_100a">Plant_parameters!$F$18</definedName>
    <definedName name="lifetime_100a_elprod">Plant_parameters!$G$7</definedName>
    <definedName name="lifetime_30a">Plant_parameters!$D$18</definedName>
    <definedName name="lifetime_30a_elprod">Plant_parameters!$E$7</definedName>
    <definedName name="lifetime_30a_heatprod">Plant_parameters!$E$8</definedName>
    <definedName name="lifetime_60a">Plant_parameters!$E$18</definedName>
    <definedName name="lifetime_60a_elprod">Plant_parameters!$F$7</definedName>
    <definedName name="lifetime_60a_elprod_cf_0_7">Plant_parameters!$F$13</definedName>
    <definedName name="lifetime_60a_elprod_cf_0_8">Plant_parameters!$F$14</definedName>
    <definedName name="loops">'Drilling - well design'!$J$27</definedName>
    <definedName name="MeOHsyndb">#REF!</definedName>
    <definedName name="meohtransportdb">#REF!</definedName>
    <definedName name="MJ_per_kWh">readme!$B$20</definedName>
    <definedName name="MJ_per_m" localSheetId="20">'Drilling - energy_material_4_5'!$N$77</definedName>
    <definedName name="MJ_per_m" localSheetId="19">'Drilling - energy_material_8'!$N$77</definedName>
    <definedName name="MJ_per_m" localSheetId="28">drilling_energy_TS_ETH!$N$77</definedName>
    <definedName name="MJ_per_m">'Drilling - energy_material_6km'!$O$77</definedName>
    <definedName name="MJ_per_m_rotary">'Drilling - energy_material_6km'!$P$77</definedName>
    <definedName name="molc">#REF!</definedName>
    <definedName name="nitroprop">literature_CO2_cond_transp!$E$17</definedName>
    <definedName name="nitroprop_heat_per_kg">literature_CO2_cond_transp!$G$308</definedName>
    <definedName name="nitroprop_nitr_per_kg">literature_CO2_cond_transp!$G$307</definedName>
    <definedName name="nitroprop_prop_per_kg">literature_CO2_cond_transp!$G$306</definedName>
    <definedName name="nuclear_bwr">Electricity_mixes!$J$364</definedName>
    <definedName name="nuclear_pwr">Electricity_mixes!$J$363</definedName>
    <definedName name="piperazine">literature_CO2_cond_transp!$D$69</definedName>
    <definedName name="piperazine_kva">literature_CO2_cond_transp!$C$183</definedName>
    <definedName name="plant_cap_MWe">Plant_parameters!$E$4</definedName>
    <definedName name="plant_capacity_MWth">Plant_parameters!$E$5</definedName>
    <definedName name="premise">readme!$D$28</definedName>
    <definedName name="premise_1150_2025">readme!$D$33</definedName>
    <definedName name="premise_1150_2035">readme!$D$34</definedName>
    <definedName name="premise_1150_2050">readme!$D$35</definedName>
    <definedName name="premise_BAU_2025">readme!$D$30</definedName>
    <definedName name="premise_BAU_2035">readme!$D$31</definedName>
    <definedName name="premise_BAU_2050">readme!$D$32</definedName>
    <definedName name="_xlnm.Print_Area" localSheetId="29">Electricity_mixes!$A$1:$AH$313</definedName>
    <definedName name="pv_open">Electricity_mixes!$E$355</definedName>
    <definedName name="pv_roof">Electricity_mixes!$E$356</definedName>
    <definedName name="rer">#REF!</definedName>
    <definedName name="rho_cement_slurry" localSheetId="20">'Drilling - energy_material_4_5'!$AI$60</definedName>
    <definedName name="rho_cement_slurry" localSheetId="19">'Drilling - energy_material_8'!$AI$60</definedName>
    <definedName name="rho_cement_slurry" localSheetId="28">drilling_energy_TS_ETH!$AC$60</definedName>
    <definedName name="rho_cement_slurry">'Drilling - energy_material_6km'!$AI$60</definedName>
    <definedName name="ts1_sediment" localSheetId="20">'Drilling - energy_material_4_5'!$O$30</definedName>
    <definedName name="ts1_sediment" localSheetId="19">'Drilling - energy_material_8'!$O$30</definedName>
    <definedName name="ts1_sediment" localSheetId="28">drilling_energy_TS_ETH!$O$30</definedName>
    <definedName name="ts1_sediment">'Drilling - energy_material_6km'!$O$30</definedName>
    <definedName name="ts2_granite" localSheetId="20">'Drilling - energy_material_4_5'!$O$31</definedName>
    <definedName name="ts2_granite" localSheetId="19">'Drilling - energy_material_8'!$O$31</definedName>
    <definedName name="ts2_granite" localSheetId="28">drilling_energy_TS_ETH!$O$31</definedName>
    <definedName name="ts2_granite">'Drilling - energy_material_6km'!$O$31</definedName>
    <definedName name="well_horizontal_length">Plant_parameters!$C$21</definedName>
    <definedName name="well_length_horizontal" localSheetId="20">'Drilling - energy_material_4_5'!$O$46</definedName>
    <definedName name="well_length_horizontal" localSheetId="19">'Drilling - energy_material_8'!$O$46</definedName>
    <definedName name="well_length_horizontal" localSheetId="28">drilling_energy_TS_ETH!$O$46</definedName>
    <definedName name="well_length_horizontal">'Drilling - energy_material_6km'!$O$46</definedName>
    <definedName name="well_vertical_length">Plant_parameters!$C$20</definedName>
    <definedName name="WWTP">#REF!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2" i="37" l="1"/>
  <c r="X22" i="37"/>
  <c r="W22" i="37"/>
  <c r="V22" i="37"/>
  <c r="U22" i="37"/>
  <c r="T22" i="37"/>
  <c r="S22" i="37"/>
  <c r="Y20" i="37"/>
  <c r="X20" i="37"/>
  <c r="W20" i="37"/>
  <c r="V20" i="37"/>
  <c r="U20" i="37"/>
  <c r="T20" i="37"/>
  <c r="S20" i="37"/>
  <c r="Y19" i="37"/>
  <c r="X19" i="37"/>
  <c r="W19" i="37"/>
  <c r="V19" i="37"/>
  <c r="U19" i="37"/>
  <c r="T19" i="37"/>
  <c r="S19" i="37"/>
  <c r="Y18" i="37"/>
  <c r="X18" i="37"/>
  <c r="W18" i="37"/>
  <c r="V18" i="37"/>
  <c r="U18" i="37"/>
  <c r="T18" i="37"/>
  <c r="S18" i="37"/>
  <c r="Y12" i="37"/>
  <c r="X12" i="37"/>
  <c r="W12" i="37"/>
  <c r="V12" i="37"/>
  <c r="U12" i="37"/>
  <c r="T12" i="37"/>
  <c r="S12" i="37"/>
  <c r="Y11" i="37"/>
  <c r="X11" i="37"/>
  <c r="W11" i="37"/>
  <c r="V11" i="37"/>
  <c r="U11" i="37"/>
  <c r="T11" i="37"/>
  <c r="S11" i="37"/>
  <c r="Y10" i="37"/>
  <c r="X10" i="37"/>
  <c r="W10" i="37"/>
  <c r="V10" i="37"/>
  <c r="U10" i="37"/>
  <c r="T10" i="37"/>
  <c r="S10" i="37"/>
  <c r="Y9" i="37"/>
  <c r="X9" i="37"/>
  <c r="W9" i="37"/>
  <c r="V9" i="37"/>
  <c r="U9" i="37"/>
  <c r="T9" i="37"/>
  <c r="S9" i="37"/>
  <c r="Y8" i="37"/>
  <c r="X8" i="37"/>
  <c r="W8" i="37"/>
  <c r="V8" i="37"/>
  <c r="U8" i="37"/>
  <c r="T8" i="37"/>
  <c r="S8" i="37"/>
  <c r="Y7" i="37"/>
  <c r="X7" i="37"/>
  <c r="W7" i="37"/>
  <c r="V7" i="37"/>
  <c r="U7" i="37"/>
  <c r="T7" i="37"/>
  <c r="S7" i="37"/>
  <c r="Y6" i="37"/>
  <c r="X6" i="37"/>
  <c r="W6" i="37"/>
  <c r="V6" i="37"/>
  <c r="U6" i="37"/>
  <c r="T6" i="37"/>
  <c r="S6" i="37"/>
  <c r="Y5" i="37"/>
  <c r="X5" i="37"/>
  <c r="W5" i="37"/>
  <c r="V5" i="37"/>
  <c r="U5" i="37"/>
  <c r="T5" i="37"/>
  <c r="S5" i="37"/>
  <c r="Q20" i="37"/>
  <c r="J20" i="37"/>
  <c r="I20" i="37"/>
  <c r="H20" i="37"/>
  <c r="G20" i="37"/>
  <c r="F20" i="37"/>
  <c r="E20" i="37"/>
  <c r="D20" i="37"/>
  <c r="B20" i="37"/>
  <c r="Q19" i="37"/>
  <c r="B19" i="37"/>
  <c r="Q18" i="37"/>
  <c r="B18" i="37"/>
  <c r="R17" i="37"/>
  <c r="C17" i="37"/>
  <c r="R16" i="37"/>
  <c r="C16" i="37"/>
  <c r="R15" i="37"/>
  <c r="C15" i="37"/>
  <c r="R14" i="37"/>
  <c r="C14" i="37"/>
  <c r="R13" i="37"/>
  <c r="C13" i="37"/>
  <c r="Q12" i="37"/>
  <c r="B12" i="37"/>
  <c r="R10" i="37"/>
  <c r="C10" i="37"/>
  <c r="R9" i="37"/>
  <c r="C9" i="37"/>
  <c r="R8" i="37"/>
  <c r="C8" i="37"/>
  <c r="R7" i="37"/>
  <c r="C7" i="37"/>
  <c r="R6" i="37"/>
  <c r="C6" i="37"/>
  <c r="R5" i="37"/>
  <c r="Q5" i="37"/>
  <c r="C5" i="37"/>
  <c r="B5" i="37"/>
  <c r="O7" i="37"/>
  <c r="N17" i="37"/>
  <c r="N16" i="37"/>
  <c r="N15" i="37"/>
  <c r="N13" i="37"/>
  <c r="N10" i="37"/>
  <c r="N12" i="37"/>
  <c r="N11" i="37"/>
  <c r="Q79" i="3"/>
  <c r="Q78" i="3"/>
  <c r="AC50" i="3"/>
  <c r="AD50" i="3"/>
  <c r="AD47" i="3"/>
  <c r="AD46" i="3"/>
  <c r="P76" i="3"/>
  <c r="O76" i="3"/>
  <c r="D43" i="10"/>
  <c r="D42" i="10"/>
  <c r="D40" i="10"/>
  <c r="D41" i="10"/>
  <c r="D42" i="35"/>
  <c r="D48" i="35"/>
  <c r="D47" i="35"/>
  <c r="D46" i="35"/>
  <c r="D45" i="35"/>
  <c r="D44" i="35"/>
  <c r="D43" i="35"/>
  <c r="C57" i="35"/>
  <c r="C102" i="35" s="1"/>
  <c r="C56" i="35"/>
  <c r="C101" i="35" s="1"/>
  <c r="C55" i="35"/>
  <c r="C100" i="35" s="1"/>
  <c r="C54" i="35"/>
  <c r="C99" i="35" s="1"/>
  <c r="C53" i="35"/>
  <c r="C52" i="35"/>
  <c r="C51" i="35"/>
  <c r="C50" i="35"/>
  <c r="C49" i="35"/>
  <c r="C48" i="35"/>
  <c r="C93" i="35" s="1"/>
  <c r="C47" i="35"/>
  <c r="C46" i="35"/>
  <c r="C91" i="35" s="1"/>
  <c r="C45" i="35"/>
  <c r="C90" i="35" s="1"/>
  <c r="C44" i="35"/>
  <c r="C89" i="35" s="1"/>
  <c r="C43" i="35"/>
  <c r="C88" i="35" s="1"/>
  <c r="C42" i="35"/>
  <c r="T57" i="36"/>
  <c r="T56" i="36"/>
  <c r="T55" i="36"/>
  <c r="V55" i="36" s="1"/>
  <c r="T54" i="36"/>
  <c r="T53" i="36"/>
  <c r="T52" i="36"/>
  <c r="T51" i="36"/>
  <c r="T50" i="36"/>
  <c r="T48" i="36"/>
  <c r="T47" i="36"/>
  <c r="T46" i="36"/>
  <c r="T45" i="36"/>
  <c r="V45" i="36" s="1"/>
  <c r="T44" i="36"/>
  <c r="V44" i="36" s="1"/>
  <c r="T43" i="36"/>
  <c r="T42" i="36"/>
  <c r="V50" i="36" s="1"/>
  <c r="V57" i="36"/>
  <c r="V49" i="36"/>
  <c r="V56" i="36"/>
  <c r="V51" i="36"/>
  <c r="M88" i="35"/>
  <c r="M89" i="35"/>
  <c r="M90" i="35"/>
  <c r="M91" i="35"/>
  <c r="M92" i="35"/>
  <c r="M93" i="35"/>
  <c r="M94" i="35"/>
  <c r="M95" i="35"/>
  <c r="M96" i="35"/>
  <c r="M97" i="35"/>
  <c r="M98" i="35"/>
  <c r="M99" i="35"/>
  <c r="M100" i="35"/>
  <c r="M101" i="35"/>
  <c r="M102" i="35"/>
  <c r="M87" i="35"/>
  <c r="L102" i="35"/>
  <c r="L101" i="35"/>
  <c r="L100" i="35"/>
  <c r="L99" i="35"/>
  <c r="L98" i="35"/>
  <c r="L97" i="35"/>
  <c r="L96" i="35"/>
  <c r="L95" i="35"/>
  <c r="L94" i="35"/>
  <c r="L93" i="35"/>
  <c r="L92" i="35"/>
  <c r="L91" i="35"/>
  <c r="L90" i="35"/>
  <c r="L89" i="35"/>
  <c r="L88" i="35"/>
  <c r="L87" i="35"/>
  <c r="C98" i="35"/>
  <c r="C97" i="35"/>
  <c r="C96" i="35"/>
  <c r="C95" i="35"/>
  <c r="C94" i="35"/>
  <c r="C92" i="35"/>
  <c r="C87" i="35"/>
  <c r="V46" i="36" l="1"/>
  <c r="V54" i="36"/>
  <c r="V53" i="36"/>
  <c r="V52" i="36"/>
  <c r="V47" i="36"/>
  <c r="V42" i="36"/>
  <c r="V48" i="36"/>
  <c r="V43" i="36"/>
  <c r="L208" i="37" l="1"/>
  <c r="O13" i="37" s="1"/>
  <c r="L1148" i="37" s="1"/>
  <c r="L238" i="37"/>
  <c r="O17" i="37" s="1"/>
  <c r="L250" i="37"/>
  <c r="N14" i="37"/>
  <c r="N8" i="37"/>
  <c r="N7" i="37"/>
  <c r="N6" i="37"/>
  <c r="L507" i="37"/>
  <c r="L155" i="37"/>
  <c r="L191" i="37"/>
  <c r="O11" i="37" s="1"/>
  <c r="L184" i="37"/>
  <c r="O12" i="37" s="1"/>
  <c r="L224" i="37"/>
  <c r="O15" i="37" s="1"/>
  <c r="L178" i="37"/>
  <c r="O9" i="37" s="1"/>
  <c r="K65" i="28"/>
  <c r="K65" i="3"/>
  <c r="F14" i="8"/>
  <c r="F13" i="8"/>
  <c r="F7" i="8"/>
  <c r="AT6" i="23"/>
  <c r="T13" i="23"/>
  <c r="T19" i="23"/>
  <c r="S13" i="23"/>
  <c r="S19" i="23"/>
  <c r="R20" i="23"/>
  <c r="R19" i="23"/>
  <c r="R13" i="23"/>
  <c r="Q19" i="23"/>
  <c r="Q13" i="23"/>
  <c r="L213" i="37" l="1"/>
  <c r="O22" i="37"/>
  <c r="L1124" i="37"/>
  <c r="L431" i="37"/>
  <c r="L1356" i="37"/>
  <c r="L625" i="37"/>
  <c r="L1603" i="37"/>
  <c r="L855" i="37"/>
  <c r="L1118" i="37"/>
  <c r="L1350" i="37"/>
  <c r="L619" i="37"/>
  <c r="L1597" i="37"/>
  <c r="L849" i="37"/>
  <c r="L1131" i="37"/>
  <c r="L438" i="37"/>
  <c r="L1363" i="37"/>
  <c r="L632" i="37"/>
  <c r="L1610" i="37"/>
  <c r="L862" i="37"/>
  <c r="L1657" i="37"/>
  <c r="L455" i="37"/>
  <c r="L1380" i="37"/>
  <c r="L902" i="37"/>
  <c r="L642" i="37"/>
  <c r="L1627" i="37"/>
  <c r="L1178" i="37"/>
  <c r="L672" i="37"/>
  <c r="L872" i="37"/>
  <c r="L485" i="37"/>
  <c r="L1410" i="37"/>
  <c r="L658" i="37"/>
  <c r="L1643" i="37"/>
  <c r="L888" i="37"/>
  <c r="L1164" i="37"/>
  <c r="L1396" i="37"/>
  <c r="L471" i="37"/>
  <c r="L1432" i="37"/>
  <c r="L1200" i="37"/>
  <c r="L924" i="37"/>
  <c r="L694" i="37"/>
  <c r="L230" i="37"/>
  <c r="O16" i="37" s="1"/>
  <c r="L27" i="37"/>
  <c r="L200" i="37"/>
  <c r="O10" i="37" s="1"/>
  <c r="L260" i="37"/>
  <c r="D71" i="35"/>
  <c r="D70" i="35"/>
  <c r="O87" i="36" a="1"/>
  <c r="O87" i="36" s="1"/>
  <c r="N87" i="36" a="1"/>
  <c r="N87" i="36" s="1"/>
  <c r="O86" i="36" a="1"/>
  <c r="O86" i="36" s="1"/>
  <c r="N86" i="36" a="1"/>
  <c r="N86" i="36" s="1"/>
  <c r="O85" i="36" a="1"/>
  <c r="O85" i="36" s="1"/>
  <c r="N85" i="36" a="1"/>
  <c r="N85" i="36" s="1"/>
  <c r="O84" i="36" a="1"/>
  <c r="O84" i="36" s="1"/>
  <c r="N84" i="36" a="1"/>
  <c r="N84" i="36" s="1"/>
  <c r="O83" i="36" a="1"/>
  <c r="O83" i="36" s="1"/>
  <c r="N83" i="36" a="1"/>
  <c r="N83" i="36" s="1"/>
  <c r="Z82" i="36"/>
  <c r="Y82" i="36"/>
  <c r="X82" i="36"/>
  <c r="U82" i="36"/>
  <c r="T82" i="36"/>
  <c r="V82" i="36" s="1"/>
  <c r="R82" i="36"/>
  <c r="Q82" i="36"/>
  <c r="O82" i="36"/>
  <c r="O82" i="36" a="1"/>
  <c r="N82" i="36"/>
  <c r="N82" i="36" a="1"/>
  <c r="Z81" i="36"/>
  <c r="Y81" i="36"/>
  <c r="X81" i="36"/>
  <c r="U81" i="36"/>
  <c r="T81" i="36"/>
  <c r="V81" i="36" s="1"/>
  <c r="R81" i="36"/>
  <c r="Q81" i="36"/>
  <c r="O81" i="36" a="1"/>
  <c r="O81" i="36" s="1"/>
  <c r="N81" i="36" a="1"/>
  <c r="N81" i="36" s="1"/>
  <c r="Z80" i="36"/>
  <c r="Y80" i="36"/>
  <c r="X80" i="36"/>
  <c r="V80" i="36"/>
  <c r="U80" i="36"/>
  <c r="T80" i="36"/>
  <c r="R80" i="36"/>
  <c r="Q80" i="36"/>
  <c r="O80" i="36"/>
  <c r="O80" i="36" a="1"/>
  <c r="N80" i="36"/>
  <c r="S82" i="36" s="1"/>
  <c r="N80" i="36" a="1"/>
  <c r="Z79" i="36"/>
  <c r="Y79" i="36"/>
  <c r="X79" i="36"/>
  <c r="U79" i="36"/>
  <c r="V79" i="36" s="1"/>
  <c r="T79" i="36"/>
  <c r="R79" i="36"/>
  <c r="Q79" i="36"/>
  <c r="O79" i="36" a="1"/>
  <c r="O79" i="36" s="1"/>
  <c r="N79" i="36" a="1"/>
  <c r="N79" i="36" s="1"/>
  <c r="S81" i="36" s="1"/>
  <c r="Z78" i="36"/>
  <c r="Y78" i="36"/>
  <c r="X78" i="36"/>
  <c r="V78" i="36"/>
  <c r="U78" i="36"/>
  <c r="T78" i="36"/>
  <c r="R78" i="36"/>
  <c r="Q78" i="36"/>
  <c r="O78" i="36"/>
  <c r="O78" i="36" a="1"/>
  <c r="N78" i="36"/>
  <c r="S80" i="36" s="1"/>
  <c r="N78" i="36" a="1"/>
  <c r="Z77" i="36"/>
  <c r="Y77" i="36"/>
  <c r="X77" i="36"/>
  <c r="U77" i="36"/>
  <c r="T77" i="36"/>
  <c r="V77" i="36" s="1"/>
  <c r="R77" i="36"/>
  <c r="Q77" i="36"/>
  <c r="O77" i="36" a="1"/>
  <c r="O77" i="36" s="1"/>
  <c r="N77" i="36" a="1"/>
  <c r="N77" i="36" s="1"/>
  <c r="S79" i="36" s="1"/>
  <c r="Z76" i="36"/>
  <c r="Y76" i="36"/>
  <c r="X76" i="36"/>
  <c r="U76" i="36"/>
  <c r="T76" i="36"/>
  <c r="V76" i="36" s="1"/>
  <c r="R76" i="36"/>
  <c r="Q76" i="36"/>
  <c r="O76" i="36"/>
  <c r="O76" i="36" a="1"/>
  <c r="N76" i="36"/>
  <c r="S78" i="36" s="1"/>
  <c r="N76" i="36" a="1"/>
  <c r="Z75" i="36"/>
  <c r="Y75" i="36"/>
  <c r="X75" i="36"/>
  <c r="U75" i="36"/>
  <c r="T75" i="36"/>
  <c r="V75" i="36" s="1"/>
  <c r="R75" i="36"/>
  <c r="Q75" i="36"/>
  <c r="O75" i="36" a="1"/>
  <c r="O75" i="36" s="1"/>
  <c r="N75" i="36" a="1"/>
  <c r="N75" i="36" s="1"/>
  <c r="S77" i="36" s="1"/>
  <c r="Z74" i="36"/>
  <c r="Y74" i="36"/>
  <c r="X74" i="36"/>
  <c r="U74" i="36"/>
  <c r="T74" i="36"/>
  <c r="V74" i="36" s="1"/>
  <c r="R74" i="36"/>
  <c r="Q74" i="36"/>
  <c r="O74" i="36"/>
  <c r="O74" i="36" a="1"/>
  <c r="N74" i="36"/>
  <c r="S76" i="36" s="1"/>
  <c r="N74" i="36" a="1"/>
  <c r="Z73" i="36"/>
  <c r="Y73" i="36"/>
  <c r="X73" i="36"/>
  <c r="U73" i="36"/>
  <c r="T73" i="36"/>
  <c r="V73" i="36" s="1"/>
  <c r="R73" i="36"/>
  <c r="Q73" i="36"/>
  <c r="O73" i="36" a="1"/>
  <c r="O73" i="36" s="1"/>
  <c r="N73" i="36" a="1"/>
  <c r="N73" i="36" s="1"/>
  <c r="S75" i="36" s="1"/>
  <c r="Z72" i="36"/>
  <c r="Y72" i="36"/>
  <c r="X72" i="36"/>
  <c r="V72" i="36"/>
  <c r="U72" i="36"/>
  <c r="T72" i="36"/>
  <c r="R72" i="36"/>
  <c r="Q72" i="36"/>
  <c r="O72" i="36"/>
  <c r="O72" i="36" a="1"/>
  <c r="N72" i="36"/>
  <c r="S74" i="36" s="1"/>
  <c r="N72" i="36" a="1"/>
  <c r="Z71" i="36"/>
  <c r="Y71" i="36"/>
  <c r="X71" i="36"/>
  <c r="U71" i="36"/>
  <c r="V71" i="36" s="1"/>
  <c r="T71" i="36"/>
  <c r="R71" i="36"/>
  <c r="Q71" i="36"/>
  <c r="O71" i="36" a="1"/>
  <c r="O71" i="36" s="1"/>
  <c r="N71" i="36" a="1"/>
  <c r="N71" i="36" s="1"/>
  <c r="S73" i="36" s="1"/>
  <c r="Z70" i="36"/>
  <c r="Y70" i="36"/>
  <c r="X70" i="36"/>
  <c r="U70" i="36"/>
  <c r="T70" i="36"/>
  <c r="V70" i="36" s="1"/>
  <c r="R70" i="36"/>
  <c r="Q70" i="36"/>
  <c r="O70" i="36"/>
  <c r="O70" i="36" a="1"/>
  <c r="N70" i="36"/>
  <c r="S72" i="36" s="1"/>
  <c r="N70" i="36" a="1"/>
  <c r="Z69" i="36"/>
  <c r="Y69" i="36"/>
  <c r="X69" i="36"/>
  <c r="U69" i="36"/>
  <c r="T69" i="36"/>
  <c r="V69" i="36" s="1"/>
  <c r="R69" i="36"/>
  <c r="Q69" i="36"/>
  <c r="O69" i="36" a="1"/>
  <c r="O69" i="36" s="1"/>
  <c r="N69" i="36" a="1"/>
  <c r="N69" i="36" s="1"/>
  <c r="S71" i="36" s="1"/>
  <c r="Z68" i="36"/>
  <c r="Y68" i="36"/>
  <c r="X68" i="36"/>
  <c r="U68" i="36"/>
  <c r="T68" i="36"/>
  <c r="V68" i="36" s="1"/>
  <c r="R68" i="36"/>
  <c r="Q68" i="36"/>
  <c r="O68" i="36"/>
  <c r="O68" i="36" a="1"/>
  <c r="N68" i="36"/>
  <c r="S70" i="36" s="1"/>
  <c r="N68" i="36" a="1"/>
  <c r="Z67" i="36"/>
  <c r="Y67" i="36"/>
  <c r="X67" i="36"/>
  <c r="U67" i="36"/>
  <c r="V67" i="36" s="1"/>
  <c r="T67" i="36"/>
  <c r="R67" i="36"/>
  <c r="Q67" i="36"/>
  <c r="O67" i="36" a="1"/>
  <c r="O67" i="36" s="1"/>
  <c r="N67" i="36" a="1"/>
  <c r="N67" i="36" s="1"/>
  <c r="S69" i="36" s="1"/>
  <c r="Z66" i="36"/>
  <c r="Y66" i="36"/>
  <c r="X66" i="36"/>
  <c r="V66" i="36"/>
  <c r="U66" i="36"/>
  <c r="T66" i="36"/>
  <c r="R66" i="36"/>
  <c r="Q66" i="36"/>
  <c r="O66" i="36"/>
  <c r="O66" i="36" a="1"/>
  <c r="N66" i="36"/>
  <c r="S68" i="36" s="1"/>
  <c r="N66" i="36" a="1"/>
  <c r="Z65" i="36"/>
  <c r="Y65" i="36"/>
  <c r="X65" i="36"/>
  <c r="U65" i="36"/>
  <c r="T65" i="36"/>
  <c r="V65" i="36" s="1"/>
  <c r="R65" i="36"/>
  <c r="Q65" i="36"/>
  <c r="O65" i="36" a="1"/>
  <c r="O65" i="36" s="1"/>
  <c r="N65" i="36" a="1"/>
  <c r="N65" i="36" s="1"/>
  <c r="S67" i="36" s="1"/>
  <c r="Z64" i="36"/>
  <c r="Y64" i="36"/>
  <c r="X64" i="36"/>
  <c r="U64" i="36"/>
  <c r="T64" i="36"/>
  <c r="V64" i="36" s="1"/>
  <c r="R64" i="36"/>
  <c r="Q64" i="36"/>
  <c r="O64" i="36"/>
  <c r="O64" i="36" a="1"/>
  <c r="N64" i="36"/>
  <c r="S66" i="36" s="1"/>
  <c r="N64" i="36" a="1"/>
  <c r="O63" i="36"/>
  <c r="O63" i="36" a="1"/>
  <c r="N63" i="36" a="1"/>
  <c r="N63" i="36" s="1"/>
  <c r="S65" i="36" s="1"/>
  <c r="O62" i="36" a="1"/>
  <c r="O62" i="36" s="1"/>
  <c r="N62" i="36" a="1"/>
  <c r="N62" i="36" s="1"/>
  <c r="S64" i="36" s="1"/>
  <c r="O59" i="36" a="1"/>
  <c r="O59" i="36" s="1"/>
  <c r="N59" i="36"/>
  <c r="N59" i="36" a="1"/>
  <c r="O58" i="36"/>
  <c r="O58" i="36" a="1"/>
  <c r="N58" i="36" a="1"/>
  <c r="N58" i="36" s="1"/>
  <c r="O57" i="36" a="1"/>
  <c r="O57" i="36" s="1"/>
  <c r="N57" i="36" a="1"/>
  <c r="N57" i="36" s="1"/>
  <c r="O56" i="36" a="1"/>
  <c r="O56" i="36" s="1"/>
  <c r="N56" i="36" a="1"/>
  <c r="N56" i="36" s="1"/>
  <c r="O55" i="36" a="1"/>
  <c r="O55" i="36" s="1"/>
  <c r="N55" i="36" a="1"/>
  <c r="N55" i="36" s="1"/>
  <c r="O54" i="36" a="1"/>
  <c r="O54" i="36" s="1"/>
  <c r="N54" i="36" a="1"/>
  <c r="N54" i="36" s="1"/>
  <c r="O53" i="36" a="1"/>
  <c r="O53" i="36" s="1"/>
  <c r="N53" i="36" a="1"/>
  <c r="N53" i="36" s="1"/>
  <c r="O52" i="36" a="1"/>
  <c r="O52" i="36" s="1"/>
  <c r="N52" i="36" a="1"/>
  <c r="N52" i="36" s="1"/>
  <c r="O51" i="36" a="1"/>
  <c r="O51" i="36" s="1"/>
  <c r="N51" i="36" a="1"/>
  <c r="N51" i="36" s="1"/>
  <c r="O50" i="36" a="1"/>
  <c r="O50" i="36" s="1"/>
  <c r="N50" i="36" a="1"/>
  <c r="N50" i="36" s="1"/>
  <c r="O49" i="36" a="1"/>
  <c r="O49" i="36" s="1"/>
  <c r="N49" i="36" a="1"/>
  <c r="N49" i="36" s="1"/>
  <c r="O48" i="36" a="1"/>
  <c r="O48" i="36" s="1"/>
  <c r="N48" i="36" a="1"/>
  <c r="N48" i="36" s="1"/>
  <c r="O47" i="36" a="1"/>
  <c r="O47" i="36" s="1"/>
  <c r="N47" i="36" a="1"/>
  <c r="N47" i="36" s="1"/>
  <c r="O46" i="36" a="1"/>
  <c r="O46" i="36" s="1"/>
  <c r="N46" i="36" a="1"/>
  <c r="N46" i="36" s="1"/>
  <c r="O45" i="36" a="1"/>
  <c r="O45" i="36" s="1"/>
  <c r="N45" i="36" a="1"/>
  <c r="N45" i="36" s="1"/>
  <c r="O44" i="36" a="1"/>
  <c r="O44" i="36" s="1"/>
  <c r="N44" i="36" a="1"/>
  <c r="N44" i="36" s="1"/>
  <c r="O43" i="36" a="1"/>
  <c r="O43" i="36" s="1"/>
  <c r="N43" i="36" a="1"/>
  <c r="N43" i="36" s="1"/>
  <c r="O42" i="36" a="1"/>
  <c r="O42" i="36" s="1"/>
  <c r="N42" i="36" a="1"/>
  <c r="N42" i="36" s="1"/>
  <c r="O41" i="36" a="1"/>
  <c r="O41" i="36" s="1"/>
  <c r="N41" i="36" a="1"/>
  <c r="N41" i="36" s="1"/>
  <c r="O40" i="36" a="1"/>
  <c r="O40" i="36" s="1"/>
  <c r="N40" i="36" a="1"/>
  <c r="N40" i="36" s="1"/>
  <c r="O39" i="36" a="1"/>
  <c r="O39" i="36" s="1"/>
  <c r="N39" i="36" a="1"/>
  <c r="N39" i="36" s="1"/>
  <c r="O38" i="36" a="1"/>
  <c r="O38" i="36" s="1"/>
  <c r="N38" i="36" a="1"/>
  <c r="N38" i="36" s="1"/>
  <c r="O37" i="36" a="1"/>
  <c r="O37" i="36" s="1"/>
  <c r="N37" i="36" a="1"/>
  <c r="N37" i="36" s="1"/>
  <c r="O35" i="36" a="1"/>
  <c r="O35" i="36" s="1"/>
  <c r="N35" i="36" a="1"/>
  <c r="N35" i="36" s="1"/>
  <c r="O34" i="36" a="1"/>
  <c r="O34" i="36" s="1"/>
  <c r="N34" i="36" a="1"/>
  <c r="N34" i="36" s="1"/>
  <c r="O33" i="36" a="1"/>
  <c r="O33" i="36" s="1"/>
  <c r="N33" i="36" a="1"/>
  <c r="N33" i="36" s="1"/>
  <c r="O32" i="36" a="1"/>
  <c r="O32" i="36" s="1"/>
  <c r="N32" i="36" a="1"/>
  <c r="N32" i="36" s="1"/>
  <c r="O31" i="36" a="1"/>
  <c r="O31" i="36" s="1"/>
  <c r="N31" i="36" a="1"/>
  <c r="N31" i="36" s="1"/>
  <c r="O30" i="36" a="1"/>
  <c r="O30" i="36" s="1"/>
  <c r="N30" i="36" a="1"/>
  <c r="N30" i="36" s="1"/>
  <c r="O29" i="36" a="1"/>
  <c r="O29" i="36" s="1"/>
  <c r="N29" i="36" a="1"/>
  <c r="N29" i="36" s="1"/>
  <c r="O28" i="36" a="1"/>
  <c r="O28" i="36" s="1"/>
  <c r="N28" i="36" a="1"/>
  <c r="N28" i="36" s="1"/>
  <c r="O27" i="36" a="1"/>
  <c r="O27" i="36" s="1"/>
  <c r="N27" i="36" a="1"/>
  <c r="N27" i="36" s="1"/>
  <c r="O26" i="36" a="1"/>
  <c r="O26" i="36" s="1"/>
  <c r="N26" i="36" a="1"/>
  <c r="N26" i="36" s="1"/>
  <c r="O25" i="36" a="1"/>
  <c r="O25" i="36" s="1"/>
  <c r="N25" i="36" a="1"/>
  <c r="N25" i="36" s="1"/>
  <c r="O24" i="36" a="1"/>
  <c r="O24" i="36" s="1"/>
  <c r="N24" i="36" a="1"/>
  <c r="N24" i="36" s="1"/>
  <c r="O23" i="36" a="1"/>
  <c r="O23" i="36" s="1"/>
  <c r="N23" i="36" a="1"/>
  <c r="N23" i="36" s="1"/>
  <c r="O22" i="36" a="1"/>
  <c r="O22" i="36" s="1"/>
  <c r="N22" i="36" a="1"/>
  <c r="N22" i="36" s="1"/>
  <c r="O21" i="36" a="1"/>
  <c r="O21" i="36" s="1"/>
  <c r="N21" i="36" a="1"/>
  <c r="N21" i="36" s="1"/>
  <c r="O20" i="36" a="1"/>
  <c r="O20" i="36" s="1"/>
  <c r="N20" i="36" a="1"/>
  <c r="N20" i="36" s="1"/>
  <c r="O19" i="36" a="1"/>
  <c r="O19" i="36" s="1"/>
  <c r="N19" i="36" a="1"/>
  <c r="N19" i="36" s="1"/>
  <c r="O18" i="36" a="1"/>
  <c r="O18" i="36" s="1"/>
  <c r="N18" i="36" a="1"/>
  <c r="N18" i="36" s="1"/>
  <c r="O17" i="36" a="1"/>
  <c r="O17" i="36" s="1"/>
  <c r="N17" i="36" a="1"/>
  <c r="N17" i="36" s="1"/>
  <c r="O16" i="36" a="1"/>
  <c r="O16" i="36" s="1"/>
  <c r="N16" i="36" a="1"/>
  <c r="N16" i="36" s="1"/>
  <c r="O15" i="36" a="1"/>
  <c r="O15" i="36" s="1"/>
  <c r="N15" i="36" a="1"/>
  <c r="N15" i="36" s="1"/>
  <c r="O14" i="36" a="1"/>
  <c r="O14" i="36" s="1"/>
  <c r="N14" i="36" a="1"/>
  <c r="N14" i="36" s="1"/>
  <c r="D49" i="35"/>
  <c r="BE15" i="35"/>
  <c r="AS2" i="35"/>
  <c r="AM2" i="35"/>
  <c r="AG2" i="35"/>
  <c r="AA2" i="35"/>
  <c r="U2" i="35"/>
  <c r="O2" i="35"/>
  <c r="I2" i="35"/>
  <c r="C2" i="35"/>
  <c r="D12" i="37" l="1"/>
  <c r="D11" i="37"/>
  <c r="D19" i="37"/>
  <c r="D18" i="37"/>
  <c r="D9" i="37"/>
  <c r="D6" i="37"/>
  <c r="D5" i="37"/>
  <c r="D7" i="37"/>
  <c r="D8" i="37"/>
  <c r="D10" i="37"/>
  <c r="F18" i="37"/>
  <c r="I8" i="37"/>
  <c r="H7" i="37"/>
  <c r="H5" i="37"/>
  <c r="J5" i="37"/>
  <c r="L1632" i="37"/>
  <c r="L1385" i="37"/>
  <c r="L1153" i="37"/>
  <c r="L877" i="37"/>
  <c r="G6" i="37" s="1"/>
  <c r="L647" i="37"/>
  <c r="F6" i="37" s="1"/>
  <c r="L460" i="37"/>
  <c r="L1372" i="37"/>
  <c r="I6" i="37" s="1"/>
  <c r="L1140" i="37"/>
  <c r="H19" i="37" s="1"/>
  <c r="L1619" i="37"/>
  <c r="J19" i="37" s="1"/>
  <c r="L664" i="37"/>
  <c r="L1649" i="37"/>
  <c r="J7" i="37" s="1"/>
  <c r="L894" i="37"/>
  <c r="G5" i="37" s="1"/>
  <c r="L1170" i="37"/>
  <c r="L477" i="37"/>
  <c r="L1402" i="37"/>
  <c r="D57" i="35"/>
  <c r="D80" i="35" s="1"/>
  <c r="D72" i="35"/>
  <c r="D50" i="35"/>
  <c r="D73" i="35" s="1"/>
  <c r="D65" i="35"/>
  <c r="D51" i="35"/>
  <c r="D74" i="35" s="1"/>
  <c r="D66" i="35"/>
  <c r="D52" i="35"/>
  <c r="D75" i="35" s="1"/>
  <c r="D67" i="35"/>
  <c r="D54" i="35"/>
  <c r="D77" i="35" s="1"/>
  <c r="D69" i="35"/>
  <c r="D55" i="35"/>
  <c r="D78" i="35" s="1"/>
  <c r="D53" i="35"/>
  <c r="D76" i="35" s="1"/>
  <c r="D68" i="35"/>
  <c r="D56" i="35"/>
  <c r="D79" i="35" s="1"/>
  <c r="BE15" i="33"/>
  <c r="B98" i="33"/>
  <c r="B90" i="33"/>
  <c r="J9" i="37" l="1"/>
  <c r="F10" i="37"/>
  <c r="I11" i="37"/>
  <c r="G19" i="37"/>
  <c r="F7" i="37"/>
  <c r="E19" i="37"/>
  <c r="J18" i="37"/>
  <c r="F19" i="37"/>
  <c r="E11" i="37"/>
  <c r="E10" i="37"/>
  <c r="I9" i="37"/>
  <c r="G11" i="37"/>
  <c r="H9" i="37"/>
  <c r="F5" i="37"/>
  <c r="E5" i="37"/>
  <c r="H18" i="37"/>
  <c r="E12" i="37"/>
  <c r="F8" i="37"/>
  <c r="G10" i="37"/>
  <c r="I19" i="37"/>
  <c r="E9" i="37"/>
  <c r="J6" i="37"/>
  <c r="E6" i="37"/>
  <c r="H10" i="37"/>
  <c r="I18" i="37"/>
  <c r="E18" i="37"/>
  <c r="G8" i="37"/>
  <c r="I7" i="37"/>
  <c r="J11" i="37"/>
  <c r="I10" i="37"/>
  <c r="G12" i="37"/>
  <c r="H6" i="37"/>
  <c r="H8" i="37"/>
  <c r="J8" i="37"/>
  <c r="J10" i="37"/>
  <c r="F12" i="37"/>
  <c r="I5" i="37"/>
  <c r="E7" i="37"/>
  <c r="H11" i="37"/>
  <c r="W21" i="37" s="1"/>
  <c r="D22" i="37"/>
  <c r="D21" i="37"/>
  <c r="S21" i="37"/>
  <c r="F9" i="37"/>
  <c r="G18" i="37"/>
  <c r="E8" i="37"/>
  <c r="F11" i="37"/>
  <c r="G7" i="37"/>
  <c r="G21" i="37" s="1"/>
  <c r="J12" i="37"/>
  <c r="I12" i="37"/>
  <c r="G9" i="37"/>
  <c r="H12" i="37"/>
  <c r="X16" i="30"/>
  <c r="X12" i="30"/>
  <c r="W131" i="15"/>
  <c r="J21" i="37" l="1"/>
  <c r="J22" i="37"/>
  <c r="H21" i="37"/>
  <c r="Y21" i="37"/>
  <c r="H22" i="37"/>
  <c r="X21" i="37"/>
  <c r="I22" i="37"/>
  <c r="I21" i="37"/>
  <c r="E22" i="37"/>
  <c r="E21" i="37"/>
  <c r="T21" i="37"/>
  <c r="G22" i="37"/>
  <c r="F21" i="37"/>
  <c r="U21" i="37"/>
  <c r="F22" i="37"/>
  <c r="V21" i="37"/>
  <c r="E22" i="18"/>
  <c r="E114" i="18" l="1"/>
  <c r="D113" i="18"/>
  <c r="B29" i="18"/>
  <c r="B28" i="18"/>
  <c r="C33" i="18"/>
  <c r="B27" i="18" s="1"/>
  <c r="B33" i="18"/>
  <c r="B26" i="18" s="1"/>
  <c r="A33" i="18"/>
  <c r="B25" i="18" s="1"/>
  <c r="R65" i="3"/>
  <c r="A114" i="18" l="1"/>
  <c r="C114" i="18"/>
  <c r="B114" i="18"/>
  <c r="F36" i="18" l="1"/>
  <c r="F35" i="18"/>
  <c r="F34" i="18"/>
  <c r="F33" i="18"/>
  <c r="F114" i="18" s="1"/>
  <c r="F21" i="18"/>
  <c r="F20" i="18"/>
  <c r="F19" i="18"/>
  <c r="F18" i="18"/>
  <c r="F17" i="18"/>
  <c r="F16" i="18"/>
  <c r="F15" i="18"/>
  <c r="E15" i="18"/>
  <c r="C15" i="18"/>
  <c r="B15" i="18"/>
  <c r="A15" i="18"/>
  <c r="F14" i="18"/>
  <c r="F13" i="18"/>
  <c r="F12" i="18"/>
  <c r="C12" i="18"/>
  <c r="B12" i="18"/>
  <c r="B5" i="18" s="1"/>
  <c r="A12" i="18"/>
  <c r="B8" i="18"/>
  <c r="B7" i="18"/>
  <c r="D81" i="33"/>
  <c r="E81" i="33"/>
  <c r="F81" i="33"/>
  <c r="G81" i="33"/>
  <c r="H81" i="33"/>
  <c r="I81" i="33"/>
  <c r="J81" i="33"/>
  <c r="D82" i="33"/>
  <c r="E82" i="33"/>
  <c r="F82" i="33"/>
  <c r="G82" i="33"/>
  <c r="H82" i="33"/>
  <c r="I82" i="33"/>
  <c r="J82" i="33"/>
  <c r="D83" i="33"/>
  <c r="E83" i="33"/>
  <c r="F83" i="33"/>
  <c r="G83" i="33"/>
  <c r="H83" i="33"/>
  <c r="I83" i="33"/>
  <c r="J83" i="33"/>
  <c r="D84" i="33"/>
  <c r="E84" i="33"/>
  <c r="F84" i="33"/>
  <c r="G84" i="33"/>
  <c r="H84" i="33"/>
  <c r="I84" i="33"/>
  <c r="J84" i="33"/>
  <c r="B4" i="18" l="1"/>
  <c r="A113" i="18"/>
  <c r="B6" i="18"/>
  <c r="Y152" i="33"/>
  <c r="AF112" i="33"/>
  <c r="AE112" i="33"/>
  <c r="AD112" i="33"/>
  <c r="AC112" i="33"/>
  <c r="AB112" i="33"/>
  <c r="AA112" i="33"/>
  <c r="Z112" i="33"/>
  <c r="Y112" i="33"/>
  <c r="B105" i="33"/>
  <c r="B104" i="33"/>
  <c r="B103" i="33"/>
  <c r="B102" i="33"/>
  <c r="B101" i="33"/>
  <c r="B100" i="33"/>
  <c r="B99" i="33"/>
  <c r="B97" i="33"/>
  <c r="B96" i="33"/>
  <c r="B95" i="33"/>
  <c r="B94" i="33"/>
  <c r="B93" i="33"/>
  <c r="B92" i="33"/>
  <c r="B91" i="33"/>
  <c r="K85" i="33"/>
  <c r="J85" i="33"/>
  <c r="I85" i="33"/>
  <c r="H85" i="33"/>
  <c r="G85" i="33"/>
  <c r="F85" i="33"/>
  <c r="E85" i="33"/>
  <c r="D85" i="33"/>
  <c r="K84" i="33"/>
  <c r="K83" i="33"/>
  <c r="K82" i="33"/>
  <c r="K81" i="33"/>
  <c r="K80" i="33"/>
  <c r="J80" i="33"/>
  <c r="I80" i="33"/>
  <c r="H80" i="33"/>
  <c r="G80" i="33"/>
  <c r="F80" i="33"/>
  <c r="E80" i="33"/>
  <c r="D80" i="33"/>
  <c r="K79" i="33"/>
  <c r="J79" i="33"/>
  <c r="I79" i="33"/>
  <c r="H79" i="33"/>
  <c r="G79" i="33"/>
  <c r="F79" i="33"/>
  <c r="E79" i="33"/>
  <c r="D79" i="33"/>
  <c r="K78" i="33"/>
  <c r="J78" i="33"/>
  <c r="I78" i="33"/>
  <c r="H78" i="33"/>
  <c r="G78" i="33"/>
  <c r="F78" i="33"/>
  <c r="E78" i="33"/>
  <c r="D78" i="33"/>
  <c r="G77" i="33"/>
  <c r="F77" i="33"/>
  <c r="AY2" i="33"/>
  <c r="AS2" i="33"/>
  <c r="AM2" i="33"/>
  <c r="AG2" i="33"/>
  <c r="AA2" i="33"/>
  <c r="U2" i="33"/>
  <c r="O2" i="33"/>
  <c r="I2" i="33"/>
  <c r="C2" i="33"/>
  <c r="H6" i="20"/>
  <c r="K174" i="23" l="1"/>
  <c r="L174" i="23"/>
  <c r="M174" i="23"/>
  <c r="N174" i="23"/>
  <c r="O174" i="23"/>
  <c r="K175" i="23"/>
  <c r="L175" i="23"/>
  <c r="M175" i="23"/>
  <c r="N175" i="23"/>
  <c r="O175" i="23"/>
  <c r="K176" i="23"/>
  <c r="L176" i="23"/>
  <c r="M176" i="23"/>
  <c r="N176" i="23"/>
  <c r="O176" i="23"/>
  <c r="K177" i="23"/>
  <c r="L177" i="23"/>
  <c r="M177" i="23"/>
  <c r="N177" i="23"/>
  <c r="O177" i="23"/>
  <c r="K180" i="23"/>
  <c r="L180" i="23"/>
  <c r="M180" i="23"/>
  <c r="N180" i="23"/>
  <c r="O180" i="23"/>
  <c r="K178" i="23"/>
  <c r="L178" i="23"/>
  <c r="M178" i="23"/>
  <c r="N178" i="23"/>
  <c r="O178" i="23"/>
  <c r="K179" i="23"/>
  <c r="L179" i="23"/>
  <c r="M179" i="23"/>
  <c r="N179" i="23"/>
  <c r="O179" i="23"/>
  <c r="J179" i="23"/>
  <c r="J178" i="23"/>
  <c r="P179" i="23"/>
  <c r="P178" i="23"/>
  <c r="J180" i="23"/>
  <c r="Q180" i="23" s="1"/>
  <c r="J177" i="23"/>
  <c r="J176" i="23"/>
  <c r="J175" i="23"/>
  <c r="J174" i="23"/>
  <c r="P175" i="23"/>
  <c r="P176" i="23"/>
  <c r="P177" i="23"/>
  <c r="P180" i="23"/>
  <c r="P174" i="23"/>
  <c r="V172" i="23"/>
  <c r="U172" i="23"/>
  <c r="T172" i="23"/>
  <c r="S172" i="23"/>
  <c r="R172" i="23"/>
  <c r="Q172" i="23"/>
  <c r="R176" i="23" l="1"/>
  <c r="U179" i="23"/>
  <c r="S179" i="23"/>
  <c r="U177" i="23"/>
  <c r="V179" i="23"/>
  <c r="T180" i="23"/>
  <c r="T179" i="23"/>
  <c r="V178" i="23"/>
  <c r="T178" i="23"/>
  <c r="U178" i="23"/>
  <c r="Q179" i="23"/>
  <c r="U180" i="23"/>
  <c r="S176" i="23"/>
  <c r="R178" i="23"/>
  <c r="V175" i="23"/>
  <c r="S175" i="23"/>
  <c r="S178" i="23"/>
  <c r="Q177" i="23"/>
  <c r="S180" i="23"/>
  <c r="V177" i="23"/>
  <c r="Q178" i="23"/>
  <c r="V180" i="23"/>
  <c r="Q176" i="23"/>
  <c r="R175" i="23"/>
  <c r="V174" i="23"/>
  <c r="R180" i="23"/>
  <c r="T175" i="23"/>
  <c r="R174" i="23"/>
  <c r="U174" i="23"/>
  <c r="S174" i="23"/>
  <c r="R179" i="23"/>
  <c r="U175" i="23"/>
  <c r="T177" i="23"/>
  <c r="R177" i="23"/>
  <c r="U176" i="23"/>
  <c r="T176" i="23"/>
  <c r="T174" i="23"/>
  <c r="S177" i="23"/>
  <c r="V176" i="23"/>
  <c r="Q175" i="23"/>
  <c r="Q174" i="23"/>
  <c r="V64" i="34" l="1"/>
  <c r="U64" i="34"/>
  <c r="T64" i="34"/>
  <c r="S64" i="34"/>
  <c r="R64" i="34"/>
  <c r="Q64" i="34"/>
  <c r="P64" i="34"/>
  <c r="V62" i="34"/>
  <c r="U62" i="34"/>
  <c r="T62" i="34"/>
  <c r="S62" i="34"/>
  <c r="R62" i="34"/>
  <c r="Q62" i="34"/>
  <c r="P62" i="34"/>
  <c r="V56" i="34"/>
  <c r="U56" i="34"/>
  <c r="T56" i="34"/>
  <c r="S56" i="34"/>
  <c r="R56" i="34"/>
  <c r="Q56" i="34"/>
  <c r="P56" i="34"/>
  <c r="V48" i="34"/>
  <c r="U48" i="34"/>
  <c r="T48" i="34"/>
  <c r="S48" i="34"/>
  <c r="R48" i="34"/>
  <c r="Q48" i="34"/>
  <c r="P48" i="34"/>
  <c r="D209" i="34"/>
  <c r="D208" i="34"/>
  <c r="D207" i="34"/>
  <c r="D205" i="34"/>
  <c r="V80" i="34"/>
  <c r="U80" i="34"/>
  <c r="T80" i="34"/>
  <c r="S80" i="34"/>
  <c r="R80" i="34"/>
  <c r="Q80" i="34"/>
  <c r="P80" i="34"/>
  <c r="V79" i="34"/>
  <c r="U79" i="34"/>
  <c r="T79" i="34"/>
  <c r="S79" i="34"/>
  <c r="R79" i="34"/>
  <c r="Q79" i="34"/>
  <c r="P79" i="34"/>
  <c r="V78" i="34"/>
  <c r="U78" i="34"/>
  <c r="T78" i="34"/>
  <c r="S78" i="34"/>
  <c r="R78" i="34"/>
  <c r="Q78" i="34"/>
  <c r="P78" i="34"/>
  <c r="AB75" i="34"/>
  <c r="AA75" i="34"/>
  <c r="Z75" i="34"/>
  <c r="Y75" i="34"/>
  <c r="X75" i="34"/>
  <c r="W75" i="34"/>
  <c r="P75" i="34"/>
  <c r="AB74" i="34"/>
  <c r="AA74" i="34"/>
  <c r="Z74" i="34"/>
  <c r="Y74" i="34"/>
  <c r="X74" i="34"/>
  <c r="W74" i="34"/>
  <c r="P74" i="34"/>
  <c r="AB72" i="34"/>
  <c r="AA72" i="34"/>
  <c r="Z72" i="34"/>
  <c r="Y72" i="34"/>
  <c r="X72" i="34"/>
  <c r="W72" i="34"/>
  <c r="AB71" i="34"/>
  <c r="AA71" i="34"/>
  <c r="Z71" i="34"/>
  <c r="Y71" i="34"/>
  <c r="X71" i="34"/>
  <c r="W71" i="34"/>
  <c r="P71" i="34"/>
  <c r="AB70" i="34"/>
  <c r="AA70" i="34"/>
  <c r="Z70" i="34"/>
  <c r="Y70" i="34"/>
  <c r="X70" i="34"/>
  <c r="W70" i="34"/>
  <c r="V70" i="34"/>
  <c r="K13" i="34" s="1"/>
  <c r="U70" i="34"/>
  <c r="J13" i="34" s="1"/>
  <c r="W13" i="34" s="1"/>
  <c r="T70" i="34"/>
  <c r="S70" i="34"/>
  <c r="R70" i="34"/>
  <c r="Q70" i="34"/>
  <c r="P70" i="34"/>
  <c r="AB67" i="34"/>
  <c r="AA67" i="34"/>
  <c r="Z67" i="34"/>
  <c r="Y67" i="34"/>
  <c r="X67" i="34"/>
  <c r="W67" i="34"/>
  <c r="V67" i="34"/>
  <c r="U67" i="34"/>
  <c r="T67" i="34"/>
  <c r="S67" i="34"/>
  <c r="R67" i="34"/>
  <c r="Q67" i="34"/>
  <c r="P67" i="34"/>
  <c r="AB66" i="34"/>
  <c r="AA66" i="34"/>
  <c r="Z66" i="34"/>
  <c r="Y66" i="34"/>
  <c r="X66" i="34"/>
  <c r="W66" i="34"/>
  <c r="V66" i="34"/>
  <c r="U66" i="34"/>
  <c r="T66" i="34"/>
  <c r="S66" i="34"/>
  <c r="R66" i="34"/>
  <c r="Q66" i="34"/>
  <c r="P66" i="34"/>
  <c r="AB65" i="34"/>
  <c r="AA65" i="34"/>
  <c r="Z65" i="34"/>
  <c r="Y65" i="34"/>
  <c r="X65" i="34"/>
  <c r="W65" i="34"/>
  <c r="V65" i="34"/>
  <c r="U65" i="34"/>
  <c r="T65" i="34"/>
  <c r="S65" i="34"/>
  <c r="R65" i="34"/>
  <c r="Q65" i="34"/>
  <c r="P65" i="34"/>
  <c r="AB64" i="34"/>
  <c r="AA64" i="34"/>
  <c r="Z64" i="34"/>
  <c r="Y64" i="34"/>
  <c r="X64" i="34"/>
  <c r="W64" i="34"/>
  <c r="AB63" i="34"/>
  <c r="AA63" i="34"/>
  <c r="Z63" i="34"/>
  <c r="Y63" i="34"/>
  <c r="X63" i="34"/>
  <c r="W63" i="34"/>
  <c r="V63" i="34"/>
  <c r="U63" i="34"/>
  <c r="T63" i="34"/>
  <c r="S63" i="34"/>
  <c r="R63" i="34"/>
  <c r="Q63" i="34"/>
  <c r="P63" i="34"/>
  <c r="AB62" i="34"/>
  <c r="AA62" i="34"/>
  <c r="Z62" i="34"/>
  <c r="Y62" i="34"/>
  <c r="X62" i="34"/>
  <c r="W62" i="34"/>
  <c r="AB61" i="34"/>
  <c r="AA61" i="34"/>
  <c r="Z61" i="34"/>
  <c r="Y61" i="34"/>
  <c r="X61" i="34"/>
  <c r="W61" i="34"/>
  <c r="V61" i="34"/>
  <c r="U61" i="34"/>
  <c r="T61" i="34"/>
  <c r="S61" i="34"/>
  <c r="R61" i="34"/>
  <c r="Q61" i="34"/>
  <c r="P61" i="34"/>
  <c r="AB60" i="34"/>
  <c r="AA60" i="34"/>
  <c r="Z60" i="34"/>
  <c r="Y60" i="34"/>
  <c r="X60" i="34"/>
  <c r="W60" i="34"/>
  <c r="AB59" i="34"/>
  <c r="AA59" i="34"/>
  <c r="Z59" i="34"/>
  <c r="Y59" i="34"/>
  <c r="X59" i="34"/>
  <c r="W59" i="34"/>
  <c r="V59" i="34"/>
  <c r="U59" i="34"/>
  <c r="T59" i="34"/>
  <c r="S59" i="34"/>
  <c r="R59" i="34"/>
  <c r="Q59" i="34"/>
  <c r="P59" i="34"/>
  <c r="AB58" i="34"/>
  <c r="AA58" i="34"/>
  <c r="Z58" i="34"/>
  <c r="Y58" i="34"/>
  <c r="X58" i="34"/>
  <c r="W58" i="34"/>
  <c r="AB57" i="34"/>
  <c r="AA57" i="34"/>
  <c r="Z57" i="34"/>
  <c r="Y57" i="34"/>
  <c r="X57" i="34"/>
  <c r="W57" i="34"/>
  <c r="V57" i="34"/>
  <c r="U57" i="34"/>
  <c r="T57" i="34"/>
  <c r="S57" i="34"/>
  <c r="AH58" i="34" s="1"/>
  <c r="R57" i="34"/>
  <c r="Q57" i="34"/>
  <c r="P57" i="34"/>
  <c r="AB56" i="34"/>
  <c r="AA56" i="34"/>
  <c r="Z56" i="34"/>
  <c r="Y56" i="34"/>
  <c r="X56" i="34"/>
  <c r="W56" i="34"/>
  <c r="AB55" i="34"/>
  <c r="AA55" i="34"/>
  <c r="Z55" i="34"/>
  <c r="Y55" i="34"/>
  <c r="X55" i="34"/>
  <c r="W55" i="34"/>
  <c r="V55" i="34"/>
  <c r="U55" i="34"/>
  <c r="T55" i="34"/>
  <c r="AI57" i="34" s="1"/>
  <c r="S55" i="34"/>
  <c r="AH57" i="34" s="1"/>
  <c r="R55" i="34"/>
  <c r="Q55" i="34"/>
  <c r="AF57" i="34" s="1"/>
  <c r="P55" i="34"/>
  <c r="AE57" i="34" s="1"/>
  <c r="AB54" i="34"/>
  <c r="AA54" i="34"/>
  <c r="Z54" i="34"/>
  <c r="Y54" i="34"/>
  <c r="X54" i="34"/>
  <c r="W54" i="34"/>
  <c r="V54" i="34"/>
  <c r="U54" i="34"/>
  <c r="T54" i="34"/>
  <c r="S54" i="34"/>
  <c r="R54" i="34"/>
  <c r="Q54" i="34"/>
  <c r="P54" i="34"/>
  <c r="J39" i="34"/>
  <c r="I39" i="34"/>
  <c r="H39" i="34"/>
  <c r="J38" i="34"/>
  <c r="I38" i="34"/>
  <c r="H38" i="34"/>
  <c r="J32" i="34"/>
  <c r="I32" i="34"/>
  <c r="H32" i="34"/>
  <c r="AQ23" i="34"/>
  <c r="AP23" i="34"/>
  <c r="AO23" i="34"/>
  <c r="AN23" i="34"/>
  <c r="AM23" i="34"/>
  <c r="AL23" i="34"/>
  <c r="AL22" i="34"/>
  <c r="P20" i="34"/>
  <c r="O20" i="34"/>
  <c r="Q20" i="34" s="1"/>
  <c r="N20" i="34"/>
  <c r="M20" i="34"/>
  <c r="L20" i="34"/>
  <c r="K20" i="34"/>
  <c r="X20" i="34" s="1"/>
  <c r="J20" i="34"/>
  <c r="W20" i="34" s="1"/>
  <c r="I20" i="34"/>
  <c r="H20" i="34"/>
  <c r="G20" i="34"/>
  <c r="F20" i="34"/>
  <c r="E20" i="34"/>
  <c r="S20" i="34" s="1"/>
  <c r="D20" i="34"/>
  <c r="K19" i="34"/>
  <c r="J19" i="34"/>
  <c r="W19" i="34" s="1"/>
  <c r="I19" i="34"/>
  <c r="L19" i="34" s="1"/>
  <c r="G19" i="34"/>
  <c r="U19" i="34" s="1"/>
  <c r="F19" i="34"/>
  <c r="T19" i="34" s="1"/>
  <c r="E19" i="34"/>
  <c r="S19" i="34" s="1"/>
  <c r="D19" i="34"/>
  <c r="I13" i="34"/>
  <c r="L13" i="34" s="1"/>
  <c r="G13" i="34"/>
  <c r="U13" i="34" s="1"/>
  <c r="F13" i="34"/>
  <c r="T13" i="34" s="1"/>
  <c r="E13" i="34"/>
  <c r="S13" i="34" s="1"/>
  <c r="D13" i="34"/>
  <c r="AW7" i="34"/>
  <c r="AW23" i="34" s="1"/>
  <c r="AV7" i="34"/>
  <c r="AV23" i="34" s="1"/>
  <c r="AU7" i="34"/>
  <c r="AU23" i="34" s="1"/>
  <c r="AT7" i="34"/>
  <c r="AT23" i="34" s="1"/>
  <c r="AS7" i="34"/>
  <c r="AS23" i="34" s="1"/>
  <c r="AR7" i="34"/>
  <c r="AR23" i="34" s="1"/>
  <c r="AK7" i="34"/>
  <c r="AK23" i="34" s="1"/>
  <c r="AJ7" i="34"/>
  <c r="AJ23" i="34" s="1"/>
  <c r="AI7" i="34"/>
  <c r="AI23" i="34" s="1"/>
  <c r="AH7" i="34"/>
  <c r="AH23" i="34" s="1"/>
  <c r="AG7" i="34"/>
  <c r="AG23" i="34" s="1"/>
  <c r="AF7" i="34"/>
  <c r="AF23" i="34" s="1"/>
  <c r="AE7" i="34"/>
  <c r="AE23" i="34" s="1"/>
  <c r="AD7" i="34"/>
  <c r="AD23" i="34" s="1"/>
  <c r="AC7" i="34"/>
  <c r="AC23" i="34" s="1"/>
  <c r="AB7" i="34"/>
  <c r="AB23" i="34" s="1"/>
  <c r="AA7" i="34"/>
  <c r="AA23" i="34" s="1"/>
  <c r="Z7" i="34"/>
  <c r="Z23" i="34" s="1"/>
  <c r="Y7" i="34"/>
  <c r="Y23" i="34" s="1"/>
  <c r="AR6" i="34"/>
  <c r="AR22" i="34" s="1"/>
  <c r="AH6" i="34"/>
  <c r="AH22" i="34" s="1"/>
  <c r="AD6" i="34"/>
  <c r="AD22" i="34" s="1"/>
  <c r="Y6" i="34"/>
  <c r="Y22" i="34" s="1"/>
  <c r="D19" i="23"/>
  <c r="P55" i="23"/>
  <c r="I55" i="18"/>
  <c r="I54" i="18"/>
  <c r="I53" i="18"/>
  <c r="I52" i="18"/>
  <c r="I51" i="18"/>
  <c r="I50" i="18"/>
  <c r="I49" i="18"/>
  <c r="E61" i="18"/>
  <c r="D61" i="18"/>
  <c r="B61" i="18"/>
  <c r="A61" i="18"/>
  <c r="H60" i="18"/>
  <c r="G60" i="18"/>
  <c r="D60" i="18"/>
  <c r="C60" i="18"/>
  <c r="A60" i="18"/>
  <c r="H59" i="18"/>
  <c r="G59" i="18"/>
  <c r="D59" i="18"/>
  <c r="C59" i="18"/>
  <c r="A59" i="18"/>
  <c r="H58" i="18"/>
  <c r="G58" i="18"/>
  <c r="D58" i="18"/>
  <c r="C58" i="18"/>
  <c r="A58" i="18"/>
  <c r="H57" i="18"/>
  <c r="G57" i="18"/>
  <c r="D57" i="18"/>
  <c r="C57" i="18"/>
  <c r="A57" i="18"/>
  <c r="H56" i="18"/>
  <c r="G56" i="18"/>
  <c r="D56" i="18"/>
  <c r="C56" i="18"/>
  <c r="A56" i="18"/>
  <c r="G55" i="18"/>
  <c r="E55" i="18"/>
  <c r="D55" i="18"/>
  <c r="C55" i="18"/>
  <c r="B55" i="18"/>
  <c r="A55" i="18"/>
  <c r="G54" i="18"/>
  <c r="E54" i="18"/>
  <c r="D54" i="18"/>
  <c r="C54" i="18"/>
  <c r="B54" i="18"/>
  <c r="A54" i="18"/>
  <c r="G53" i="18"/>
  <c r="E53" i="18"/>
  <c r="D53" i="18"/>
  <c r="C53" i="18"/>
  <c r="B53" i="18"/>
  <c r="A53" i="18"/>
  <c r="G52" i="18"/>
  <c r="E52" i="18"/>
  <c r="D52" i="18"/>
  <c r="C52" i="18"/>
  <c r="B52" i="18"/>
  <c r="A52" i="18"/>
  <c r="G51" i="18"/>
  <c r="F51" i="18"/>
  <c r="E51" i="18"/>
  <c r="D51" i="18"/>
  <c r="C51" i="18"/>
  <c r="B51" i="18"/>
  <c r="A51" i="18"/>
  <c r="G50" i="18"/>
  <c r="E50" i="18"/>
  <c r="D50" i="18"/>
  <c r="C50" i="18"/>
  <c r="B50" i="18"/>
  <c r="A50" i="18"/>
  <c r="G49" i="18"/>
  <c r="E49" i="18"/>
  <c r="D49" i="18"/>
  <c r="C49" i="18"/>
  <c r="B49" i="18"/>
  <c r="A49" i="18"/>
  <c r="G48" i="18"/>
  <c r="D48" i="18"/>
  <c r="C48" i="18"/>
  <c r="L15" i="32"/>
  <c r="F56" i="18" s="1"/>
  <c r="L16" i="32"/>
  <c r="F57" i="18" s="1"/>
  <c r="L17" i="32"/>
  <c r="F58" i="18" s="1"/>
  <c r="L18" i="32"/>
  <c r="F59" i="18" s="1"/>
  <c r="L19" i="32"/>
  <c r="F60" i="18" s="1"/>
  <c r="A48" i="18"/>
  <c r="L20" i="32"/>
  <c r="F61" i="18" s="1"/>
  <c r="J9" i="32"/>
  <c r="J10" i="32"/>
  <c r="J11" i="32"/>
  <c r="J12" i="32"/>
  <c r="J13" i="32"/>
  <c r="J14" i="32"/>
  <c r="J15" i="32"/>
  <c r="J16" i="32"/>
  <c r="J17" i="32"/>
  <c r="J18" i="32"/>
  <c r="J19" i="32"/>
  <c r="J8" i="32"/>
  <c r="L14" i="32"/>
  <c r="F55" i="18" s="1"/>
  <c r="L13" i="32"/>
  <c r="F54" i="18" s="1"/>
  <c r="L12" i="32"/>
  <c r="F53" i="18" s="1"/>
  <c r="L11" i="32"/>
  <c r="F52" i="18" s="1"/>
  <c r="L10" i="32"/>
  <c r="L9" i="32"/>
  <c r="F50" i="18" s="1"/>
  <c r="L8" i="32"/>
  <c r="F49" i="18" s="1"/>
  <c r="L7" i="32"/>
  <c r="F48" i="18" s="1"/>
  <c r="C47" i="18"/>
  <c r="B47" i="18"/>
  <c r="A47" i="18"/>
  <c r="F47" i="18"/>
  <c r="E7" i="32"/>
  <c r="E20" i="32" s="1"/>
  <c r="J20" i="32" s="1"/>
  <c r="AE58" i="34" l="1"/>
  <c r="U58" i="34"/>
  <c r="P19" i="34"/>
  <c r="P13" i="34"/>
  <c r="V19" i="34"/>
  <c r="AK57" i="34"/>
  <c r="U60" i="34"/>
  <c r="AJ59" i="34"/>
  <c r="M13" i="34"/>
  <c r="H13" i="34"/>
  <c r="V13" i="34"/>
  <c r="M19" i="34"/>
  <c r="H19" i="34"/>
  <c r="T20" i="34"/>
  <c r="AG57" i="34"/>
  <c r="X13" i="34"/>
  <c r="V20" i="34"/>
  <c r="U20" i="34"/>
  <c r="AJ57" i="34"/>
  <c r="N13" i="34"/>
  <c r="O13" i="34"/>
  <c r="X19" i="34"/>
  <c r="N19" i="34"/>
  <c r="S58" i="34"/>
  <c r="AJ58" i="34"/>
  <c r="O19" i="34"/>
  <c r="J7" i="32"/>
  <c r="D23" i="30"/>
  <c r="E15" i="30"/>
  <c r="E21" i="30" s="1"/>
  <c r="E14" i="30"/>
  <c r="E20" i="30" s="1"/>
  <c r="D17" i="30"/>
  <c r="C12" i="30"/>
  <c r="C18" i="30" s="1"/>
  <c r="T10" i="30"/>
  <c r="R10" i="30"/>
  <c r="P10" i="30"/>
  <c r="T9" i="30"/>
  <c r="T8" i="30"/>
  <c r="T7" i="30"/>
  <c r="F10" i="30"/>
  <c r="F16" i="30" s="1"/>
  <c r="F22" i="30" s="1"/>
  <c r="F9" i="30"/>
  <c r="F15" i="30" s="1"/>
  <c r="F21" i="30" s="1"/>
  <c r="F8" i="30"/>
  <c r="F14" i="30" s="1"/>
  <c r="F20" i="30" s="1"/>
  <c r="F7" i="30"/>
  <c r="F13" i="30" s="1"/>
  <c r="F19" i="30" s="1"/>
  <c r="F6" i="30"/>
  <c r="F12" i="30" s="1"/>
  <c r="F18" i="30" s="1"/>
  <c r="E10" i="30"/>
  <c r="E16" i="30" s="1"/>
  <c r="E22" i="30" s="1"/>
  <c r="E9" i="30"/>
  <c r="E8" i="30"/>
  <c r="E7" i="30"/>
  <c r="E13" i="30" s="1"/>
  <c r="E19" i="30" s="1"/>
  <c r="D10" i="30"/>
  <c r="D16" i="30" s="1"/>
  <c r="D6" i="30"/>
  <c r="D12" i="30" s="1"/>
  <c r="D18" i="30" s="1"/>
  <c r="E6" i="30"/>
  <c r="E12" i="30" s="1"/>
  <c r="E18" i="30" s="1"/>
  <c r="F41" i="10"/>
  <c r="L36" i="10"/>
  <c r="L35" i="10"/>
  <c r="L34" i="10"/>
  <c r="M33" i="10"/>
  <c r="L33" i="10"/>
  <c r="I35" i="10"/>
  <c r="I34" i="10"/>
  <c r="I33" i="10"/>
  <c r="L32" i="10"/>
  <c r="L31" i="10"/>
  <c r="I22" i="10"/>
  <c r="I32" i="10" s="1"/>
  <c r="I21" i="10"/>
  <c r="I31" i="10"/>
  <c r="H30" i="10"/>
  <c r="L26" i="10"/>
  <c r="L25" i="10"/>
  <c r="L24" i="10"/>
  <c r="L23" i="10"/>
  <c r="I25" i="10"/>
  <c r="I24" i="10"/>
  <c r="I23" i="10"/>
  <c r="L22" i="10"/>
  <c r="L21" i="10"/>
  <c r="M16" i="10"/>
  <c r="M15" i="10"/>
  <c r="M14" i="10"/>
  <c r="M13" i="10"/>
  <c r="I17" i="10"/>
  <c r="J17" i="10"/>
  <c r="J15" i="10"/>
  <c r="J14" i="10"/>
  <c r="J13" i="10"/>
  <c r="L16" i="10"/>
  <c r="L15" i="10"/>
  <c r="L14" i="10"/>
  <c r="L13" i="10"/>
  <c r="I13" i="10"/>
  <c r="I14" i="10"/>
  <c r="I15" i="10"/>
  <c r="K16" i="10"/>
  <c r="K15" i="10"/>
  <c r="K14" i="10"/>
  <c r="K13" i="10"/>
  <c r="E16" i="10"/>
  <c r="H15" i="10"/>
  <c r="H14" i="10"/>
  <c r="H13" i="10"/>
  <c r="E14" i="10"/>
  <c r="D14" i="10" s="1"/>
  <c r="A17" i="10"/>
  <c r="A16" i="10"/>
  <c r="A15" i="10"/>
  <c r="A14" i="10"/>
  <c r="A13" i="10"/>
  <c r="C57" i="34" l="1"/>
  <c r="P58" i="34"/>
  <c r="AK58" i="34"/>
  <c r="V58" i="34"/>
  <c r="R19" i="34"/>
  <c r="R20" i="34" s="1"/>
  <c r="Q19" i="34"/>
  <c r="T58" i="34"/>
  <c r="AI58" i="34"/>
  <c r="AJ60" i="34"/>
  <c r="R58" i="34"/>
  <c r="AG58" i="34"/>
  <c r="AH59" i="34"/>
  <c r="S60" i="34"/>
  <c r="P60" i="34"/>
  <c r="AE59" i="34"/>
  <c r="C59" i="34"/>
  <c r="R13" i="34"/>
  <c r="Q13" i="34"/>
  <c r="Q58" i="34"/>
  <c r="AF58" i="34"/>
  <c r="D22" i="30"/>
  <c r="V60" i="34" l="1"/>
  <c r="AK59" i="34"/>
  <c r="AE60" i="34"/>
  <c r="C61" i="34"/>
  <c r="AJ62" i="34"/>
  <c r="AJ61" i="34"/>
  <c r="T60" i="34"/>
  <c r="AI59" i="34"/>
  <c r="Q60" i="34"/>
  <c r="AF59" i="34"/>
  <c r="AH60" i="34"/>
  <c r="R60" i="34"/>
  <c r="AG59" i="34"/>
  <c r="AJ63" i="34" l="1"/>
  <c r="AK60" i="34"/>
  <c r="AF60" i="34"/>
  <c r="AG60" i="34"/>
  <c r="AI60" i="34"/>
  <c r="AE61" i="34"/>
  <c r="C63" i="34"/>
  <c r="AH62" i="34"/>
  <c r="AH61" i="34"/>
  <c r="T43" i="27"/>
  <c r="T42" i="27"/>
  <c r="T41" i="27"/>
  <c r="T40" i="27"/>
  <c r="T43" i="28"/>
  <c r="T42" i="28"/>
  <c r="T41" i="28"/>
  <c r="T40" i="28"/>
  <c r="AL41" i="3"/>
  <c r="AL42" i="3"/>
  <c r="AL43" i="3"/>
  <c r="AG44" i="27"/>
  <c r="AG44" i="28"/>
  <c r="AG44" i="3"/>
  <c r="K43" i="3"/>
  <c r="K42" i="3"/>
  <c r="K41" i="3"/>
  <c r="K40" i="3"/>
  <c r="P56" i="23"/>
  <c r="AE58" i="23" s="1"/>
  <c r="Q58" i="23"/>
  <c r="R58" i="23"/>
  <c r="S58" i="23"/>
  <c r="T58" i="23"/>
  <c r="U58" i="23"/>
  <c r="Q56" i="23"/>
  <c r="AF58" i="23" s="1"/>
  <c r="R56" i="23"/>
  <c r="AG58" i="23" s="1"/>
  <c r="S56" i="23"/>
  <c r="AH58" i="23" s="1"/>
  <c r="T56" i="23"/>
  <c r="AI58" i="23" s="1"/>
  <c r="U56" i="23"/>
  <c r="AJ58" i="23" s="1"/>
  <c r="V56" i="23"/>
  <c r="AK58" i="23" s="1"/>
  <c r="P67" i="23"/>
  <c r="P62" i="23"/>
  <c r="AK62" i="34" l="1"/>
  <c r="AK61" i="34"/>
  <c r="AI62" i="34"/>
  <c r="AI61" i="34"/>
  <c r="AG62" i="34"/>
  <c r="AG61" i="34"/>
  <c r="AE62" i="34"/>
  <c r="AE63" i="34" s="1"/>
  <c r="C65" i="34"/>
  <c r="AA46" i="3"/>
  <c r="AA47" i="3" s="1"/>
  <c r="AF62" i="34"/>
  <c r="AF61" i="34"/>
  <c r="AH63" i="34"/>
  <c r="R57" i="23"/>
  <c r="AG59" i="23" s="1"/>
  <c r="T57" i="23"/>
  <c r="AI59" i="23" s="1"/>
  <c r="S57" i="23"/>
  <c r="AH59" i="23" s="1"/>
  <c r="U57" i="23"/>
  <c r="AJ59" i="23" s="1"/>
  <c r="Q57" i="23"/>
  <c r="AF59" i="23" s="1"/>
  <c r="W12" i="12"/>
  <c r="F46" i="10"/>
  <c r="E46" i="10"/>
  <c r="E17" i="10"/>
  <c r="E15" i="10"/>
  <c r="E13" i="10"/>
  <c r="D13" i="10" s="1"/>
  <c r="U43" i="3"/>
  <c r="Q30" i="13"/>
  <c r="Q29" i="13"/>
  <c r="Q28" i="13"/>
  <c r="Q27" i="13"/>
  <c r="Q26" i="13"/>
  <c r="Q25" i="13"/>
  <c r="P28" i="13"/>
  <c r="P27" i="13"/>
  <c r="P26" i="13"/>
  <c r="P25" i="13"/>
  <c r="P29" i="13"/>
  <c r="U30" i="13"/>
  <c r="S29" i="13"/>
  <c r="R29" i="13"/>
  <c r="S28" i="13"/>
  <c r="R28" i="13"/>
  <c r="R27" i="13"/>
  <c r="R26" i="13"/>
  <c r="S25" i="13"/>
  <c r="R25" i="13"/>
  <c r="O28" i="13"/>
  <c r="O27" i="13"/>
  <c r="O26" i="13"/>
  <c r="O25" i="13"/>
  <c r="AF63" i="34" l="1"/>
  <c r="AG63" i="34"/>
  <c r="AK63" i="34"/>
  <c r="AB46" i="3"/>
  <c r="AB47" i="3" s="1"/>
  <c r="AI63" i="34"/>
  <c r="Z20" i="13"/>
  <c r="Z19" i="13"/>
  <c r="Z18" i="13"/>
  <c r="Z17" i="13"/>
  <c r="AA17" i="13" s="1"/>
  <c r="AA15" i="13"/>
  <c r="Z15" i="13"/>
  <c r="R20" i="13"/>
  <c r="R19" i="13"/>
  <c r="T27" i="13" s="1"/>
  <c r="R18" i="13"/>
  <c r="T26" i="13" s="1"/>
  <c r="R17" i="13"/>
  <c r="R40" i="27"/>
  <c r="U40" i="27" s="1"/>
  <c r="P44" i="27"/>
  <c r="Q44" i="27" s="1"/>
  <c r="P43" i="27"/>
  <c r="Q43" i="27" s="1"/>
  <c r="P42" i="27"/>
  <c r="Q42" i="27" s="1"/>
  <c r="P41" i="27"/>
  <c r="Q41" i="27" s="1"/>
  <c r="P40" i="27"/>
  <c r="Q40" i="27" s="1"/>
  <c r="AB71" i="23"/>
  <c r="AA71" i="23"/>
  <c r="Z71" i="23"/>
  <c r="Y71" i="23"/>
  <c r="X71" i="23"/>
  <c r="W71" i="23"/>
  <c r="V71" i="23"/>
  <c r="U71" i="23"/>
  <c r="T71" i="23"/>
  <c r="S71" i="23"/>
  <c r="R71" i="23"/>
  <c r="Q71" i="23"/>
  <c r="P71" i="23"/>
  <c r="D13" i="23" s="1"/>
  <c r="S43" i="3"/>
  <c r="V43" i="3" s="1"/>
  <c r="Y43" i="3" s="1"/>
  <c r="Z43" i="3" s="1"/>
  <c r="S17" i="13" l="1"/>
  <c r="T25" i="13"/>
  <c r="U25" i="13" s="1"/>
  <c r="S20" i="13"/>
  <c r="T28" i="13"/>
  <c r="U28" i="13" s="1"/>
  <c r="S40" i="27"/>
  <c r="F84" i="18"/>
  <c r="BA7" i="23"/>
  <c r="BA23" i="23" s="1"/>
  <c r="AZ7" i="23"/>
  <c r="AZ23" i="23" s="1"/>
  <c r="AY7" i="23"/>
  <c r="AY23" i="23" s="1"/>
  <c r="AX7" i="23"/>
  <c r="AX23" i="23" s="1"/>
  <c r="AW7" i="23"/>
  <c r="AW23" i="23" s="1"/>
  <c r="AV7" i="23"/>
  <c r="AV23" i="23" s="1"/>
  <c r="T132" i="15"/>
  <c r="T134" i="15"/>
  <c r="C25" i="8" s="1"/>
  <c r="AV6" i="23"/>
  <c r="AV22" i="23" s="1"/>
  <c r="D77" i="18"/>
  <c r="D84" i="18" s="1"/>
  <c r="D76" i="18"/>
  <c r="F77" i="18"/>
  <c r="G51" i="10"/>
  <c r="F51" i="10"/>
  <c r="E51" i="10"/>
  <c r="C51" i="10"/>
  <c r="M22" i="10"/>
  <c r="M32" i="10" s="1"/>
  <c r="J22" i="10"/>
  <c r="J32" i="10" s="1"/>
  <c r="M21" i="10"/>
  <c r="M31" i="10" s="1"/>
  <c r="J21" i="10"/>
  <c r="J31" i="10" s="1"/>
  <c r="F21" i="10"/>
  <c r="F31" i="10" s="1"/>
  <c r="Y17" i="13"/>
  <c r="W21" i="13"/>
  <c r="W20" i="13"/>
  <c r="W19" i="13"/>
  <c r="W18" i="13"/>
  <c r="W17" i="13"/>
  <c r="X20" i="13"/>
  <c r="AA20" i="13" s="1"/>
  <c r="X19" i="13"/>
  <c r="AA19" i="13" s="1"/>
  <c r="X18" i="13"/>
  <c r="R41" i="27" s="1"/>
  <c r="Y16" i="13"/>
  <c r="X16" i="13"/>
  <c r="W16" i="13"/>
  <c r="V16" i="13"/>
  <c r="Y18" i="13" l="1"/>
  <c r="AA18" i="13"/>
  <c r="S41" i="27"/>
  <c r="U41" i="27"/>
  <c r="N53" i="27"/>
  <c r="P53" i="27" s="1"/>
  <c r="V40" i="27"/>
  <c r="Y20" i="13"/>
  <c r="R43" i="27"/>
  <c r="Y19" i="13"/>
  <c r="R42" i="27"/>
  <c r="D78" i="18"/>
  <c r="F83" i="18"/>
  <c r="F82" i="18"/>
  <c r="W14" i="12"/>
  <c r="W15" i="12"/>
  <c r="U16" i="12"/>
  <c r="P75" i="23"/>
  <c r="AN22" i="23"/>
  <c r="AS23" i="23"/>
  <c r="AR23" i="23"/>
  <c r="AQ23" i="23"/>
  <c r="AP23" i="23"/>
  <c r="AO23" i="23"/>
  <c r="AN23" i="23"/>
  <c r="G13" i="23"/>
  <c r="W13" i="23" s="1"/>
  <c r="J32" i="23"/>
  <c r="I32" i="23"/>
  <c r="J39" i="23"/>
  <c r="J38" i="23"/>
  <c r="I39" i="23"/>
  <c r="I38" i="23"/>
  <c r="H32" i="23"/>
  <c r="Q76" i="28"/>
  <c r="O69" i="28"/>
  <c r="N69" i="28"/>
  <c r="AM62" i="28"/>
  <c r="AL62" i="28"/>
  <c r="M47" i="28"/>
  <c r="M46" i="28"/>
  <c r="M45" i="28"/>
  <c r="S44" i="28"/>
  <c r="P44" i="28"/>
  <c r="Q44" i="28" s="1"/>
  <c r="M44" i="28"/>
  <c r="R43" i="28"/>
  <c r="U43" i="28" s="1"/>
  <c r="P43" i="28"/>
  <c r="Q43" i="28" s="1"/>
  <c r="W43" i="28" s="1"/>
  <c r="H15" i="30" s="1"/>
  <c r="O43" i="28"/>
  <c r="M43" i="28"/>
  <c r="P42" i="28"/>
  <c r="Q42" i="28" s="1"/>
  <c r="W42" i="28" s="1"/>
  <c r="H14" i="30" s="1"/>
  <c r="N42" i="28"/>
  <c r="O42" i="28" s="1"/>
  <c r="M42" i="28"/>
  <c r="P41" i="28"/>
  <c r="Q41" i="28" s="1"/>
  <c r="N41" i="28"/>
  <c r="M41" i="28"/>
  <c r="R40" i="28"/>
  <c r="N40" i="28"/>
  <c r="O38" i="28"/>
  <c r="N38" i="28"/>
  <c r="M38" i="28"/>
  <c r="Q76" i="27"/>
  <c r="O69" i="27"/>
  <c r="N69" i="27"/>
  <c r="AM62" i="27"/>
  <c r="AL62" i="27"/>
  <c r="M47" i="27"/>
  <c r="M46" i="27"/>
  <c r="M45" i="27"/>
  <c r="S44" i="27"/>
  <c r="M44" i="27"/>
  <c r="N43" i="27"/>
  <c r="O43" i="27" s="1"/>
  <c r="M43" i="27"/>
  <c r="N42" i="27"/>
  <c r="M42" i="27"/>
  <c r="N41" i="27"/>
  <c r="M41" i="27"/>
  <c r="N40" i="27"/>
  <c r="O38" i="27"/>
  <c r="N38" i="27"/>
  <c r="M38" i="27"/>
  <c r="I142" i="15"/>
  <c r="N143" i="15"/>
  <c r="AL43" i="27" l="1"/>
  <c r="W43" i="27"/>
  <c r="H21" i="30" s="1"/>
  <c r="U20" i="13"/>
  <c r="G15" i="30" s="1"/>
  <c r="AL43" i="28"/>
  <c r="U19" i="13"/>
  <c r="G14" i="30" s="1"/>
  <c r="AL42" i="28"/>
  <c r="K30" i="23"/>
  <c r="K30" i="34"/>
  <c r="S43" i="27"/>
  <c r="V43" i="27" s="1"/>
  <c r="U43" i="27"/>
  <c r="AB20" i="13"/>
  <c r="G21" i="30" s="1"/>
  <c r="S42" i="27"/>
  <c r="U42" i="27"/>
  <c r="U40" i="28"/>
  <c r="N54" i="27"/>
  <c r="P54" i="27" s="1"/>
  <c r="V41" i="27"/>
  <c r="S43" i="28"/>
  <c r="V43" i="28" s="1"/>
  <c r="S40" i="28"/>
  <c r="N55" i="27" l="1"/>
  <c r="P55" i="27" s="1"/>
  <c r="P56" i="27" s="1"/>
  <c r="V42" i="27"/>
  <c r="N53" i="28"/>
  <c r="P53" i="28" s="1"/>
  <c r="V40" i="28"/>
  <c r="F24" i="10"/>
  <c r="M24" i="10" s="1"/>
  <c r="F23" i="10"/>
  <c r="M23" i="10" s="1"/>
  <c r="X137"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2" i="15"/>
  <c r="O132" i="15"/>
  <c r="O131" i="15"/>
  <c r="O130" i="15"/>
  <c r="X134" i="15"/>
  <c r="V134" i="15"/>
  <c r="G40" i="23" l="1"/>
  <c r="J40" i="23" s="1"/>
  <c r="G40" i="34"/>
  <c r="J23" i="10"/>
  <c r="J24" i="10"/>
  <c r="S131" i="15"/>
  <c r="S132" i="15" s="1"/>
  <c r="V133" i="15"/>
  <c r="V132" i="15"/>
  <c r="P131" i="15"/>
  <c r="P130" i="15"/>
  <c r="Q17" i="10"/>
  <c r="P17" i="10"/>
  <c r="Q16" i="10"/>
  <c r="P16" i="10"/>
  <c r="Q15" i="10"/>
  <c r="P15" i="10"/>
  <c r="Q14" i="10"/>
  <c r="P14" i="10"/>
  <c r="Q13" i="10"/>
  <c r="P13" i="10"/>
  <c r="J40" i="34" l="1"/>
  <c r="J132" i="16"/>
  <c r="P21" i="34" l="1"/>
  <c r="N21" i="34"/>
  <c r="AJ6" i="23"/>
  <c r="AJ22" i="23" s="1"/>
  <c r="J19" i="23"/>
  <c r="Y19" i="23" s="1"/>
  <c r="J13" i="23"/>
  <c r="I19" i="23"/>
  <c r="X19" i="23" s="1"/>
  <c r="I13" i="23"/>
  <c r="W57" i="23"/>
  <c r="X57" i="23"/>
  <c r="Y57" i="23"/>
  <c r="Z57" i="23"/>
  <c r="AA57" i="23"/>
  <c r="AB57" i="23"/>
  <c r="V58" i="23"/>
  <c r="V57" i="23" s="1"/>
  <c r="W58" i="23"/>
  <c r="X58" i="23"/>
  <c r="Y58" i="23"/>
  <c r="Z58" i="23"/>
  <c r="AA58" i="23"/>
  <c r="AB58" i="23"/>
  <c r="W59" i="23"/>
  <c r="X59" i="23"/>
  <c r="Y59" i="23"/>
  <c r="Z59" i="23"/>
  <c r="AA59" i="23"/>
  <c r="AB59" i="23"/>
  <c r="Q60" i="23"/>
  <c r="Q59" i="23" s="1"/>
  <c r="R60" i="23"/>
  <c r="R59" i="23" s="1"/>
  <c r="S60" i="23"/>
  <c r="S59" i="23" s="1"/>
  <c r="T60" i="23"/>
  <c r="T59" i="23" s="1"/>
  <c r="U60" i="23"/>
  <c r="U59" i="23" s="1"/>
  <c r="V60" i="23"/>
  <c r="W60" i="23"/>
  <c r="X60" i="23"/>
  <c r="Y60" i="23"/>
  <c r="Z60" i="23"/>
  <c r="AA60" i="23"/>
  <c r="AB60" i="23"/>
  <c r="W61" i="23"/>
  <c r="X61" i="23"/>
  <c r="Y61" i="23"/>
  <c r="Z61" i="23"/>
  <c r="AA61" i="23"/>
  <c r="AB61" i="23"/>
  <c r="Q62" i="23"/>
  <c r="R62" i="23"/>
  <c r="S62" i="23"/>
  <c r="T62" i="23"/>
  <c r="U62" i="23"/>
  <c r="V62" i="23"/>
  <c r="W62" i="23"/>
  <c r="X62" i="23"/>
  <c r="Y62" i="23"/>
  <c r="Z62" i="23"/>
  <c r="AA62" i="23"/>
  <c r="AB62" i="23"/>
  <c r="W63" i="23"/>
  <c r="X63" i="23"/>
  <c r="Y63" i="23"/>
  <c r="Z63" i="23"/>
  <c r="AA63" i="23"/>
  <c r="AB63" i="23"/>
  <c r="Q64" i="23"/>
  <c r="R64" i="23"/>
  <c r="S64" i="23"/>
  <c r="T64" i="23"/>
  <c r="U64" i="23"/>
  <c r="V64" i="23"/>
  <c r="W64" i="23"/>
  <c r="X64" i="23"/>
  <c r="Y64" i="23"/>
  <c r="Z64" i="23"/>
  <c r="AA64" i="23"/>
  <c r="AB64" i="23"/>
  <c r="W65" i="23"/>
  <c r="X65" i="23"/>
  <c r="Y65" i="23"/>
  <c r="Z65" i="23"/>
  <c r="AA65" i="23"/>
  <c r="AB65" i="23"/>
  <c r="Q66" i="23"/>
  <c r="R66" i="23"/>
  <c r="S66" i="23"/>
  <c r="T66" i="23"/>
  <c r="U66" i="23"/>
  <c r="V66" i="23"/>
  <c r="W66" i="23"/>
  <c r="X66" i="23"/>
  <c r="Y66" i="23"/>
  <c r="Z66" i="23"/>
  <c r="AA66" i="23"/>
  <c r="AB66" i="23"/>
  <c r="Q67" i="23"/>
  <c r="R67" i="23"/>
  <c r="S67" i="23"/>
  <c r="T67" i="23"/>
  <c r="U67" i="23"/>
  <c r="V67" i="23"/>
  <c r="W67" i="23"/>
  <c r="X67" i="23"/>
  <c r="Y67" i="23"/>
  <c r="Z67" i="23"/>
  <c r="AA67" i="23"/>
  <c r="AB67" i="23"/>
  <c r="Q68" i="23"/>
  <c r="R68" i="23"/>
  <c r="S68" i="23"/>
  <c r="T68" i="23"/>
  <c r="U68" i="23"/>
  <c r="V68" i="23"/>
  <c r="W68" i="23"/>
  <c r="X68" i="23"/>
  <c r="Y68" i="23"/>
  <c r="Z68" i="23"/>
  <c r="AA68" i="23"/>
  <c r="AB68" i="23"/>
  <c r="P68" i="23"/>
  <c r="P66" i="23"/>
  <c r="P64" i="23"/>
  <c r="P60" i="23"/>
  <c r="P58" i="23"/>
  <c r="P57" i="23" s="1"/>
  <c r="W56" i="23"/>
  <c r="X56" i="23"/>
  <c r="Y56" i="23"/>
  <c r="Z56" i="23"/>
  <c r="AA56" i="23"/>
  <c r="AB56" i="23"/>
  <c r="W55" i="23"/>
  <c r="X55" i="23"/>
  <c r="Y55" i="23"/>
  <c r="Z55" i="23"/>
  <c r="AA55" i="23"/>
  <c r="AB55" i="23"/>
  <c r="Q55" i="23"/>
  <c r="R55" i="23"/>
  <c r="S55" i="23"/>
  <c r="T55" i="23"/>
  <c r="U55" i="23"/>
  <c r="V55" i="23"/>
  <c r="P76" i="23"/>
  <c r="P79" i="23"/>
  <c r="W73" i="23"/>
  <c r="X73" i="23"/>
  <c r="Y73" i="23"/>
  <c r="Z73" i="23"/>
  <c r="AA73" i="23"/>
  <c r="AB73" i="23"/>
  <c r="W75" i="23"/>
  <c r="X75" i="23"/>
  <c r="Y75" i="23"/>
  <c r="Z75" i="23"/>
  <c r="AA75" i="23"/>
  <c r="AB75" i="23"/>
  <c r="W76" i="23"/>
  <c r="X76" i="23"/>
  <c r="Y76" i="23"/>
  <c r="Z76" i="23"/>
  <c r="AA76" i="23"/>
  <c r="AB76" i="23"/>
  <c r="X72" i="23"/>
  <c r="Y72" i="23"/>
  <c r="Z72" i="23"/>
  <c r="AA72" i="23"/>
  <c r="AB72" i="23"/>
  <c r="W72" i="23"/>
  <c r="P72" i="23"/>
  <c r="B270" i="22"/>
  <c r="A270" i="22"/>
  <c r="H277" i="22"/>
  <c r="E277" i="22"/>
  <c r="D277" i="22"/>
  <c r="C277" i="22"/>
  <c r="B277" i="22"/>
  <c r="A277" i="22"/>
  <c r="H276" i="22"/>
  <c r="E276" i="22"/>
  <c r="D276" i="22"/>
  <c r="C276" i="22"/>
  <c r="B276" i="22"/>
  <c r="A276" i="22"/>
  <c r="H275" i="22"/>
  <c r="E275" i="22"/>
  <c r="D275" i="22"/>
  <c r="C275" i="22"/>
  <c r="B275" i="22"/>
  <c r="A275" i="22"/>
  <c r="H274" i="22"/>
  <c r="E274" i="22"/>
  <c r="D274" i="22"/>
  <c r="C274" i="22"/>
  <c r="B274" i="22"/>
  <c r="A274" i="22"/>
  <c r="H273" i="22"/>
  <c r="E273" i="22"/>
  <c r="D273" i="22"/>
  <c r="C273" i="22"/>
  <c r="B273" i="22"/>
  <c r="A273" i="22"/>
  <c r="H272" i="22"/>
  <c r="E272" i="22"/>
  <c r="D272" i="22"/>
  <c r="C272" i="22"/>
  <c r="E271" i="22"/>
  <c r="D271" i="22"/>
  <c r="B271" i="22"/>
  <c r="A271" i="22"/>
  <c r="H270" i="22"/>
  <c r="E270" i="22"/>
  <c r="B265" i="22"/>
  <c r="B262" i="22"/>
  <c r="H159" i="22"/>
  <c r="E159" i="22"/>
  <c r="D159" i="22"/>
  <c r="C159" i="22"/>
  <c r="B159" i="22"/>
  <c r="A159" i="22"/>
  <c r="H158" i="22"/>
  <c r="E158" i="22"/>
  <c r="D158" i="22"/>
  <c r="C158" i="22"/>
  <c r="B158" i="22"/>
  <c r="A158" i="22"/>
  <c r="H157" i="22"/>
  <c r="E157" i="22"/>
  <c r="D157" i="22"/>
  <c r="C157" i="22"/>
  <c r="B157" i="22"/>
  <c r="A157" i="22"/>
  <c r="H156" i="22"/>
  <c r="E156" i="22"/>
  <c r="D156" i="22"/>
  <c r="C156" i="22"/>
  <c r="B156" i="22"/>
  <c r="A156" i="22"/>
  <c r="H155" i="22"/>
  <c r="E155" i="22"/>
  <c r="D155" i="22"/>
  <c r="C155" i="22"/>
  <c r="B155" i="22"/>
  <c r="A155" i="22"/>
  <c r="H154" i="22"/>
  <c r="E154" i="22"/>
  <c r="D154" i="22"/>
  <c r="C154" i="22"/>
  <c r="E153" i="22"/>
  <c r="D153" i="22"/>
  <c r="B153" i="22"/>
  <c r="A153" i="22"/>
  <c r="H152" i="22"/>
  <c r="E152" i="22"/>
  <c r="B152" i="22"/>
  <c r="A152" i="22"/>
  <c r="B147" i="22"/>
  <c r="D270" i="22" s="1"/>
  <c r="B144" i="22"/>
  <c r="C270" i="22" s="1"/>
  <c r="W13" i="12"/>
  <c r="U7" i="12"/>
  <c r="U5" i="12"/>
  <c r="P20" i="23"/>
  <c r="O20" i="23"/>
  <c r="N20" i="23"/>
  <c r="M20" i="23"/>
  <c r="L20" i="23"/>
  <c r="K20" i="23"/>
  <c r="J20" i="23"/>
  <c r="I20" i="23"/>
  <c r="H20" i="23"/>
  <c r="G20" i="23"/>
  <c r="W20" i="23" s="1"/>
  <c r="F20" i="23"/>
  <c r="V20" i="23" s="1"/>
  <c r="E20" i="23"/>
  <c r="U20" i="23" s="1"/>
  <c r="D20" i="23"/>
  <c r="K19" i="23"/>
  <c r="Z19" i="23" s="1"/>
  <c r="E19" i="23"/>
  <c r="U19" i="23" s="1"/>
  <c r="F19" i="23"/>
  <c r="V19" i="23" s="1"/>
  <c r="G19" i="23"/>
  <c r="W19" i="23" s="1"/>
  <c r="K13" i="23"/>
  <c r="E13" i="23"/>
  <c r="U13" i="23" s="1"/>
  <c r="F13" i="23"/>
  <c r="V13" i="23" s="1"/>
  <c r="V81" i="23"/>
  <c r="U81" i="23"/>
  <c r="T81" i="23"/>
  <c r="S81" i="23"/>
  <c r="R81" i="23"/>
  <c r="Q81" i="23"/>
  <c r="P81" i="23"/>
  <c r="V80" i="23"/>
  <c r="U80" i="23"/>
  <c r="T80" i="23"/>
  <c r="P21" i="23" s="1"/>
  <c r="S80" i="23"/>
  <c r="R80" i="23"/>
  <c r="Q80" i="23"/>
  <c r="N21" i="23" s="1"/>
  <c r="P80" i="23"/>
  <c r="V79" i="23"/>
  <c r="U79" i="23"/>
  <c r="T79" i="23"/>
  <c r="S79" i="23"/>
  <c r="R79" i="23"/>
  <c r="Q79" i="23"/>
  <c r="H39" i="23"/>
  <c r="H38" i="23"/>
  <c r="AD133" i="16"/>
  <c r="AD132" i="16"/>
  <c r="AD3" i="16"/>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D42" i="16"/>
  <c r="AD43" i="16"/>
  <c r="AD44" i="16"/>
  <c r="AD45" i="16"/>
  <c r="AD46" i="16"/>
  <c r="AD47" i="16"/>
  <c r="AD48" i="16"/>
  <c r="AD49" i="16"/>
  <c r="AD50" i="16"/>
  <c r="AD51" i="16"/>
  <c r="AD52" i="16"/>
  <c r="AD53" i="16"/>
  <c r="AD54" i="16"/>
  <c r="AD55" i="16"/>
  <c r="AD56" i="16"/>
  <c r="AD57" i="16"/>
  <c r="AD58" i="16"/>
  <c r="AD59" i="16"/>
  <c r="AD60" i="16"/>
  <c r="AD61" i="16"/>
  <c r="AD62" i="16"/>
  <c r="AD63" i="16"/>
  <c r="AD64" i="16"/>
  <c r="AD65" i="16"/>
  <c r="AD66" i="16"/>
  <c r="AD67" i="16"/>
  <c r="AD68" i="16"/>
  <c r="AD69" i="16"/>
  <c r="AD70" i="16"/>
  <c r="AD71" i="16"/>
  <c r="AD72" i="16"/>
  <c r="AD73" i="16"/>
  <c r="AD74" i="16"/>
  <c r="AD75" i="16"/>
  <c r="AD76" i="16"/>
  <c r="AD77" i="16"/>
  <c r="AD78" i="16"/>
  <c r="AD79" i="16"/>
  <c r="AD80" i="16"/>
  <c r="AD81" i="16"/>
  <c r="AD82" i="16"/>
  <c r="AD83" i="16"/>
  <c r="AD84" i="16"/>
  <c r="AD85" i="16"/>
  <c r="AD86" i="16"/>
  <c r="AD87" i="16"/>
  <c r="AD88" i="16"/>
  <c r="AD89" i="16"/>
  <c r="AD90" i="16"/>
  <c r="AD91" i="16"/>
  <c r="AD92" i="16"/>
  <c r="AD93" i="16"/>
  <c r="AD94" i="16"/>
  <c r="AD95" i="16"/>
  <c r="AD96" i="16"/>
  <c r="AD97" i="16"/>
  <c r="AD98" i="16"/>
  <c r="AD99" i="16"/>
  <c r="AD100" i="16"/>
  <c r="AD101" i="16"/>
  <c r="AD102" i="16"/>
  <c r="AD103" i="16"/>
  <c r="AD104" i="16"/>
  <c r="AD105" i="16"/>
  <c r="AD106" i="16"/>
  <c r="AD107" i="16"/>
  <c r="AD108" i="16"/>
  <c r="AD109" i="16"/>
  <c r="AD110" i="16"/>
  <c r="AD111" i="16"/>
  <c r="AD112" i="16"/>
  <c r="AD113" i="16"/>
  <c r="AD114" i="16"/>
  <c r="AD115" i="16"/>
  <c r="AD116" i="16"/>
  <c r="AD117" i="16"/>
  <c r="AD118" i="16"/>
  <c r="AD119" i="16"/>
  <c r="AD120" i="16"/>
  <c r="AD121" i="16"/>
  <c r="AD122" i="16"/>
  <c r="AD123" i="16"/>
  <c r="AD124" i="16"/>
  <c r="AD125" i="16"/>
  <c r="AD126" i="16"/>
  <c r="AD127" i="16"/>
  <c r="AD128" i="16"/>
  <c r="AD129" i="16"/>
  <c r="AD2" i="16"/>
  <c r="Q20" i="23" l="1"/>
  <c r="S20" i="23"/>
  <c r="T20" i="23"/>
  <c r="AI60" i="23"/>
  <c r="T61" i="23"/>
  <c r="R61" i="23"/>
  <c r="AG60" i="23"/>
  <c r="Q61" i="23"/>
  <c r="AF60" i="23"/>
  <c r="AK59" i="23"/>
  <c r="V59" i="23"/>
  <c r="U61" i="23"/>
  <c r="AJ60" i="23"/>
  <c r="S61" i="23"/>
  <c r="AH60" i="23"/>
  <c r="AE59" i="23"/>
  <c r="P59" i="23"/>
  <c r="C60" i="23" s="1"/>
  <c r="H13" i="23"/>
  <c r="Z20" i="23"/>
  <c r="X20" i="23"/>
  <c r="Y20" i="23"/>
  <c r="W16" i="12"/>
  <c r="Z13" i="23"/>
  <c r="Y13" i="23"/>
  <c r="X13" i="23"/>
  <c r="M19" i="23"/>
  <c r="N19" i="23"/>
  <c r="P19" i="23"/>
  <c r="O19" i="23"/>
  <c r="H19" i="23"/>
  <c r="L19" i="23"/>
  <c r="N13" i="23"/>
  <c r="M13" i="23"/>
  <c r="O13" i="23"/>
  <c r="P13" i="23"/>
  <c r="L13" i="23"/>
  <c r="C152" i="22"/>
  <c r="D152" i="22"/>
  <c r="C58" i="23"/>
  <c r="F168" i="26"/>
  <c r="F167" i="26"/>
  <c r="F166" i="26"/>
  <c r="F165" i="26"/>
  <c r="F164" i="26"/>
  <c r="F163" i="26"/>
  <c r="F162" i="26"/>
  <c r="F161" i="26"/>
  <c r="F160" i="26"/>
  <c r="F159" i="26"/>
  <c r="F158" i="26"/>
  <c r="F157" i="26"/>
  <c r="F156" i="26"/>
  <c r="F155" i="26"/>
  <c r="F154" i="26"/>
  <c r="F153" i="26"/>
  <c r="F152" i="26"/>
  <c r="F196" i="26"/>
  <c r="F195" i="26"/>
  <c r="F194" i="26"/>
  <c r="F193" i="26"/>
  <c r="F192" i="26"/>
  <c r="F191" i="26"/>
  <c r="F190" i="26"/>
  <c r="F189" i="26"/>
  <c r="F188" i="26"/>
  <c r="F187" i="26"/>
  <c r="F186" i="26"/>
  <c r="F185" i="26"/>
  <c r="F184" i="26"/>
  <c r="F183" i="26"/>
  <c r="F182" i="26"/>
  <c r="F181" i="26"/>
  <c r="F180" i="26"/>
  <c r="F125" i="26"/>
  <c r="F126" i="26"/>
  <c r="F127" i="26"/>
  <c r="F128" i="26"/>
  <c r="F129" i="26"/>
  <c r="F130" i="26"/>
  <c r="F131" i="26"/>
  <c r="F132" i="26"/>
  <c r="F133" i="26"/>
  <c r="F134" i="26"/>
  <c r="F135" i="26"/>
  <c r="F136" i="26"/>
  <c r="F137" i="26"/>
  <c r="F138" i="26"/>
  <c r="F139" i="26"/>
  <c r="F140" i="26"/>
  <c r="F124" i="26"/>
  <c r="F97" i="26"/>
  <c r="F98" i="26"/>
  <c r="F99" i="26"/>
  <c r="F100" i="26"/>
  <c r="F101" i="26"/>
  <c r="F102" i="26"/>
  <c r="F103" i="26"/>
  <c r="F104" i="26"/>
  <c r="F105" i="26"/>
  <c r="F106" i="26"/>
  <c r="F107" i="26"/>
  <c r="F108" i="26"/>
  <c r="F109" i="26"/>
  <c r="F110" i="26"/>
  <c r="F111" i="26"/>
  <c r="F112" i="26"/>
  <c r="F96" i="26"/>
  <c r="F69" i="26"/>
  <c r="F70" i="26"/>
  <c r="F71" i="26"/>
  <c r="F72" i="26"/>
  <c r="F73" i="26"/>
  <c r="F74" i="26"/>
  <c r="F75" i="26"/>
  <c r="F76" i="26"/>
  <c r="F77" i="26"/>
  <c r="F78" i="26"/>
  <c r="F79" i="26"/>
  <c r="F80" i="26"/>
  <c r="F81" i="26"/>
  <c r="F82" i="26"/>
  <c r="F83" i="26"/>
  <c r="F84" i="26"/>
  <c r="F68" i="26"/>
  <c r="F41" i="26"/>
  <c r="F42" i="26"/>
  <c r="F43" i="26"/>
  <c r="F44" i="26"/>
  <c r="F45" i="26"/>
  <c r="F46" i="26"/>
  <c r="F47" i="26"/>
  <c r="F48" i="26"/>
  <c r="F49" i="26"/>
  <c r="F50" i="26"/>
  <c r="F51" i="26"/>
  <c r="F52" i="26"/>
  <c r="F53" i="26"/>
  <c r="F54" i="26"/>
  <c r="F55" i="26"/>
  <c r="F56" i="26"/>
  <c r="F40" i="26"/>
  <c r="F13" i="26"/>
  <c r="F14" i="26"/>
  <c r="F15" i="26"/>
  <c r="F16" i="26"/>
  <c r="F17" i="26"/>
  <c r="F18" i="26"/>
  <c r="F19" i="26"/>
  <c r="F20" i="26"/>
  <c r="F21" i="26"/>
  <c r="F22" i="26"/>
  <c r="F23" i="26"/>
  <c r="F24" i="26"/>
  <c r="F25" i="26"/>
  <c r="F26" i="26"/>
  <c r="F27" i="26"/>
  <c r="F28" i="26"/>
  <c r="F12" i="26"/>
  <c r="F179" i="26"/>
  <c r="E179" i="26"/>
  <c r="D179" i="26"/>
  <c r="C179" i="26"/>
  <c r="B179" i="26"/>
  <c r="A179" i="26"/>
  <c r="F151" i="26"/>
  <c r="E151" i="26"/>
  <c r="D151" i="26"/>
  <c r="C151" i="26"/>
  <c r="B151" i="26"/>
  <c r="A151" i="26"/>
  <c r="F123" i="26"/>
  <c r="E123" i="26"/>
  <c r="D123" i="26"/>
  <c r="C123" i="26"/>
  <c r="B123" i="26"/>
  <c r="A123" i="26"/>
  <c r="F95" i="26"/>
  <c r="E95" i="26"/>
  <c r="D95" i="26"/>
  <c r="C95" i="26"/>
  <c r="B95" i="26"/>
  <c r="A95" i="26"/>
  <c r="F67" i="26"/>
  <c r="E67" i="26"/>
  <c r="D67" i="26"/>
  <c r="C67" i="26"/>
  <c r="B67" i="26"/>
  <c r="A67" i="26"/>
  <c r="F39" i="26"/>
  <c r="E39" i="26"/>
  <c r="D39" i="26"/>
  <c r="C39" i="26"/>
  <c r="B39" i="26"/>
  <c r="A39" i="26"/>
  <c r="B171" i="26"/>
  <c r="B143" i="26"/>
  <c r="B115" i="26"/>
  <c r="B87" i="26"/>
  <c r="B59" i="26"/>
  <c r="B31" i="26"/>
  <c r="B3" i="26"/>
  <c r="B196" i="26"/>
  <c r="A196" i="26"/>
  <c r="B195" i="26"/>
  <c r="A195" i="26"/>
  <c r="B194" i="26"/>
  <c r="A194" i="26"/>
  <c r="B193" i="26"/>
  <c r="A193" i="26"/>
  <c r="B192" i="26"/>
  <c r="A192" i="26"/>
  <c r="B191" i="26"/>
  <c r="A191" i="26"/>
  <c r="B190" i="26"/>
  <c r="A190" i="26"/>
  <c r="B189" i="26"/>
  <c r="A189" i="26"/>
  <c r="B188" i="26"/>
  <c r="A188" i="26"/>
  <c r="B187" i="26"/>
  <c r="A187" i="26"/>
  <c r="E186" i="26"/>
  <c r="B186" i="26"/>
  <c r="A186" i="26"/>
  <c r="E185" i="26"/>
  <c r="B185" i="26"/>
  <c r="A185" i="26"/>
  <c r="B184" i="26"/>
  <c r="A184" i="26"/>
  <c r="E183" i="26"/>
  <c r="B183" i="26"/>
  <c r="A183" i="26"/>
  <c r="E182" i="26"/>
  <c r="B182" i="26"/>
  <c r="A182" i="26"/>
  <c r="B181" i="26"/>
  <c r="A181" i="26"/>
  <c r="B180" i="26"/>
  <c r="A180" i="26"/>
  <c r="D168" i="26"/>
  <c r="B168" i="26"/>
  <c r="A168" i="26"/>
  <c r="D167" i="26"/>
  <c r="B167" i="26"/>
  <c r="A167" i="26"/>
  <c r="D166" i="26"/>
  <c r="B166" i="26"/>
  <c r="A166" i="26"/>
  <c r="D165" i="26"/>
  <c r="B165" i="26"/>
  <c r="A165" i="26"/>
  <c r="D164" i="26"/>
  <c r="B164" i="26"/>
  <c r="A164" i="26"/>
  <c r="D163" i="26"/>
  <c r="B163" i="26"/>
  <c r="A163" i="26"/>
  <c r="D162" i="26"/>
  <c r="B162" i="26"/>
  <c r="A162" i="26"/>
  <c r="D161" i="26"/>
  <c r="B161" i="26"/>
  <c r="A161" i="26"/>
  <c r="D160" i="26"/>
  <c r="B160" i="26"/>
  <c r="A160" i="26"/>
  <c r="D159" i="26"/>
  <c r="B159" i="26"/>
  <c r="A159" i="26"/>
  <c r="E158" i="26"/>
  <c r="D158" i="26"/>
  <c r="B158" i="26"/>
  <c r="A158" i="26"/>
  <c r="E157" i="26"/>
  <c r="D157" i="26"/>
  <c r="B157" i="26"/>
  <c r="A157" i="26"/>
  <c r="D156" i="26"/>
  <c r="B156" i="26"/>
  <c r="A156" i="26"/>
  <c r="E155" i="26"/>
  <c r="D155" i="26"/>
  <c r="B155" i="26"/>
  <c r="A155" i="26"/>
  <c r="E154" i="26"/>
  <c r="D154" i="26"/>
  <c r="B154" i="26"/>
  <c r="A154" i="26"/>
  <c r="D153" i="26"/>
  <c r="B153" i="26"/>
  <c r="A153" i="26"/>
  <c r="D152" i="26"/>
  <c r="B152" i="26"/>
  <c r="A152" i="26"/>
  <c r="D140" i="26"/>
  <c r="B140" i="26"/>
  <c r="A140" i="26"/>
  <c r="D139" i="26"/>
  <c r="B139" i="26"/>
  <c r="A139" i="26"/>
  <c r="D138" i="26"/>
  <c r="B138" i="26"/>
  <c r="A138" i="26"/>
  <c r="D137" i="26"/>
  <c r="B137" i="26"/>
  <c r="A137" i="26"/>
  <c r="D136" i="26"/>
  <c r="B136" i="26"/>
  <c r="A136" i="26"/>
  <c r="D135" i="26"/>
  <c r="B135" i="26"/>
  <c r="A135" i="26"/>
  <c r="D134" i="26"/>
  <c r="B134" i="26"/>
  <c r="A134" i="26"/>
  <c r="D133" i="26"/>
  <c r="B133" i="26"/>
  <c r="A133" i="26"/>
  <c r="D132" i="26"/>
  <c r="B132" i="26"/>
  <c r="A132" i="26"/>
  <c r="D131" i="26"/>
  <c r="B131" i="26"/>
  <c r="A131" i="26"/>
  <c r="E130" i="26"/>
  <c r="D130" i="26"/>
  <c r="B130" i="26"/>
  <c r="A130" i="26"/>
  <c r="E129" i="26"/>
  <c r="D129" i="26"/>
  <c r="B129" i="26"/>
  <c r="A129" i="26"/>
  <c r="D128" i="26"/>
  <c r="B128" i="26"/>
  <c r="A128" i="26"/>
  <c r="E127" i="26"/>
  <c r="D127" i="26"/>
  <c r="B127" i="26"/>
  <c r="A127" i="26"/>
  <c r="E126" i="26"/>
  <c r="D126" i="26"/>
  <c r="B126" i="26"/>
  <c r="A126" i="26"/>
  <c r="D125" i="26"/>
  <c r="B125" i="26"/>
  <c r="A125" i="26"/>
  <c r="D124" i="26"/>
  <c r="B124" i="26"/>
  <c r="A124" i="26"/>
  <c r="D112" i="26"/>
  <c r="B112" i="26"/>
  <c r="A112" i="26"/>
  <c r="D111" i="26"/>
  <c r="B111" i="26"/>
  <c r="A111" i="26"/>
  <c r="D110" i="26"/>
  <c r="B110" i="26"/>
  <c r="A110" i="26"/>
  <c r="D109" i="26"/>
  <c r="B109" i="26"/>
  <c r="A109" i="26"/>
  <c r="D108" i="26"/>
  <c r="B108" i="26"/>
  <c r="A108" i="26"/>
  <c r="D107" i="26"/>
  <c r="B107" i="26"/>
  <c r="A107" i="26"/>
  <c r="D106" i="26"/>
  <c r="B106" i="26"/>
  <c r="A106" i="26"/>
  <c r="D105" i="26"/>
  <c r="B105" i="26"/>
  <c r="A105" i="26"/>
  <c r="D104" i="26"/>
  <c r="B104" i="26"/>
  <c r="A104" i="26"/>
  <c r="D103" i="26"/>
  <c r="B103" i="26"/>
  <c r="A103" i="26"/>
  <c r="E102" i="26"/>
  <c r="D102" i="26"/>
  <c r="B102" i="26"/>
  <c r="A102" i="26"/>
  <c r="E101" i="26"/>
  <c r="D101" i="26"/>
  <c r="B101" i="26"/>
  <c r="A101" i="26"/>
  <c r="D100" i="26"/>
  <c r="B100" i="26"/>
  <c r="A100" i="26"/>
  <c r="E99" i="26"/>
  <c r="D99" i="26"/>
  <c r="B99" i="26"/>
  <c r="A99" i="26"/>
  <c r="E98" i="26"/>
  <c r="D98" i="26"/>
  <c r="B98" i="26"/>
  <c r="A98" i="26"/>
  <c r="D97" i="26"/>
  <c r="B97" i="26"/>
  <c r="A97" i="26"/>
  <c r="D96" i="26"/>
  <c r="B96" i="26"/>
  <c r="A96" i="26"/>
  <c r="D84" i="26"/>
  <c r="B84" i="26"/>
  <c r="A84" i="26"/>
  <c r="D83" i="26"/>
  <c r="B83" i="26"/>
  <c r="A83" i="26"/>
  <c r="D82" i="26"/>
  <c r="B82" i="26"/>
  <c r="A82" i="26"/>
  <c r="D81" i="26"/>
  <c r="B81" i="26"/>
  <c r="A81" i="26"/>
  <c r="D80" i="26"/>
  <c r="B80" i="26"/>
  <c r="A80" i="26"/>
  <c r="D79" i="26"/>
  <c r="B79" i="26"/>
  <c r="A79" i="26"/>
  <c r="D78" i="26"/>
  <c r="B78" i="26"/>
  <c r="A78" i="26"/>
  <c r="D77" i="26"/>
  <c r="B77" i="26"/>
  <c r="A77" i="26"/>
  <c r="D76" i="26"/>
  <c r="B76" i="26"/>
  <c r="A76" i="26"/>
  <c r="D75" i="26"/>
  <c r="B75" i="26"/>
  <c r="A75" i="26"/>
  <c r="E74" i="26"/>
  <c r="D74" i="26"/>
  <c r="B74" i="26"/>
  <c r="A74" i="26"/>
  <c r="E73" i="26"/>
  <c r="D73" i="26"/>
  <c r="B73" i="26"/>
  <c r="A73" i="26"/>
  <c r="D72" i="26"/>
  <c r="B72" i="26"/>
  <c r="A72" i="26"/>
  <c r="E71" i="26"/>
  <c r="D71" i="26"/>
  <c r="B71" i="26"/>
  <c r="A71" i="26"/>
  <c r="E70" i="26"/>
  <c r="D70" i="26"/>
  <c r="B70" i="26"/>
  <c r="A70" i="26"/>
  <c r="D69" i="26"/>
  <c r="B69" i="26"/>
  <c r="A69" i="26"/>
  <c r="D68" i="26"/>
  <c r="B68" i="26"/>
  <c r="A68" i="26"/>
  <c r="D56" i="26"/>
  <c r="B56" i="26"/>
  <c r="A56" i="26"/>
  <c r="D55" i="26"/>
  <c r="B55" i="26"/>
  <c r="A55" i="26"/>
  <c r="D54" i="26"/>
  <c r="B54" i="26"/>
  <c r="A54" i="26"/>
  <c r="D53" i="26"/>
  <c r="B53" i="26"/>
  <c r="A53" i="26"/>
  <c r="D52" i="26"/>
  <c r="B52" i="26"/>
  <c r="A52" i="26"/>
  <c r="D51" i="26"/>
  <c r="B51" i="26"/>
  <c r="A51" i="26"/>
  <c r="D50" i="26"/>
  <c r="B50" i="26"/>
  <c r="A50" i="26"/>
  <c r="D49" i="26"/>
  <c r="B49" i="26"/>
  <c r="A49" i="26"/>
  <c r="D48" i="26"/>
  <c r="B48" i="26"/>
  <c r="A48" i="26"/>
  <c r="D47" i="26"/>
  <c r="B47" i="26"/>
  <c r="A47" i="26"/>
  <c r="E46" i="26"/>
  <c r="D46" i="26"/>
  <c r="B46" i="26"/>
  <c r="A46" i="26"/>
  <c r="E45" i="26"/>
  <c r="D45" i="26"/>
  <c r="B45" i="26"/>
  <c r="A45" i="26"/>
  <c r="D44" i="26"/>
  <c r="B44" i="26"/>
  <c r="A44" i="26"/>
  <c r="E43" i="26"/>
  <c r="D43" i="26"/>
  <c r="B43" i="26"/>
  <c r="A43" i="26"/>
  <c r="E42" i="26"/>
  <c r="D42" i="26"/>
  <c r="B42" i="26"/>
  <c r="A42" i="26"/>
  <c r="D41" i="26"/>
  <c r="B41" i="26"/>
  <c r="A41" i="26"/>
  <c r="D40" i="26"/>
  <c r="B40" i="26"/>
  <c r="A40" i="26"/>
  <c r="D28" i="26"/>
  <c r="B28" i="26"/>
  <c r="A28" i="26"/>
  <c r="D27" i="26"/>
  <c r="B27" i="26"/>
  <c r="A27" i="26"/>
  <c r="D26" i="26"/>
  <c r="B26" i="26"/>
  <c r="A26" i="26"/>
  <c r="D25" i="26"/>
  <c r="B25" i="26"/>
  <c r="A25" i="26"/>
  <c r="D24" i="26"/>
  <c r="B24" i="26"/>
  <c r="A24" i="26"/>
  <c r="D23" i="26"/>
  <c r="B23" i="26"/>
  <c r="A23" i="26"/>
  <c r="D22" i="26"/>
  <c r="B22" i="26"/>
  <c r="A22" i="26"/>
  <c r="D21" i="26"/>
  <c r="B21" i="26"/>
  <c r="A21" i="26"/>
  <c r="D20" i="26"/>
  <c r="B20" i="26"/>
  <c r="A20" i="26"/>
  <c r="D19" i="26"/>
  <c r="B19" i="26"/>
  <c r="A19" i="26"/>
  <c r="E18" i="26"/>
  <c r="D18" i="26"/>
  <c r="B18" i="26"/>
  <c r="A18" i="26"/>
  <c r="E17" i="26"/>
  <c r="D17" i="26"/>
  <c r="B17" i="26"/>
  <c r="A17" i="26"/>
  <c r="D16" i="26"/>
  <c r="B16" i="26"/>
  <c r="A16" i="26"/>
  <c r="E15" i="26"/>
  <c r="D15" i="26"/>
  <c r="B15" i="26"/>
  <c r="A15" i="26"/>
  <c r="E14" i="26"/>
  <c r="D14" i="26"/>
  <c r="B14" i="26"/>
  <c r="A14" i="26"/>
  <c r="D13" i="26"/>
  <c r="B13" i="26"/>
  <c r="A13" i="26"/>
  <c r="D12" i="26"/>
  <c r="B12" i="26"/>
  <c r="A12" i="26"/>
  <c r="F11" i="26"/>
  <c r="E11" i="26"/>
  <c r="D11" i="26"/>
  <c r="C11" i="26"/>
  <c r="B11" i="26"/>
  <c r="A11" i="26"/>
  <c r="D196" i="26"/>
  <c r="D195" i="26"/>
  <c r="D194" i="26"/>
  <c r="D193" i="26"/>
  <c r="D192" i="26"/>
  <c r="D191" i="26"/>
  <c r="D190" i="26"/>
  <c r="D189" i="26"/>
  <c r="D188" i="26"/>
  <c r="D187" i="26"/>
  <c r="D186" i="26"/>
  <c r="D185" i="26"/>
  <c r="D184" i="26"/>
  <c r="D183" i="26"/>
  <c r="D182" i="26"/>
  <c r="D181" i="26"/>
  <c r="D180" i="26"/>
  <c r="N451" i="24"/>
  <c r="N452" i="24"/>
  <c r="I328" i="24"/>
  <c r="J328" i="24"/>
  <c r="K328" i="24"/>
  <c r="L328" i="24"/>
  <c r="M328" i="24"/>
  <c r="N328" i="24"/>
  <c r="O328" i="24"/>
  <c r="I329" i="24"/>
  <c r="J329" i="24"/>
  <c r="K329" i="24"/>
  <c r="L329" i="24"/>
  <c r="M329" i="24"/>
  <c r="N329" i="24"/>
  <c r="O329" i="24"/>
  <c r="I330" i="24"/>
  <c r="J330" i="24"/>
  <c r="K330" i="24"/>
  <c r="L330" i="24"/>
  <c r="M330" i="24"/>
  <c r="N330" i="24"/>
  <c r="O330" i="24"/>
  <c r="I332" i="24"/>
  <c r="J332" i="24"/>
  <c r="K332" i="24"/>
  <c r="L332" i="24"/>
  <c r="M332" i="24"/>
  <c r="N332" i="24"/>
  <c r="O332" i="24"/>
  <c r="I333" i="24"/>
  <c r="J333" i="24"/>
  <c r="K333" i="24"/>
  <c r="L333" i="24"/>
  <c r="M333" i="24"/>
  <c r="N333" i="24"/>
  <c r="O333" i="24"/>
  <c r="I334" i="24"/>
  <c r="J334" i="24"/>
  <c r="K334" i="24"/>
  <c r="L334" i="24"/>
  <c r="M334" i="24"/>
  <c r="N334" i="24"/>
  <c r="O334" i="24"/>
  <c r="I335" i="24"/>
  <c r="J335" i="24"/>
  <c r="K335" i="24"/>
  <c r="L335" i="24"/>
  <c r="M335" i="24"/>
  <c r="N335" i="24"/>
  <c r="O335" i="24"/>
  <c r="I336" i="24"/>
  <c r="J336" i="24"/>
  <c r="K336" i="24"/>
  <c r="L336" i="24"/>
  <c r="M336" i="24"/>
  <c r="N336" i="24"/>
  <c r="O336" i="24"/>
  <c r="I337" i="24"/>
  <c r="J337" i="24"/>
  <c r="K337" i="24"/>
  <c r="L337" i="24"/>
  <c r="M337" i="24"/>
  <c r="N337" i="24"/>
  <c r="O337" i="24"/>
  <c r="I339" i="24"/>
  <c r="J339" i="24"/>
  <c r="K339" i="24"/>
  <c r="L339" i="24"/>
  <c r="M339" i="24"/>
  <c r="N339" i="24"/>
  <c r="O339" i="24"/>
  <c r="I341" i="24"/>
  <c r="J341" i="24"/>
  <c r="K341" i="24"/>
  <c r="L341" i="24"/>
  <c r="M341" i="24"/>
  <c r="N341" i="24"/>
  <c r="O341" i="24"/>
  <c r="I342" i="24"/>
  <c r="J342" i="24"/>
  <c r="K342" i="24"/>
  <c r="L342" i="24"/>
  <c r="M342" i="24"/>
  <c r="N342" i="24"/>
  <c r="O342" i="24"/>
  <c r="I343" i="24"/>
  <c r="J343" i="24"/>
  <c r="K343" i="24"/>
  <c r="L343" i="24"/>
  <c r="M343" i="24"/>
  <c r="N343" i="24"/>
  <c r="O343" i="24"/>
  <c r="I344" i="24"/>
  <c r="J344" i="24"/>
  <c r="K344" i="24"/>
  <c r="L344" i="24"/>
  <c r="M344" i="24"/>
  <c r="N344" i="24"/>
  <c r="O344" i="24"/>
  <c r="I345" i="24"/>
  <c r="J345" i="24"/>
  <c r="K345" i="24"/>
  <c r="L345" i="24"/>
  <c r="M345" i="24"/>
  <c r="N345" i="24"/>
  <c r="O345" i="24"/>
  <c r="I347" i="24"/>
  <c r="J347" i="24"/>
  <c r="K347" i="24"/>
  <c r="L347" i="24"/>
  <c r="M347" i="24"/>
  <c r="N347" i="24"/>
  <c r="O347" i="24"/>
  <c r="I327" i="24"/>
  <c r="J327" i="24"/>
  <c r="K327" i="24"/>
  <c r="L327" i="24"/>
  <c r="M327" i="24"/>
  <c r="N327" i="24"/>
  <c r="O327" i="24"/>
  <c r="H347" i="24"/>
  <c r="G347" i="24"/>
  <c r="F347" i="24"/>
  <c r="E347" i="24"/>
  <c r="D347" i="24"/>
  <c r="C347" i="24"/>
  <c r="B347" i="24"/>
  <c r="B327" i="24"/>
  <c r="F365" i="24"/>
  <c r="F364" i="24"/>
  <c r="F363" i="24"/>
  <c r="Y378" i="24"/>
  <c r="Z378" i="24"/>
  <c r="D379" i="24"/>
  <c r="D380" i="24" s="1"/>
  <c r="D381" i="24" s="1"/>
  <c r="D382" i="24" s="1"/>
  <c r="D383" i="24" s="1"/>
  <c r="D384" i="24" s="1"/>
  <c r="D385" i="24" s="1"/>
  <c r="D386" i="24" s="1"/>
  <c r="D387" i="24" s="1"/>
  <c r="D388" i="24" s="1"/>
  <c r="D389" i="24" s="1"/>
  <c r="D390" i="24" s="1"/>
  <c r="D391" i="24" s="1"/>
  <c r="D392" i="24" s="1"/>
  <c r="D393" i="24" s="1"/>
  <c r="D394" i="24" s="1"/>
  <c r="D395" i="24" s="1"/>
  <c r="D396" i="24" s="1"/>
  <c r="D397" i="24" s="1"/>
  <c r="D398" i="24" s="1"/>
  <c r="D399" i="24" s="1"/>
  <c r="D400" i="24" s="1"/>
  <c r="D401" i="24" s="1"/>
  <c r="D402" i="24" s="1"/>
  <c r="D403" i="24" s="1"/>
  <c r="D404" i="24" s="1"/>
  <c r="D405" i="24" s="1"/>
  <c r="D406" i="24" s="1"/>
  <c r="D407" i="24" s="1"/>
  <c r="D408" i="24" s="1"/>
  <c r="D409" i="24" s="1"/>
  <c r="D410" i="24" s="1"/>
  <c r="D411" i="24" s="1"/>
  <c r="D412" i="24" s="1"/>
  <c r="D413" i="24" s="1"/>
  <c r="D414" i="24" s="1"/>
  <c r="D415" i="24" s="1"/>
  <c r="D416" i="24" s="1"/>
  <c r="D417" i="24" s="1"/>
  <c r="D418" i="24" s="1"/>
  <c r="Y379" i="24"/>
  <c r="Z379" i="24"/>
  <c r="Y380" i="24"/>
  <c r="Z380" i="24"/>
  <c r="Y381" i="24"/>
  <c r="Z381" i="24"/>
  <c r="Y382" i="24"/>
  <c r="Z382" i="24"/>
  <c r="Y383" i="24"/>
  <c r="Z383" i="24"/>
  <c r="Y384" i="24"/>
  <c r="Z384" i="24"/>
  <c r="Y385" i="24"/>
  <c r="Z385" i="24"/>
  <c r="Y386" i="24"/>
  <c r="Z386" i="24"/>
  <c r="Y387" i="24"/>
  <c r="Z387" i="24"/>
  <c r="Y388" i="24"/>
  <c r="Z388" i="24"/>
  <c r="Y389" i="24"/>
  <c r="Z389" i="24"/>
  <c r="Y390" i="24"/>
  <c r="Z390" i="24"/>
  <c r="Y391" i="24"/>
  <c r="Z391" i="24"/>
  <c r="Y392" i="24"/>
  <c r="Z392" i="24"/>
  <c r="Y393" i="24"/>
  <c r="Z393" i="24"/>
  <c r="Y394" i="24"/>
  <c r="Z394" i="24"/>
  <c r="Y395" i="24"/>
  <c r="Z395" i="24"/>
  <c r="Y396" i="24"/>
  <c r="Z396" i="24"/>
  <c r="Y397" i="24"/>
  <c r="Z397" i="24"/>
  <c r="Y398" i="24"/>
  <c r="Z398" i="24"/>
  <c r="Y399" i="24"/>
  <c r="Z399" i="24"/>
  <c r="Y400" i="24"/>
  <c r="Z400" i="24"/>
  <c r="Y401" i="24"/>
  <c r="Z401" i="24"/>
  <c r="Y402" i="24"/>
  <c r="Z402" i="24"/>
  <c r="Y403" i="24"/>
  <c r="Z403" i="24"/>
  <c r="Y404" i="24"/>
  <c r="Z404" i="24"/>
  <c r="Y405" i="24"/>
  <c r="Z405" i="24"/>
  <c r="Y406" i="24"/>
  <c r="Z406" i="24"/>
  <c r="Y407" i="24"/>
  <c r="Z407" i="24"/>
  <c r="Y408" i="24"/>
  <c r="Z408" i="24"/>
  <c r="Y409" i="24"/>
  <c r="Z409" i="24"/>
  <c r="Y410" i="24"/>
  <c r="Z410" i="24"/>
  <c r="Y411" i="24"/>
  <c r="Z411" i="24"/>
  <c r="Y412" i="24"/>
  <c r="Z412" i="24"/>
  <c r="Y413" i="24"/>
  <c r="Z413" i="24"/>
  <c r="Y414" i="24"/>
  <c r="Z414" i="24"/>
  <c r="Y415" i="24"/>
  <c r="Z415" i="24"/>
  <c r="Y416" i="24"/>
  <c r="Z416" i="24"/>
  <c r="Y417" i="24"/>
  <c r="Z417" i="24"/>
  <c r="Y418" i="24"/>
  <c r="Z418" i="24"/>
  <c r="Y419" i="24"/>
  <c r="Z419" i="24"/>
  <c r="Y420" i="24"/>
  <c r="Z420" i="24"/>
  <c r="Y421" i="24"/>
  <c r="Z421" i="24"/>
  <c r="Y422" i="24"/>
  <c r="Z422" i="24"/>
  <c r="Y423" i="24"/>
  <c r="Z423" i="24"/>
  <c r="Y424" i="24"/>
  <c r="Z424" i="24"/>
  <c r="Y425" i="24"/>
  <c r="Z425" i="24"/>
  <c r="Y426" i="24"/>
  <c r="Z426" i="24"/>
  <c r="Y427" i="24"/>
  <c r="Z427" i="24"/>
  <c r="Y428" i="24"/>
  <c r="Z428" i="24"/>
  <c r="Y429" i="24"/>
  <c r="Z429" i="24"/>
  <c r="Y430" i="24"/>
  <c r="Z430" i="24"/>
  <c r="Y431" i="24"/>
  <c r="Z431" i="24"/>
  <c r="Y432" i="24"/>
  <c r="Z432" i="24"/>
  <c r="R434" i="24"/>
  <c r="O434" i="24"/>
  <c r="N434" i="24"/>
  <c r="M434" i="24"/>
  <c r="I434" i="24"/>
  <c r="AA434" i="24"/>
  <c r="W434" i="24"/>
  <c r="V434" i="24"/>
  <c r="U434" i="24"/>
  <c r="S434" i="24"/>
  <c r="Q434" i="24"/>
  <c r="K434" i="24"/>
  <c r="J434" i="24"/>
  <c r="G434" i="24"/>
  <c r="F434" i="24"/>
  <c r="E434" i="24"/>
  <c r="S63" i="23" l="1"/>
  <c r="AH61" i="23"/>
  <c r="U63" i="23"/>
  <c r="AJ61" i="23"/>
  <c r="Q63" i="23"/>
  <c r="AF61" i="23"/>
  <c r="AG61" i="23"/>
  <c r="R63" i="23"/>
  <c r="AE60" i="23"/>
  <c r="P61" i="23"/>
  <c r="T63" i="23"/>
  <c r="AI61" i="23"/>
  <c r="V61" i="23"/>
  <c r="AK60" i="23"/>
  <c r="S12" i="12"/>
  <c r="S15" i="12"/>
  <c r="S14" i="12"/>
  <c r="S13" i="12"/>
  <c r="J363" i="24"/>
  <c r="Z434" i="24"/>
  <c r="J364" i="24"/>
  <c r="Y434" i="24"/>
  <c r="AE61" i="23" l="1"/>
  <c r="P63" i="23"/>
  <c r="C62" i="23"/>
  <c r="R65" i="23"/>
  <c r="AG63" i="23" s="1"/>
  <c r="AG62" i="23"/>
  <c r="Q65" i="23"/>
  <c r="AF63" i="23" s="1"/>
  <c r="AF62" i="23"/>
  <c r="U65" i="23"/>
  <c r="AJ63" i="23" s="1"/>
  <c r="AJ62" i="23"/>
  <c r="S65" i="23"/>
  <c r="AH63" i="23" s="1"/>
  <c r="AH62" i="23"/>
  <c r="V63" i="23"/>
  <c r="AK61" i="23"/>
  <c r="T65" i="23"/>
  <c r="AI63" i="23" s="1"/>
  <c r="AI62" i="23"/>
  <c r="F328" i="24"/>
  <c r="G328" i="24"/>
  <c r="H328" i="24"/>
  <c r="F329" i="24"/>
  <c r="G329" i="24"/>
  <c r="H329" i="24"/>
  <c r="F330" i="24"/>
  <c r="G330" i="24"/>
  <c r="H330" i="24"/>
  <c r="F332" i="24"/>
  <c r="G332" i="24"/>
  <c r="H332" i="24"/>
  <c r="F333" i="24"/>
  <c r="G333" i="24"/>
  <c r="H333" i="24"/>
  <c r="F334" i="24"/>
  <c r="G334" i="24"/>
  <c r="H334" i="24"/>
  <c r="F335" i="24"/>
  <c r="G335" i="24"/>
  <c r="H335" i="24"/>
  <c r="F336" i="24"/>
  <c r="G336" i="24"/>
  <c r="H336" i="24"/>
  <c r="F337" i="24"/>
  <c r="G337" i="24"/>
  <c r="H337" i="24"/>
  <c r="F339" i="24"/>
  <c r="G339" i="24"/>
  <c r="H339" i="24"/>
  <c r="F341" i="24"/>
  <c r="G341" i="24"/>
  <c r="H341" i="24"/>
  <c r="F342" i="24"/>
  <c r="G342" i="24"/>
  <c r="H342" i="24"/>
  <c r="F343" i="24"/>
  <c r="G343" i="24"/>
  <c r="H343" i="24"/>
  <c r="F344" i="24"/>
  <c r="G344" i="24"/>
  <c r="H344" i="24"/>
  <c r="F345" i="24"/>
  <c r="G345" i="24"/>
  <c r="H345" i="24"/>
  <c r="G327" i="24"/>
  <c r="H327" i="24"/>
  <c r="F327" i="24"/>
  <c r="E345" i="24"/>
  <c r="D345" i="24"/>
  <c r="C345" i="24"/>
  <c r="E344" i="24"/>
  <c r="D344" i="24"/>
  <c r="C344" i="24"/>
  <c r="E343" i="24"/>
  <c r="D343" i="24"/>
  <c r="C343" i="24"/>
  <c r="E342" i="24"/>
  <c r="D342" i="24"/>
  <c r="C342" i="24"/>
  <c r="E341" i="24"/>
  <c r="D341" i="24"/>
  <c r="C341" i="24"/>
  <c r="E339" i="24"/>
  <c r="D339" i="24"/>
  <c r="C339" i="24"/>
  <c r="E337" i="24"/>
  <c r="D337" i="24"/>
  <c r="C337" i="24"/>
  <c r="E336" i="24"/>
  <c r="D336" i="24"/>
  <c r="C336" i="24"/>
  <c r="E335" i="24"/>
  <c r="D335" i="24"/>
  <c r="C335" i="24"/>
  <c r="E334" i="24"/>
  <c r="D334" i="24"/>
  <c r="C334" i="24"/>
  <c r="E333" i="24"/>
  <c r="D333" i="24"/>
  <c r="C333" i="24"/>
  <c r="E332" i="24"/>
  <c r="D332" i="24"/>
  <c r="C332" i="24"/>
  <c r="E330" i="24"/>
  <c r="D330" i="24"/>
  <c r="C330" i="24"/>
  <c r="E329" i="24"/>
  <c r="D329" i="24"/>
  <c r="C329" i="24"/>
  <c r="E328" i="24"/>
  <c r="D328" i="24"/>
  <c r="C328" i="24"/>
  <c r="E327" i="24"/>
  <c r="D327" i="24"/>
  <c r="C327" i="24"/>
  <c r="B345" i="24"/>
  <c r="B344" i="24"/>
  <c r="B343" i="24"/>
  <c r="B342" i="24"/>
  <c r="B341" i="24"/>
  <c r="B339" i="24"/>
  <c r="B337" i="24"/>
  <c r="B336" i="24"/>
  <c r="B335" i="24"/>
  <c r="B334" i="24"/>
  <c r="B333" i="24"/>
  <c r="B332" i="24"/>
  <c r="B330" i="24"/>
  <c r="B329" i="24"/>
  <c r="B328" i="24"/>
  <c r="A328" i="24"/>
  <c r="A329" i="24"/>
  <c r="A330" i="24"/>
  <c r="A332" i="24"/>
  <c r="A333" i="24"/>
  <c r="A334" i="24"/>
  <c r="A335" i="24"/>
  <c r="A336" i="24"/>
  <c r="A337" i="24"/>
  <c r="A339" i="24"/>
  <c r="A341" i="24"/>
  <c r="A342" i="24"/>
  <c r="A343" i="24"/>
  <c r="A344" i="24"/>
  <c r="A345" i="24"/>
  <c r="A327" i="24"/>
  <c r="H326" i="24"/>
  <c r="O326" i="24" s="1"/>
  <c r="G326" i="24"/>
  <c r="N326" i="24" s="1"/>
  <c r="F326" i="24"/>
  <c r="M326" i="24" s="1"/>
  <c r="F325" i="24"/>
  <c r="M325" i="24" s="1"/>
  <c r="B326" i="24"/>
  <c r="I326" i="24" s="1"/>
  <c r="E326" i="24"/>
  <c r="L326" i="24" s="1"/>
  <c r="D326" i="24"/>
  <c r="K326" i="24" s="1"/>
  <c r="C326" i="24"/>
  <c r="J326" i="24" s="1"/>
  <c r="C325" i="24"/>
  <c r="J325" i="24" s="1"/>
  <c r="B159" i="18"/>
  <c r="A159" i="18"/>
  <c r="B138" i="18"/>
  <c r="A138" i="18"/>
  <c r="E167" i="18"/>
  <c r="E166" i="18"/>
  <c r="E165" i="18"/>
  <c r="F164" i="18"/>
  <c r="D164" i="18"/>
  <c r="F163" i="18"/>
  <c r="A163" i="18"/>
  <c r="F162" i="18"/>
  <c r="A162" i="18"/>
  <c r="F161" i="18"/>
  <c r="F160" i="18"/>
  <c r="F159" i="18"/>
  <c r="C159" i="18"/>
  <c r="B155" i="18"/>
  <c r="B154" i="18"/>
  <c r="E148" i="18"/>
  <c r="F147" i="18"/>
  <c r="F146" i="18"/>
  <c r="F145" i="18"/>
  <c r="F144" i="18"/>
  <c r="F143" i="18"/>
  <c r="F142" i="18"/>
  <c r="F141" i="18"/>
  <c r="E141" i="18"/>
  <c r="C141" i="18"/>
  <c r="B141" i="18"/>
  <c r="A141" i="18"/>
  <c r="F140" i="18"/>
  <c r="F139" i="18"/>
  <c r="F138" i="18"/>
  <c r="C138" i="18"/>
  <c r="B134" i="18"/>
  <c r="B133" i="18"/>
  <c r="E126" i="18"/>
  <c r="F125" i="18"/>
  <c r="A125" i="18"/>
  <c r="B117" i="18" s="1"/>
  <c r="B122" i="18"/>
  <c r="B121" i="18"/>
  <c r="B120" i="18"/>
  <c r="B118" i="18"/>
  <c r="E115" i="18"/>
  <c r="E113" i="18"/>
  <c r="E112" i="18"/>
  <c r="F111" i="18"/>
  <c r="D111" i="18"/>
  <c r="F110" i="18"/>
  <c r="A110" i="18"/>
  <c r="F109" i="18"/>
  <c r="A109" i="18"/>
  <c r="F108" i="18"/>
  <c r="F107" i="18"/>
  <c r="F106" i="18"/>
  <c r="F126" i="18" s="1"/>
  <c r="C106" i="18"/>
  <c r="B156" i="18" s="1"/>
  <c r="B106" i="18"/>
  <c r="B126" i="18" s="1"/>
  <c r="A106" i="18"/>
  <c r="A126" i="18" s="1"/>
  <c r="B102" i="18"/>
  <c r="B101" i="18"/>
  <c r="G95" i="18"/>
  <c r="F94" i="18"/>
  <c r="F167" i="18" s="1"/>
  <c r="B94" i="18"/>
  <c r="B87" i="18" s="1"/>
  <c r="A94" i="18"/>
  <c r="B86" i="18" s="1"/>
  <c r="B90" i="18"/>
  <c r="B89" i="18"/>
  <c r="F81" i="18"/>
  <c r="F80" i="18"/>
  <c r="E80" i="18"/>
  <c r="C80" i="18"/>
  <c r="B80" i="18"/>
  <c r="A80" i="18"/>
  <c r="F79" i="18"/>
  <c r="F78" i="18"/>
  <c r="F95" i="18" s="1"/>
  <c r="F76" i="18"/>
  <c r="E76" i="18"/>
  <c r="C76" i="18"/>
  <c r="B76" i="18"/>
  <c r="A76" i="18"/>
  <c r="F75" i="18"/>
  <c r="F74" i="18"/>
  <c r="D74" i="18"/>
  <c r="F73" i="18"/>
  <c r="D73" i="18"/>
  <c r="F72" i="18"/>
  <c r="F22" i="18" s="1"/>
  <c r="C72" i="18"/>
  <c r="B72" i="18"/>
  <c r="A72" i="18"/>
  <c r="B68" i="18"/>
  <c r="B67" i="18"/>
  <c r="E78" i="18"/>
  <c r="C78" i="18"/>
  <c r="B78" i="18"/>
  <c r="A78" i="18"/>
  <c r="F166" i="18"/>
  <c r="C166" i="18"/>
  <c r="H41" i="22"/>
  <c r="E41" i="22"/>
  <c r="D41" i="22"/>
  <c r="C41" i="22"/>
  <c r="B41" i="22"/>
  <c r="A41" i="22"/>
  <c r="H40" i="22"/>
  <c r="E40" i="22"/>
  <c r="D40" i="22"/>
  <c r="C40" i="22"/>
  <c r="H39" i="22"/>
  <c r="E39" i="22"/>
  <c r="D39" i="22"/>
  <c r="C39" i="22"/>
  <c r="B39" i="22"/>
  <c r="A39" i="22"/>
  <c r="H38" i="22"/>
  <c r="E38" i="22"/>
  <c r="D38" i="22"/>
  <c r="C38" i="22"/>
  <c r="B38" i="22"/>
  <c r="A38" i="22"/>
  <c r="H37" i="22"/>
  <c r="E37" i="22"/>
  <c r="D37" i="22"/>
  <c r="C37" i="22"/>
  <c r="B37" i="22"/>
  <c r="A37" i="22"/>
  <c r="H36" i="22"/>
  <c r="E36" i="22"/>
  <c r="E75" i="22" s="1"/>
  <c r="D36" i="22"/>
  <c r="C36" i="22"/>
  <c r="B36" i="22"/>
  <c r="A36" i="22"/>
  <c r="B319" i="22"/>
  <c r="A319" i="22"/>
  <c r="B305" i="22"/>
  <c r="A305" i="22"/>
  <c r="B289" i="22"/>
  <c r="A289" i="22"/>
  <c r="B241" i="22"/>
  <c r="A241" i="22"/>
  <c r="A215" i="22"/>
  <c r="B215" i="22"/>
  <c r="H57" i="22"/>
  <c r="H56" i="22"/>
  <c r="H55" i="22"/>
  <c r="H54" i="22"/>
  <c r="H53" i="22"/>
  <c r="E53" i="22"/>
  <c r="D53" i="22"/>
  <c r="C53" i="22"/>
  <c r="B53" i="22"/>
  <c r="A53" i="22"/>
  <c r="D320" i="22"/>
  <c r="H321" i="22"/>
  <c r="H319" i="22"/>
  <c r="E319" i="22"/>
  <c r="H307" i="22"/>
  <c r="H305" i="22"/>
  <c r="E305" i="22"/>
  <c r="H293" i="22"/>
  <c r="E293" i="22"/>
  <c r="D293" i="22"/>
  <c r="C293" i="22"/>
  <c r="B293" i="22"/>
  <c r="A293" i="22"/>
  <c r="H292" i="22"/>
  <c r="E292" i="22"/>
  <c r="D292" i="22"/>
  <c r="C292" i="22"/>
  <c r="B292" i="22"/>
  <c r="A292" i="22"/>
  <c r="H291" i="22"/>
  <c r="E291" i="22"/>
  <c r="D291" i="22"/>
  <c r="B291" i="22"/>
  <c r="A291" i="22"/>
  <c r="H289" i="22"/>
  <c r="E289" i="22"/>
  <c r="D289" i="22"/>
  <c r="C289" i="22"/>
  <c r="B285" i="22"/>
  <c r="H258" i="22"/>
  <c r="F258" i="22"/>
  <c r="E258" i="22"/>
  <c r="C258" i="22"/>
  <c r="A258" i="22"/>
  <c r="H257" i="22"/>
  <c r="F257" i="22"/>
  <c r="E257" i="22"/>
  <c r="C257" i="22"/>
  <c r="A257" i="22"/>
  <c r="H256" i="22"/>
  <c r="C255" i="22"/>
  <c r="A255" i="22"/>
  <c r="H254" i="22"/>
  <c r="C254" i="22"/>
  <c r="H253" i="22"/>
  <c r="E253" i="22"/>
  <c r="D253" i="22"/>
  <c r="C253" i="22"/>
  <c r="B253" i="22"/>
  <c r="A253" i="22"/>
  <c r="H252" i="22"/>
  <c r="E252" i="22"/>
  <c r="D252" i="22"/>
  <c r="C252" i="22"/>
  <c r="B252" i="22"/>
  <c r="A252" i="22"/>
  <c r="H251" i="22"/>
  <c r="E251" i="22"/>
  <c r="D251" i="22"/>
  <c r="C251" i="22"/>
  <c r="B251" i="22"/>
  <c r="A251" i="22"/>
  <c r="H250" i="22"/>
  <c r="E250" i="22"/>
  <c r="D250" i="22"/>
  <c r="C250" i="22"/>
  <c r="B250" i="22"/>
  <c r="A250" i="22"/>
  <c r="H249" i="22"/>
  <c r="E249" i="22"/>
  <c r="D249" i="22"/>
  <c r="C249" i="22"/>
  <c r="B249" i="22"/>
  <c r="A249" i="22"/>
  <c r="H248" i="22"/>
  <c r="E248" i="22"/>
  <c r="D248" i="22"/>
  <c r="C248" i="22"/>
  <c r="B248" i="22"/>
  <c r="A248" i="22"/>
  <c r="H247" i="22"/>
  <c r="E247" i="22"/>
  <c r="D247" i="22"/>
  <c r="C247" i="22"/>
  <c r="B247" i="22"/>
  <c r="A247" i="22"/>
  <c r="H246" i="22"/>
  <c r="E246" i="22"/>
  <c r="D246" i="22"/>
  <c r="C246" i="22"/>
  <c r="B246" i="22"/>
  <c r="A246" i="22"/>
  <c r="H245" i="22"/>
  <c r="E245" i="22"/>
  <c r="D245" i="22"/>
  <c r="C245" i="22"/>
  <c r="B245" i="22"/>
  <c r="A245" i="22"/>
  <c r="H244" i="22"/>
  <c r="E244" i="22"/>
  <c r="D244" i="22"/>
  <c r="C244" i="22"/>
  <c r="B244" i="22"/>
  <c r="A244" i="22"/>
  <c r="H243" i="22"/>
  <c r="E243" i="22"/>
  <c r="D243" i="22"/>
  <c r="C243" i="22"/>
  <c r="H242" i="22"/>
  <c r="E242" i="22"/>
  <c r="D242" i="22"/>
  <c r="C242" i="22"/>
  <c r="B242" i="22"/>
  <c r="A242" i="22"/>
  <c r="H241" i="22"/>
  <c r="E241" i="22"/>
  <c r="D241" i="22"/>
  <c r="C241" i="22"/>
  <c r="H229" i="22"/>
  <c r="F229" i="22"/>
  <c r="E229" i="22"/>
  <c r="C229" i="22"/>
  <c r="H228" i="22"/>
  <c r="H227" i="22"/>
  <c r="E227" i="22"/>
  <c r="C227" i="22"/>
  <c r="A227" i="22"/>
  <c r="H226" i="22"/>
  <c r="C226" i="22"/>
  <c r="H225" i="22"/>
  <c r="E225" i="22"/>
  <c r="D225" i="22"/>
  <c r="C225" i="22"/>
  <c r="B225" i="22"/>
  <c r="A225" i="22"/>
  <c r="H224" i="22"/>
  <c r="E224" i="22"/>
  <c r="D224" i="22"/>
  <c r="C224" i="22"/>
  <c r="B224" i="22"/>
  <c r="A224" i="22"/>
  <c r="H223" i="22"/>
  <c r="E223" i="22"/>
  <c r="D223" i="22"/>
  <c r="C223" i="22"/>
  <c r="B223" i="22"/>
  <c r="A223" i="22"/>
  <c r="H222" i="22"/>
  <c r="E222" i="22"/>
  <c r="D222" i="22"/>
  <c r="C222" i="22"/>
  <c r="B222" i="22"/>
  <c r="A222" i="22"/>
  <c r="H221" i="22"/>
  <c r="E221" i="22"/>
  <c r="D221" i="22"/>
  <c r="C221" i="22"/>
  <c r="H220" i="22"/>
  <c r="E220" i="22"/>
  <c r="D220" i="22"/>
  <c r="C220" i="22"/>
  <c r="B220" i="22"/>
  <c r="A220" i="22"/>
  <c r="H219" i="22"/>
  <c r="C219" i="22"/>
  <c r="H218" i="22"/>
  <c r="C218" i="22"/>
  <c r="H217" i="22"/>
  <c r="E217" i="22"/>
  <c r="D217" i="22"/>
  <c r="C217" i="22"/>
  <c r="C216" i="22"/>
  <c r="H215" i="22"/>
  <c r="E215" i="22"/>
  <c r="B211" i="22"/>
  <c r="B210" i="22"/>
  <c r="B207" i="22"/>
  <c r="H203" i="22"/>
  <c r="D202" i="22"/>
  <c r="C202" i="22"/>
  <c r="H201" i="22"/>
  <c r="F112" i="18" s="1"/>
  <c r="F127" i="18" s="1"/>
  <c r="E201" i="22"/>
  <c r="B201" i="22"/>
  <c r="B165" i="18" s="1"/>
  <c r="A201" i="22"/>
  <c r="A165" i="18" s="1"/>
  <c r="H189" i="22"/>
  <c r="H187" i="22"/>
  <c r="H320" i="22" s="1"/>
  <c r="E187" i="22"/>
  <c r="E202" i="22" s="1"/>
  <c r="C112" i="18" s="1"/>
  <c r="B187" i="22"/>
  <c r="B202" i="22" s="1"/>
  <c r="A187" i="22"/>
  <c r="A320" i="22" s="1"/>
  <c r="H175" i="22"/>
  <c r="E175" i="22"/>
  <c r="D175" i="22"/>
  <c r="C175" i="22"/>
  <c r="B175" i="22"/>
  <c r="A175" i="22"/>
  <c r="H174" i="22"/>
  <c r="E174" i="22"/>
  <c r="D174" i="22"/>
  <c r="C174" i="22"/>
  <c r="B174" i="22"/>
  <c r="A174" i="22"/>
  <c r="H173" i="22"/>
  <c r="E173" i="22"/>
  <c r="D173" i="22"/>
  <c r="B173" i="22"/>
  <c r="A173" i="22"/>
  <c r="C172" i="22"/>
  <c r="H171" i="22"/>
  <c r="H306" i="22" s="1"/>
  <c r="E171" i="22"/>
  <c r="E188" i="22" s="1"/>
  <c r="D171" i="22"/>
  <c r="D188" i="22" s="1"/>
  <c r="C171" i="22"/>
  <c r="C173" i="22" s="1"/>
  <c r="B171" i="22"/>
  <c r="B188" i="22" s="1"/>
  <c r="A171" i="22"/>
  <c r="A306" i="22" s="1"/>
  <c r="B167" i="22"/>
  <c r="H172" i="22"/>
  <c r="E172" i="22"/>
  <c r="B172" i="22"/>
  <c r="A172" i="22"/>
  <c r="H140" i="22"/>
  <c r="F140" i="22"/>
  <c r="E140" i="22"/>
  <c r="C140" i="22"/>
  <c r="A140" i="22"/>
  <c r="H139" i="22"/>
  <c r="F139" i="22"/>
  <c r="E139" i="22"/>
  <c r="C139" i="22"/>
  <c r="A139" i="22"/>
  <c r="H138" i="22"/>
  <c r="C137" i="22"/>
  <c r="C256" i="22" s="1"/>
  <c r="A137" i="22"/>
  <c r="H136" i="22"/>
  <c r="C136" i="22"/>
  <c r="H135" i="22"/>
  <c r="E135" i="22"/>
  <c r="D135" i="22"/>
  <c r="C135" i="22"/>
  <c r="B135" i="22"/>
  <c r="A135" i="22"/>
  <c r="H134" i="22"/>
  <c r="E134" i="22"/>
  <c r="D134" i="22"/>
  <c r="C134" i="22"/>
  <c r="B134" i="22"/>
  <c r="A134" i="22"/>
  <c r="H133" i="22"/>
  <c r="E133" i="22"/>
  <c r="D133" i="22"/>
  <c r="C133" i="22"/>
  <c r="B133" i="22"/>
  <c r="A133" i="22"/>
  <c r="H132" i="22"/>
  <c r="E132" i="22"/>
  <c r="D132" i="22"/>
  <c r="C132" i="22"/>
  <c r="B132" i="22"/>
  <c r="A132" i="22"/>
  <c r="H131" i="22"/>
  <c r="E131" i="22"/>
  <c r="D131" i="22"/>
  <c r="C131" i="22"/>
  <c r="B131" i="22"/>
  <c r="A131" i="22"/>
  <c r="H130" i="22"/>
  <c r="E130" i="22"/>
  <c r="D130" i="22"/>
  <c r="C130" i="22"/>
  <c r="B130" i="22"/>
  <c r="A130" i="22"/>
  <c r="H129" i="22"/>
  <c r="E129" i="22"/>
  <c r="D129" i="22"/>
  <c r="C129" i="22"/>
  <c r="B129" i="22"/>
  <c r="A129" i="22"/>
  <c r="H128" i="22"/>
  <c r="E128" i="22"/>
  <c r="D128" i="22"/>
  <c r="C128" i="22"/>
  <c r="B128" i="22"/>
  <c r="A128" i="22"/>
  <c r="H127" i="22"/>
  <c r="E127" i="22"/>
  <c r="D127" i="22"/>
  <c r="C127" i="22"/>
  <c r="B127" i="22"/>
  <c r="A127" i="22"/>
  <c r="H126" i="22"/>
  <c r="E126" i="22"/>
  <c r="D126" i="22"/>
  <c r="C126" i="22"/>
  <c r="B126" i="22"/>
  <c r="A126" i="22"/>
  <c r="H125" i="22"/>
  <c r="E125" i="22"/>
  <c r="D125" i="22"/>
  <c r="C125" i="22"/>
  <c r="H124" i="22"/>
  <c r="E124" i="22"/>
  <c r="D124" i="22"/>
  <c r="C124" i="22"/>
  <c r="B124" i="22"/>
  <c r="A124" i="22"/>
  <c r="H123" i="22"/>
  <c r="E123" i="22"/>
  <c r="D123" i="22"/>
  <c r="C123" i="22"/>
  <c r="B123" i="22"/>
  <c r="A123" i="22"/>
  <c r="H121" i="22"/>
  <c r="E121" i="22"/>
  <c r="D121" i="22"/>
  <c r="C121" i="22"/>
  <c r="B121" i="22"/>
  <c r="A121" i="22"/>
  <c r="H109" i="22"/>
  <c r="F109" i="22"/>
  <c r="E109" i="22"/>
  <c r="H108" i="22"/>
  <c r="H107" i="22"/>
  <c r="E107" i="22"/>
  <c r="C107" i="22"/>
  <c r="A107" i="22"/>
  <c r="H106" i="22"/>
  <c r="C106" i="22"/>
  <c r="H105" i="22"/>
  <c r="E105" i="22"/>
  <c r="D105" i="22"/>
  <c r="C105" i="22"/>
  <c r="B105" i="22"/>
  <c r="A105" i="22"/>
  <c r="H104" i="22"/>
  <c r="E104" i="22"/>
  <c r="D104" i="22"/>
  <c r="C104" i="22"/>
  <c r="B104" i="22"/>
  <c r="A104" i="22"/>
  <c r="H103" i="22"/>
  <c r="E103" i="22"/>
  <c r="D103" i="22"/>
  <c r="C103" i="22"/>
  <c r="B103" i="22"/>
  <c r="A103" i="22"/>
  <c r="H102" i="22"/>
  <c r="E102" i="22"/>
  <c r="D102" i="22"/>
  <c r="C102" i="22"/>
  <c r="B102" i="22"/>
  <c r="A102" i="22"/>
  <c r="H101" i="22"/>
  <c r="E101" i="22"/>
  <c r="D101" i="22"/>
  <c r="C101" i="22"/>
  <c r="H100" i="22"/>
  <c r="E100" i="22"/>
  <c r="D100" i="22"/>
  <c r="C100" i="22"/>
  <c r="B100" i="22"/>
  <c r="A100" i="22"/>
  <c r="H99" i="22"/>
  <c r="C99" i="22"/>
  <c r="H98" i="22"/>
  <c r="C98" i="22"/>
  <c r="H97" i="22"/>
  <c r="E97" i="22"/>
  <c r="D97" i="22"/>
  <c r="C97" i="22"/>
  <c r="C96" i="22"/>
  <c r="C95" i="22"/>
  <c r="H94" i="22"/>
  <c r="H122" i="22" s="1"/>
  <c r="E94" i="22"/>
  <c r="E122" i="22" s="1"/>
  <c r="B94" i="22"/>
  <c r="B122" i="22" s="1"/>
  <c r="A94" i="22"/>
  <c r="A122" i="22" s="1"/>
  <c r="B90" i="22"/>
  <c r="B89" i="22"/>
  <c r="D215" i="22" s="1"/>
  <c r="B86" i="22"/>
  <c r="C215" i="22" s="1"/>
  <c r="H82" i="22"/>
  <c r="F82" i="22"/>
  <c r="E82" i="22"/>
  <c r="C82" i="22"/>
  <c r="A82" i="22"/>
  <c r="H81" i="22"/>
  <c r="F81" i="22"/>
  <c r="E81" i="22"/>
  <c r="C81" i="22"/>
  <c r="A81" i="22"/>
  <c r="H80" i="22"/>
  <c r="F80" i="22"/>
  <c r="E80" i="22"/>
  <c r="C80" i="22"/>
  <c r="A80" i="22"/>
  <c r="H79" i="22"/>
  <c r="F79" i="22"/>
  <c r="E79" i="22"/>
  <c r="C79" i="22"/>
  <c r="A79" i="22"/>
  <c r="H78" i="22"/>
  <c r="F78" i="22"/>
  <c r="E78" i="22"/>
  <c r="C78" i="22"/>
  <c r="A78" i="22"/>
  <c r="H77" i="22"/>
  <c r="E77" i="22"/>
  <c r="D77" i="22"/>
  <c r="C77" i="22"/>
  <c r="B77" i="22"/>
  <c r="A77" i="22"/>
  <c r="H76" i="22"/>
  <c r="E76" i="22"/>
  <c r="D76" i="22"/>
  <c r="C76" i="22"/>
  <c r="B76" i="22"/>
  <c r="A76" i="22"/>
  <c r="G75" i="22"/>
  <c r="C75" i="22"/>
  <c r="H74" i="22"/>
  <c r="C74" i="22"/>
  <c r="H73" i="22"/>
  <c r="C73" i="22"/>
  <c r="H72" i="22"/>
  <c r="E72" i="22"/>
  <c r="D72" i="22"/>
  <c r="C72" i="22"/>
  <c r="H71" i="22"/>
  <c r="E71" i="22"/>
  <c r="D71" i="22"/>
  <c r="C71" i="22"/>
  <c r="C70" i="22"/>
  <c r="H69" i="22"/>
  <c r="H95" i="22" s="1"/>
  <c r="A69" i="22"/>
  <c r="B64" i="22"/>
  <c r="B63" i="22"/>
  <c r="B62" i="22"/>
  <c r="B61" i="22"/>
  <c r="H24" i="22"/>
  <c r="G24" i="22"/>
  <c r="F24" i="22"/>
  <c r="E24" i="22"/>
  <c r="C24" i="22"/>
  <c r="A24" i="22"/>
  <c r="H23" i="22"/>
  <c r="G23" i="22"/>
  <c r="F23" i="22"/>
  <c r="E23" i="22"/>
  <c r="C23" i="22"/>
  <c r="A23" i="22"/>
  <c r="C22" i="22"/>
  <c r="C21" i="22"/>
  <c r="C20" i="22"/>
  <c r="H19" i="22"/>
  <c r="G19" i="22"/>
  <c r="E19" i="22"/>
  <c r="D19" i="22"/>
  <c r="C19" i="22"/>
  <c r="B19" i="22"/>
  <c r="H18" i="22"/>
  <c r="G18" i="22"/>
  <c r="E18" i="22"/>
  <c r="D18" i="22"/>
  <c r="C18" i="22"/>
  <c r="B18" i="22"/>
  <c r="A18" i="22"/>
  <c r="H17" i="22"/>
  <c r="G17" i="22"/>
  <c r="E17" i="22"/>
  <c r="D17" i="22"/>
  <c r="C17" i="22"/>
  <c r="H16" i="22"/>
  <c r="G16" i="22"/>
  <c r="E16" i="22"/>
  <c r="D16" i="22"/>
  <c r="C16" i="22"/>
  <c r="B16" i="22"/>
  <c r="A16" i="22"/>
  <c r="H15" i="22"/>
  <c r="G15" i="22"/>
  <c r="E15" i="22"/>
  <c r="D15" i="22"/>
  <c r="C15" i="22"/>
  <c r="B15" i="22"/>
  <c r="A15" i="22"/>
  <c r="H14" i="22"/>
  <c r="G14" i="22"/>
  <c r="E14" i="22"/>
  <c r="D14" i="22"/>
  <c r="C14" i="22"/>
  <c r="B14" i="22"/>
  <c r="A14" i="22"/>
  <c r="H13" i="22"/>
  <c r="D13" i="22"/>
  <c r="D216" i="22" s="1"/>
  <c r="B9" i="22"/>
  <c r="B7" i="22"/>
  <c r="E13" i="22" s="1"/>
  <c r="B6" i="22"/>
  <c r="B13" i="22" s="1"/>
  <c r="B5" i="22"/>
  <c r="C13" i="22" s="1"/>
  <c r="B4" i="22"/>
  <c r="A13" i="22" s="1"/>
  <c r="O189" i="21"/>
  <c r="O190" i="21"/>
  <c r="O187" i="21"/>
  <c r="B64" i="18" l="1"/>
  <c r="A22" i="18"/>
  <c r="B148" i="18"/>
  <c r="B22" i="18"/>
  <c r="C148" i="18"/>
  <c r="C22" i="18"/>
  <c r="AG64" i="23"/>
  <c r="AF64" i="23"/>
  <c r="AJ64" i="23"/>
  <c r="AI64" i="23"/>
  <c r="AE62" i="23"/>
  <c r="P65" i="23"/>
  <c r="C64" i="23"/>
  <c r="V65" i="23"/>
  <c r="AK63" i="23" s="1"/>
  <c r="AK62" i="23"/>
  <c r="AH64" i="23"/>
  <c r="F115" i="18"/>
  <c r="H153" i="22"/>
  <c r="H271" i="22"/>
  <c r="B103" i="18"/>
  <c r="B272" i="22"/>
  <c r="B154" i="22"/>
  <c r="A272" i="22"/>
  <c r="A154" i="22"/>
  <c r="C165" i="18"/>
  <c r="A112" i="18"/>
  <c r="A127" i="18" s="1"/>
  <c r="B112" i="18"/>
  <c r="B127" i="18" s="1"/>
  <c r="H75" i="22"/>
  <c r="F165" i="18"/>
  <c r="G346" i="24"/>
  <c r="C346" i="24"/>
  <c r="D346" i="24"/>
  <c r="F346" i="24"/>
  <c r="E346" i="24"/>
  <c r="H346" i="24"/>
  <c r="B346" i="24"/>
  <c r="B99" i="18"/>
  <c r="F113" i="18"/>
  <c r="E127" i="18"/>
  <c r="A148" i="18"/>
  <c r="A95" i="18"/>
  <c r="E95" i="18"/>
  <c r="B95" i="18"/>
  <c r="C95" i="18"/>
  <c r="B69" i="18"/>
  <c r="B98" i="18"/>
  <c r="B113" i="18"/>
  <c r="A167" i="18"/>
  <c r="C113" i="18"/>
  <c r="C127" i="18"/>
  <c r="B167" i="18"/>
  <c r="F148" i="18"/>
  <c r="C167" i="18"/>
  <c r="A115" i="18"/>
  <c r="B115" i="18"/>
  <c r="A166" i="18"/>
  <c r="C115" i="18"/>
  <c r="C126" i="18"/>
  <c r="B132" i="18"/>
  <c r="B166" i="18"/>
  <c r="B65" i="18"/>
  <c r="D69" i="22"/>
  <c r="D95" i="22" s="1"/>
  <c r="H202" i="22"/>
  <c r="B69" i="22"/>
  <c r="B95" i="22" s="1"/>
  <c r="A188" i="22"/>
  <c r="D172" i="22"/>
  <c r="A202" i="22"/>
  <c r="A96" i="22"/>
  <c r="E69" i="22"/>
  <c r="E95" i="22" s="1"/>
  <c r="C94" i="22"/>
  <c r="C228" i="22"/>
  <c r="H188" i="22"/>
  <c r="C138" i="22"/>
  <c r="A75" i="22"/>
  <c r="C69" i="22"/>
  <c r="C108" i="22"/>
  <c r="B96" i="22"/>
  <c r="B216" i="22"/>
  <c r="B70" i="22"/>
  <c r="E216" i="22"/>
  <c r="E70" i="22"/>
  <c r="E96" i="22"/>
  <c r="B75" i="22"/>
  <c r="C291" i="22"/>
  <c r="A290" i="22"/>
  <c r="A70" i="22"/>
  <c r="D94" i="22"/>
  <c r="D96" i="22"/>
  <c r="B290" i="22"/>
  <c r="D75" i="22"/>
  <c r="H96" i="22"/>
  <c r="D70" i="22"/>
  <c r="A95" i="22"/>
  <c r="E290" i="22"/>
  <c r="B320" i="22"/>
  <c r="A216" i="22"/>
  <c r="H290" i="22"/>
  <c r="B306" i="22"/>
  <c r="H70" i="22"/>
  <c r="H216" i="22"/>
  <c r="C188" i="22"/>
  <c r="D306" i="22"/>
  <c r="E320" i="22"/>
  <c r="E306" i="22"/>
  <c r="AK64" i="23" l="1"/>
  <c r="AE63" i="23"/>
  <c r="AE64" i="23" s="1"/>
  <c r="C66" i="23"/>
  <c r="D290" i="22"/>
  <c r="D122" i="22"/>
  <c r="AM62" i="3"/>
  <c r="AL62" i="3"/>
  <c r="D79" i="18" l="1"/>
  <c r="K29" i="34" s="1"/>
  <c r="D80" i="18"/>
  <c r="D81" i="18"/>
  <c r="K31" i="23" l="1"/>
  <c r="K31" i="34"/>
  <c r="D83" i="18"/>
  <c r="D82" i="18"/>
  <c r="K29" i="23"/>
  <c r="H55" i="8"/>
  <c r="G55" i="8"/>
  <c r="H54" i="8"/>
  <c r="G54" i="8"/>
  <c r="H53" i="8"/>
  <c r="G53" i="8"/>
  <c r="H52" i="8"/>
  <c r="G52" i="8"/>
  <c r="G51" i="8"/>
  <c r="H50" i="8"/>
  <c r="G50" i="8"/>
  <c r="Q76" i="3"/>
  <c r="P69" i="3"/>
  <c r="O69" i="3"/>
  <c r="I53" i="8" l="1"/>
  <c r="I56" i="8"/>
  <c r="I57" i="8"/>
  <c r="G56" i="8"/>
  <c r="H56" i="8"/>
  <c r="G57" i="8"/>
  <c r="H57" i="8"/>
  <c r="H298" i="21"/>
  <c r="H297" i="21"/>
  <c r="D260" i="21"/>
  <c r="C259" i="21"/>
  <c r="D261" i="21"/>
  <c r="C260" i="21"/>
  <c r="I52" i="8" l="1"/>
  <c r="I55" i="8"/>
  <c r="I50" i="8"/>
  <c r="H51" i="8"/>
  <c r="I54" i="8"/>
  <c r="C167" i="21"/>
  <c r="C166" i="21"/>
  <c r="C165" i="21"/>
  <c r="C164" i="21"/>
  <c r="C163" i="21"/>
  <c r="C162" i="21"/>
  <c r="C161" i="21"/>
  <c r="C160" i="21"/>
  <c r="C159" i="21"/>
  <c r="M21" i="13" l="1"/>
  <c r="L20" i="13"/>
  <c r="L19" i="13"/>
  <c r="O42" i="27" s="1"/>
  <c r="L18" i="13"/>
  <c r="L17" i="13"/>
  <c r="AL42" i="27" l="1"/>
  <c r="W42" i="27"/>
  <c r="H20" i="30" s="1"/>
  <c r="AB19" i="13"/>
  <c r="G20" i="30" s="1"/>
  <c r="L23" i="13"/>
  <c r="O40" i="27"/>
  <c r="O40" i="28"/>
  <c r="O41" i="3"/>
  <c r="T18" i="13" s="1"/>
  <c r="G7" i="30" s="1"/>
  <c r="O41" i="28"/>
  <c r="O41" i="27"/>
  <c r="D38" i="10"/>
  <c r="F37" i="10"/>
  <c r="F36" i="10"/>
  <c r="F35" i="10"/>
  <c r="F34" i="10"/>
  <c r="F33" i="10"/>
  <c r="G28" i="10"/>
  <c r="E28" i="10"/>
  <c r="D28" i="10"/>
  <c r="P71" i="3" s="1"/>
  <c r="P72" i="3" s="1"/>
  <c r="F27" i="10"/>
  <c r="F26" i="10"/>
  <c r="F25" i="10"/>
  <c r="S14" i="10"/>
  <c r="S15" i="10"/>
  <c r="G15" i="10" s="1"/>
  <c r="F15" i="10" s="1"/>
  <c r="S16" i="10"/>
  <c r="S17" i="10"/>
  <c r="S18" i="10"/>
  <c r="S13" i="10"/>
  <c r="G13" i="10" s="1"/>
  <c r="F13" i="10" s="1"/>
  <c r="K41" i="27" l="1"/>
  <c r="AL41" i="27"/>
  <c r="W41" i="27"/>
  <c r="H19" i="30" s="1"/>
  <c r="K41" i="28"/>
  <c r="AL41" i="28"/>
  <c r="W41" i="28"/>
  <c r="H13" i="30" s="1"/>
  <c r="K40" i="28"/>
  <c r="Y40" i="28" s="1"/>
  <c r="Z40" i="28" s="1"/>
  <c r="AL40" i="28" s="1"/>
  <c r="K42" i="28"/>
  <c r="K43" i="28"/>
  <c r="K40" i="27"/>
  <c r="K43" i="27"/>
  <c r="K42" i="27"/>
  <c r="W40" i="27"/>
  <c r="H18" i="30" s="1"/>
  <c r="AB18" i="13"/>
  <c r="G19" i="30" s="1"/>
  <c r="U18" i="13"/>
  <c r="G13" i="30" s="1"/>
  <c r="U17" i="13"/>
  <c r="O45" i="28"/>
  <c r="AB17" i="13"/>
  <c r="O45" i="27"/>
  <c r="F28" i="10"/>
  <c r="N71" i="27" s="1"/>
  <c r="N72" i="27" s="1"/>
  <c r="M35" i="10"/>
  <c r="J35" i="10"/>
  <c r="J34" i="10"/>
  <c r="M34" i="10"/>
  <c r="M25" i="10"/>
  <c r="J25" i="10"/>
  <c r="M26" i="10"/>
  <c r="M36" i="10"/>
  <c r="G17" i="10"/>
  <c r="F17" i="10" s="1"/>
  <c r="F38" i="10"/>
  <c r="J33" i="10"/>
  <c r="G16" i="10"/>
  <c r="B18" i="30" l="1"/>
  <c r="G18" i="30"/>
  <c r="X40" i="27"/>
  <c r="Y40" i="27"/>
  <c r="Z40" i="27" s="1"/>
  <c r="AL40" i="27" s="1"/>
  <c r="X42" i="27"/>
  <c r="Y42" i="27"/>
  <c r="Z42" i="27" s="1"/>
  <c r="H16" i="10"/>
  <c r="AA46" i="28"/>
  <c r="AA47" i="28" s="1"/>
  <c r="Y43" i="28"/>
  <c r="Z43" i="28" s="1"/>
  <c r="X43" i="28"/>
  <c r="G12" i="30"/>
  <c r="B12" i="30"/>
  <c r="K17" i="10"/>
  <c r="AA46" i="27"/>
  <c r="AA47" i="27" s="1"/>
  <c r="AB46" i="27"/>
  <c r="AB47" i="27" s="1"/>
  <c r="X43" i="27"/>
  <c r="Y43" i="27"/>
  <c r="Z43" i="27" s="1"/>
  <c r="X41" i="27"/>
  <c r="Y41" i="27"/>
  <c r="Z41" i="27" s="1"/>
  <c r="O71" i="3"/>
  <c r="O72" i="3" s="1"/>
  <c r="N71" i="28"/>
  <c r="N72" i="28" s="1"/>
  <c r="AF6" i="23"/>
  <c r="AF22" i="23" s="1"/>
  <c r="AB7" i="23"/>
  <c r="AB23" i="23" s="1"/>
  <c r="AC7" i="23"/>
  <c r="AC23" i="23" s="1"/>
  <c r="AD7" i="23"/>
  <c r="AD23" i="23" s="1"/>
  <c r="AE7" i="23"/>
  <c r="AE23" i="23" s="1"/>
  <c r="AF7" i="23"/>
  <c r="AF23" i="23" s="1"/>
  <c r="AG7" i="23"/>
  <c r="AG23" i="23" s="1"/>
  <c r="AH7" i="23"/>
  <c r="AH23" i="23" s="1"/>
  <c r="AI7" i="23"/>
  <c r="AI23" i="23" s="1"/>
  <c r="AJ7" i="23"/>
  <c r="AJ23" i="23" s="1"/>
  <c r="AK7" i="23"/>
  <c r="AK23" i="23" s="1"/>
  <c r="AL7" i="23"/>
  <c r="AL23" i="23" s="1"/>
  <c r="AM7" i="23"/>
  <c r="AM23" i="23" s="1"/>
  <c r="AA7" i="23"/>
  <c r="AA23" i="23" s="1"/>
  <c r="AA6" i="23"/>
  <c r="AA22" i="23" s="1"/>
  <c r="AB46" i="28" l="1"/>
  <c r="AB47" i="28" s="1"/>
  <c r="AJ41" i="27"/>
  <c r="AK41" i="27"/>
  <c r="AK43" i="27"/>
  <c r="AJ43" i="27"/>
  <c r="AK43" i="28"/>
  <c r="AJ43" i="28"/>
  <c r="Z46" i="27"/>
  <c r="AK40" i="27"/>
  <c r="AJ40" i="27"/>
  <c r="X46" i="27"/>
  <c r="AJ42" i="27"/>
  <c r="AK42" i="27"/>
  <c r="L17" i="10"/>
  <c r="L18" i="10" s="1"/>
  <c r="M17" i="10"/>
  <c r="M18" i="10" s="1"/>
  <c r="M27" i="10"/>
  <c r="M28" i="10" s="1"/>
  <c r="L27" i="10"/>
  <c r="L28" i="10" s="1"/>
  <c r="M37" i="10"/>
  <c r="M38" i="10" s="1"/>
  <c r="L37" i="10"/>
  <c r="L38" i="10" s="1"/>
  <c r="K18" i="10"/>
  <c r="J26" i="10"/>
  <c r="J28" i="10" s="1"/>
  <c r="I16" i="10"/>
  <c r="I18" i="10" s="1"/>
  <c r="I40" i="10" s="1"/>
  <c r="I41" i="10" s="1"/>
  <c r="I26" i="10"/>
  <c r="I28" i="10" s="1"/>
  <c r="J16" i="10"/>
  <c r="J18" i="10" s="1"/>
  <c r="J40" i="10" s="1"/>
  <c r="J41" i="10" s="1"/>
  <c r="J36" i="10"/>
  <c r="J38" i="10" s="1"/>
  <c r="I36" i="10"/>
  <c r="I38" i="10" s="1"/>
  <c r="H18" i="10"/>
  <c r="I49" i="8"/>
  <c r="B25" i="20"/>
  <c r="B23" i="20"/>
  <c r="D181" i="21"/>
  <c r="B181" i="21"/>
  <c r="AK48" i="27" l="1"/>
  <c r="AK49" i="27" s="1"/>
  <c r="AJ48" i="27"/>
  <c r="AJ49" i="27" s="1"/>
  <c r="X47" i="27"/>
  <c r="Z47" i="27"/>
  <c r="AL48" i="27"/>
  <c r="AL49" i="27" s="1"/>
  <c r="M40" i="10"/>
  <c r="M41" i="10" s="1"/>
  <c r="L40" i="10"/>
  <c r="L41" i="10" s="1"/>
  <c r="H49" i="8"/>
  <c r="G49" i="8"/>
  <c r="I51" i="8"/>
  <c r="E264" i="21"/>
  <c r="F264" i="21" s="1"/>
  <c r="E256" i="21"/>
  <c r="D255" i="21"/>
  <c r="E255" i="21" s="1"/>
  <c r="E254" i="21"/>
  <c r="E253" i="21"/>
  <c r="D224" i="21"/>
  <c r="E224" i="21" s="1"/>
  <c r="E225" i="21" s="1"/>
  <c r="D225" i="21" s="1"/>
  <c r="G29" i="34" l="1"/>
  <c r="J29" i="34" s="1"/>
  <c r="AL51" i="3"/>
  <c r="G30" i="34"/>
  <c r="J30" i="34" s="1"/>
  <c r="AJ51" i="3"/>
  <c r="G31" i="34"/>
  <c r="J31" i="34" s="1"/>
  <c r="AK51" i="3"/>
  <c r="E265" i="21"/>
  <c r="F265" i="21" s="1"/>
  <c r="F266" i="21"/>
  <c r="E266" i="21" s="1"/>
  <c r="E267" i="21" s="1"/>
  <c r="P12" i="34" l="1"/>
  <c r="N12" i="34"/>
  <c r="P11" i="34"/>
  <c r="N11" i="34"/>
  <c r="N10" i="34"/>
  <c r="P10" i="34"/>
  <c r="F267" i="21"/>
  <c r="L21" i="13" l="1"/>
  <c r="C20" i="8"/>
  <c r="L24" i="13" l="1"/>
  <c r="O44" i="27"/>
  <c r="W44" i="27" s="1"/>
  <c r="O44" i="28"/>
  <c r="W44" i="28" s="1"/>
  <c r="L25" i="13"/>
  <c r="D14" i="8"/>
  <c r="E5" i="8"/>
  <c r="E4" i="8"/>
  <c r="C21" i="1"/>
  <c r="O44" i="3"/>
  <c r="M47" i="3"/>
  <c r="M46" i="3"/>
  <c r="M45" i="3"/>
  <c r="S44" i="3"/>
  <c r="P44" i="3"/>
  <c r="Q44" i="3" s="1"/>
  <c r="N44" i="3"/>
  <c r="M44" i="3"/>
  <c r="P43" i="3"/>
  <c r="Q43" i="3" s="1"/>
  <c r="O43" i="3"/>
  <c r="T20" i="13" s="1"/>
  <c r="G9" i="30" s="1"/>
  <c r="N43" i="3"/>
  <c r="M43" i="3"/>
  <c r="P42" i="3"/>
  <c r="Q42" i="3" s="1"/>
  <c r="O42" i="3"/>
  <c r="T19" i="13" s="1"/>
  <c r="G8" i="30" s="1"/>
  <c r="N42" i="3"/>
  <c r="M42" i="3"/>
  <c r="P41" i="3"/>
  <c r="Q41" i="3" s="1"/>
  <c r="N41" i="3"/>
  <c r="M41" i="3"/>
  <c r="R40" i="3"/>
  <c r="O40" i="3"/>
  <c r="N40" i="3"/>
  <c r="O38" i="3"/>
  <c r="N38" i="3"/>
  <c r="M38" i="3"/>
  <c r="G129" i="16"/>
  <c r="K129" i="16" s="1"/>
  <c r="G128" i="16"/>
  <c r="M128" i="16" s="1"/>
  <c r="G127" i="16"/>
  <c r="M127" i="16" s="1"/>
  <c r="G126" i="16"/>
  <c r="K126" i="16" s="1"/>
  <c r="G125" i="16"/>
  <c r="M125" i="16" s="1"/>
  <c r="G124" i="16"/>
  <c r="M124" i="16" s="1"/>
  <c r="G123" i="16"/>
  <c r="K123" i="16" s="1"/>
  <c r="G122" i="16"/>
  <c r="M122" i="16" s="1"/>
  <c r="G121" i="16"/>
  <c r="M121" i="16" s="1"/>
  <c r="G120" i="16"/>
  <c r="M120" i="16" s="1"/>
  <c r="G119" i="16"/>
  <c r="M119" i="16" s="1"/>
  <c r="G118" i="16"/>
  <c r="M118" i="16" s="1"/>
  <c r="G117" i="16"/>
  <c r="K117" i="16" s="1"/>
  <c r="G116" i="16"/>
  <c r="M116" i="16" s="1"/>
  <c r="G115" i="16"/>
  <c r="M115" i="16" s="1"/>
  <c r="G114" i="16"/>
  <c r="M114" i="16" s="1"/>
  <c r="G113" i="16"/>
  <c r="M113" i="16" s="1"/>
  <c r="G112" i="16"/>
  <c r="M112" i="16" s="1"/>
  <c r="G111" i="16"/>
  <c r="M111" i="16" s="1"/>
  <c r="G110" i="16"/>
  <c r="M110" i="16" s="1"/>
  <c r="G109" i="16"/>
  <c r="M109" i="16" s="1"/>
  <c r="G108" i="16"/>
  <c r="M108" i="16" s="1"/>
  <c r="G107" i="16"/>
  <c r="M107" i="16" s="1"/>
  <c r="G106" i="16"/>
  <c r="M106" i="16" s="1"/>
  <c r="G105" i="16"/>
  <c r="K105" i="16" s="1"/>
  <c r="G104" i="16"/>
  <c r="M104" i="16" s="1"/>
  <c r="G103" i="16"/>
  <c r="K103" i="16" s="1"/>
  <c r="G102" i="16"/>
  <c r="M102" i="16" s="1"/>
  <c r="G101" i="16"/>
  <c r="M101" i="16" s="1"/>
  <c r="G100" i="16"/>
  <c r="M100" i="16" s="1"/>
  <c r="G99" i="16"/>
  <c r="M99" i="16" s="1"/>
  <c r="G98" i="16"/>
  <c r="M98" i="16" s="1"/>
  <c r="G97" i="16"/>
  <c r="K97" i="16" s="1"/>
  <c r="G96" i="16"/>
  <c r="M96" i="16" s="1"/>
  <c r="G95" i="16"/>
  <c r="K95" i="16" s="1"/>
  <c r="G94" i="16"/>
  <c r="M94" i="16" s="1"/>
  <c r="G93" i="16"/>
  <c r="K93" i="16" s="1"/>
  <c r="G92" i="16"/>
  <c r="M92" i="16" s="1"/>
  <c r="G91" i="16"/>
  <c r="M91" i="16" s="1"/>
  <c r="G90" i="16"/>
  <c r="M90" i="16" s="1"/>
  <c r="G89" i="16"/>
  <c r="K89" i="16" s="1"/>
  <c r="G88" i="16"/>
  <c r="M88" i="16" s="1"/>
  <c r="G87" i="16"/>
  <c r="K87" i="16" s="1"/>
  <c r="G86" i="16"/>
  <c r="M86" i="16" s="1"/>
  <c r="G85" i="16"/>
  <c r="K85" i="16" s="1"/>
  <c r="G84" i="16"/>
  <c r="M84" i="16" s="1"/>
  <c r="G83" i="16"/>
  <c r="K83" i="16" s="1"/>
  <c r="G82" i="16"/>
  <c r="M82" i="16" s="1"/>
  <c r="G81" i="16"/>
  <c r="K81" i="16" s="1"/>
  <c r="G80" i="16"/>
  <c r="M80" i="16" s="1"/>
  <c r="G79" i="16"/>
  <c r="M79" i="16" s="1"/>
  <c r="G78" i="16"/>
  <c r="M78" i="16" s="1"/>
  <c r="G77" i="16"/>
  <c r="K77" i="16" s="1"/>
  <c r="G76" i="16"/>
  <c r="M76" i="16" s="1"/>
  <c r="G75" i="16"/>
  <c r="M75" i="16" s="1"/>
  <c r="G74" i="16"/>
  <c r="M74" i="16" s="1"/>
  <c r="G73" i="16"/>
  <c r="K73" i="16" s="1"/>
  <c r="G72" i="16"/>
  <c r="M72" i="16" s="1"/>
  <c r="G71" i="16"/>
  <c r="K71" i="16" s="1"/>
  <c r="G70" i="16"/>
  <c r="M70" i="16" s="1"/>
  <c r="G69" i="16"/>
  <c r="K69" i="16" s="1"/>
  <c r="G68" i="16"/>
  <c r="M68" i="16" s="1"/>
  <c r="G67" i="16"/>
  <c r="M67" i="16" s="1"/>
  <c r="G66" i="16"/>
  <c r="M66" i="16" s="1"/>
  <c r="G65" i="16"/>
  <c r="K65" i="16" s="1"/>
  <c r="G64" i="16"/>
  <c r="M64" i="16" s="1"/>
  <c r="G63" i="16"/>
  <c r="K63" i="16" s="1"/>
  <c r="G62" i="16"/>
  <c r="M62" i="16" s="1"/>
  <c r="G61" i="16"/>
  <c r="K61" i="16" s="1"/>
  <c r="G60" i="16"/>
  <c r="M60" i="16" s="1"/>
  <c r="G59" i="16"/>
  <c r="M59" i="16" s="1"/>
  <c r="G58" i="16"/>
  <c r="K58" i="16" s="1"/>
  <c r="G57" i="16"/>
  <c r="K57" i="16" s="1"/>
  <c r="G56" i="16"/>
  <c r="M56" i="16" s="1"/>
  <c r="G55" i="16"/>
  <c r="K55" i="16" s="1"/>
  <c r="G54" i="16"/>
  <c r="M54" i="16" s="1"/>
  <c r="G53" i="16"/>
  <c r="K53" i="16" s="1"/>
  <c r="G52" i="16"/>
  <c r="M52" i="16" s="1"/>
  <c r="G51" i="16"/>
  <c r="K51" i="16" s="1"/>
  <c r="G50" i="16"/>
  <c r="M50" i="16" s="1"/>
  <c r="G49" i="16"/>
  <c r="K49" i="16" s="1"/>
  <c r="G48" i="16"/>
  <c r="M48" i="16" s="1"/>
  <c r="G47" i="16"/>
  <c r="M47" i="16" s="1"/>
  <c r="G46" i="16"/>
  <c r="M46" i="16" s="1"/>
  <c r="G45" i="16"/>
  <c r="K45" i="16" s="1"/>
  <c r="G44" i="16"/>
  <c r="M44" i="16" s="1"/>
  <c r="G43" i="16"/>
  <c r="M43" i="16" s="1"/>
  <c r="G42" i="16"/>
  <c r="M42" i="16" s="1"/>
  <c r="G41" i="16"/>
  <c r="K41" i="16" s="1"/>
  <c r="G40" i="16"/>
  <c r="M40" i="16" s="1"/>
  <c r="G39" i="16"/>
  <c r="K39" i="16" s="1"/>
  <c r="G38" i="16"/>
  <c r="M38" i="16" s="1"/>
  <c r="G37" i="16"/>
  <c r="K37" i="16" s="1"/>
  <c r="G36" i="16"/>
  <c r="M36" i="16" s="1"/>
  <c r="G35" i="16"/>
  <c r="M35" i="16" s="1"/>
  <c r="G34" i="16"/>
  <c r="M34" i="16" s="1"/>
  <c r="G33" i="16"/>
  <c r="K33" i="16" s="1"/>
  <c r="G32" i="16"/>
  <c r="M32" i="16" s="1"/>
  <c r="G31" i="16"/>
  <c r="K31" i="16" s="1"/>
  <c r="G30" i="16"/>
  <c r="M30" i="16" s="1"/>
  <c r="G29" i="16"/>
  <c r="K29" i="16" s="1"/>
  <c r="G28" i="16"/>
  <c r="M28" i="16" s="1"/>
  <c r="G27" i="16"/>
  <c r="M27" i="16" s="1"/>
  <c r="G26" i="16"/>
  <c r="M26" i="16" s="1"/>
  <c r="G25" i="16"/>
  <c r="K25" i="16" s="1"/>
  <c r="G24" i="16"/>
  <c r="M24" i="16" s="1"/>
  <c r="G23" i="16"/>
  <c r="K23" i="16" s="1"/>
  <c r="G22" i="16"/>
  <c r="M22" i="16" s="1"/>
  <c r="G21" i="16"/>
  <c r="K21" i="16" s="1"/>
  <c r="G20" i="16"/>
  <c r="M20" i="16" s="1"/>
  <c r="G19" i="16"/>
  <c r="M19" i="16" s="1"/>
  <c r="G18" i="16"/>
  <c r="M18" i="16" s="1"/>
  <c r="G17" i="16"/>
  <c r="K17" i="16" s="1"/>
  <c r="G16" i="16"/>
  <c r="M16" i="16" s="1"/>
  <c r="G15" i="16"/>
  <c r="K15" i="16" s="1"/>
  <c r="G14" i="16"/>
  <c r="K14" i="16" s="1"/>
  <c r="G13" i="16"/>
  <c r="K13" i="16" s="1"/>
  <c r="G12" i="16"/>
  <c r="M12" i="16" s="1"/>
  <c r="G11" i="16"/>
  <c r="K11" i="16" s="1"/>
  <c r="G10" i="16"/>
  <c r="K10" i="16" s="1"/>
  <c r="G9" i="16"/>
  <c r="K9" i="16" s="1"/>
  <c r="G8" i="16"/>
  <c r="M8" i="16" s="1"/>
  <c r="G7" i="16"/>
  <c r="M7" i="16" s="1"/>
  <c r="G6" i="16"/>
  <c r="M6" i="16" s="1"/>
  <c r="G5" i="16"/>
  <c r="K5" i="16" s="1"/>
  <c r="G4" i="16"/>
  <c r="M4" i="16" s="1"/>
  <c r="G3" i="16"/>
  <c r="M3" i="16" s="1"/>
  <c r="G2" i="16"/>
  <c r="K2" i="16" s="1"/>
  <c r="I129" i="15"/>
  <c r="Y129" i="15" s="1"/>
  <c r="I128" i="15"/>
  <c r="Y128" i="15" s="1"/>
  <c r="I127" i="15"/>
  <c r="W127" i="15" s="1"/>
  <c r="I126" i="15"/>
  <c r="Y126" i="15" s="1"/>
  <c r="I125" i="15"/>
  <c r="Y125" i="15" s="1"/>
  <c r="I124" i="15"/>
  <c r="W124" i="15" s="1"/>
  <c r="I123" i="15"/>
  <c r="W123" i="15" s="1"/>
  <c r="I122" i="15"/>
  <c r="Y122" i="15" s="1"/>
  <c r="I121" i="15"/>
  <c r="Y121" i="15" s="1"/>
  <c r="I120" i="15"/>
  <c r="Y120" i="15" s="1"/>
  <c r="I119" i="15"/>
  <c r="W119" i="15" s="1"/>
  <c r="I118" i="15"/>
  <c r="Y118" i="15" s="1"/>
  <c r="I117" i="15"/>
  <c r="Y117" i="15" s="1"/>
  <c r="I116" i="15"/>
  <c r="Y116" i="15" s="1"/>
  <c r="I115" i="15"/>
  <c r="W115" i="15" s="1"/>
  <c r="I114" i="15"/>
  <c r="Y114" i="15" s="1"/>
  <c r="I113" i="15"/>
  <c r="Y113" i="15" s="1"/>
  <c r="I112" i="15"/>
  <c r="W112" i="15" s="1"/>
  <c r="I111" i="15"/>
  <c r="W111" i="15" s="1"/>
  <c r="I110" i="15"/>
  <c r="Y110" i="15" s="1"/>
  <c r="I109" i="15"/>
  <c r="Y109" i="15" s="1"/>
  <c r="I108" i="15"/>
  <c r="Y108" i="15" s="1"/>
  <c r="I107" i="15"/>
  <c r="W107" i="15" s="1"/>
  <c r="I106" i="15"/>
  <c r="Y106" i="15" s="1"/>
  <c r="I105" i="15"/>
  <c r="Y105" i="15" s="1"/>
  <c r="I104" i="15"/>
  <c r="Y104" i="15" s="1"/>
  <c r="I103" i="15"/>
  <c r="W103" i="15" s="1"/>
  <c r="I102" i="15"/>
  <c r="Y102" i="15" s="1"/>
  <c r="I101" i="15"/>
  <c r="Y101" i="15" s="1"/>
  <c r="I100" i="15"/>
  <c r="Y100" i="15" s="1"/>
  <c r="I99" i="15"/>
  <c r="W99" i="15" s="1"/>
  <c r="I98" i="15"/>
  <c r="Y98" i="15" s="1"/>
  <c r="I97" i="15"/>
  <c r="Y97" i="15" s="1"/>
  <c r="I96" i="15"/>
  <c r="Y96" i="15" s="1"/>
  <c r="I95" i="15"/>
  <c r="W95" i="15" s="1"/>
  <c r="I94" i="15"/>
  <c r="Y94" i="15" s="1"/>
  <c r="I93" i="15"/>
  <c r="Y93" i="15" s="1"/>
  <c r="I92" i="15"/>
  <c r="Y92" i="15" s="1"/>
  <c r="I91" i="15"/>
  <c r="W91" i="15" s="1"/>
  <c r="I90" i="15"/>
  <c r="Y90" i="15" s="1"/>
  <c r="I89" i="15"/>
  <c r="Y89" i="15" s="1"/>
  <c r="I88" i="15"/>
  <c r="Y88" i="15" s="1"/>
  <c r="I87" i="15"/>
  <c r="W87" i="15" s="1"/>
  <c r="I86" i="15"/>
  <c r="Y86" i="15" s="1"/>
  <c r="I85" i="15"/>
  <c r="Y85" i="15" s="1"/>
  <c r="I84" i="15"/>
  <c r="Y84" i="15" s="1"/>
  <c r="I83" i="15"/>
  <c r="W83" i="15" s="1"/>
  <c r="I82" i="15"/>
  <c r="Y82" i="15" s="1"/>
  <c r="I81" i="15"/>
  <c r="Y81" i="15" s="1"/>
  <c r="I80" i="15"/>
  <c r="Y80" i="15" s="1"/>
  <c r="I79" i="15"/>
  <c r="W79" i="15" s="1"/>
  <c r="I78" i="15"/>
  <c r="Y78" i="15" s="1"/>
  <c r="I77" i="15"/>
  <c r="Y77" i="15" s="1"/>
  <c r="I76" i="15"/>
  <c r="W76" i="15" s="1"/>
  <c r="I75" i="15"/>
  <c r="W75" i="15" s="1"/>
  <c r="I74" i="15"/>
  <c r="Y74" i="15" s="1"/>
  <c r="I73" i="15"/>
  <c r="Y73" i="15" s="1"/>
  <c r="I72" i="15"/>
  <c r="Y72" i="15" s="1"/>
  <c r="I71" i="15"/>
  <c r="W71" i="15" s="1"/>
  <c r="I70" i="15"/>
  <c r="Y70" i="15" s="1"/>
  <c r="I69" i="15"/>
  <c r="Y69" i="15" s="1"/>
  <c r="I68" i="15"/>
  <c r="Y68" i="15" s="1"/>
  <c r="I67" i="15"/>
  <c r="W67" i="15" s="1"/>
  <c r="I66" i="15"/>
  <c r="Y66" i="15" s="1"/>
  <c r="I65" i="15"/>
  <c r="Y65" i="15" s="1"/>
  <c r="I64" i="15"/>
  <c r="Y64" i="15" s="1"/>
  <c r="I63" i="15"/>
  <c r="W63" i="15" s="1"/>
  <c r="I62" i="15"/>
  <c r="Y62" i="15" s="1"/>
  <c r="I61" i="15"/>
  <c r="Y61" i="15" s="1"/>
  <c r="I60" i="15"/>
  <c r="W60" i="15" s="1"/>
  <c r="I59" i="15"/>
  <c r="W59" i="15" s="1"/>
  <c r="I58" i="15"/>
  <c r="Y58" i="15" s="1"/>
  <c r="I57" i="15"/>
  <c r="Y57" i="15" s="1"/>
  <c r="I56" i="15"/>
  <c r="Y56" i="15" s="1"/>
  <c r="I55" i="15"/>
  <c r="W55" i="15" s="1"/>
  <c r="I54" i="15"/>
  <c r="Y54" i="15" s="1"/>
  <c r="I53" i="15"/>
  <c r="Y53" i="15" s="1"/>
  <c r="I52" i="15"/>
  <c r="W52" i="15" s="1"/>
  <c r="I51" i="15"/>
  <c r="W51" i="15" s="1"/>
  <c r="I50" i="15"/>
  <c r="Y50" i="15" s="1"/>
  <c r="I49" i="15"/>
  <c r="Y49" i="15" s="1"/>
  <c r="I48" i="15"/>
  <c r="Y48" i="15" s="1"/>
  <c r="I47" i="15"/>
  <c r="W47" i="15" s="1"/>
  <c r="I46" i="15"/>
  <c r="Y46" i="15" s="1"/>
  <c r="I45" i="15"/>
  <c r="Y45" i="15" s="1"/>
  <c r="I44" i="15"/>
  <c r="Y44" i="15" s="1"/>
  <c r="I43" i="15"/>
  <c r="W43" i="15" s="1"/>
  <c r="I42" i="15"/>
  <c r="Y42" i="15" s="1"/>
  <c r="I41" i="15"/>
  <c r="Y41" i="15" s="1"/>
  <c r="I40" i="15"/>
  <c r="Y40" i="15" s="1"/>
  <c r="I39" i="15"/>
  <c r="W39" i="15" s="1"/>
  <c r="I38" i="15"/>
  <c r="Y38" i="15" s="1"/>
  <c r="I37" i="15"/>
  <c r="I36" i="15"/>
  <c r="Y36" i="15" s="1"/>
  <c r="I35" i="15"/>
  <c r="W35" i="15" s="1"/>
  <c r="I34" i="15"/>
  <c r="Y34" i="15" s="1"/>
  <c r="I33" i="15"/>
  <c r="Y33" i="15" s="1"/>
  <c r="I32" i="15"/>
  <c r="Y32" i="15" s="1"/>
  <c r="I31" i="15"/>
  <c r="W31" i="15" s="1"/>
  <c r="I30" i="15"/>
  <c r="Y30" i="15" s="1"/>
  <c r="I29" i="15"/>
  <c r="Y29" i="15" s="1"/>
  <c r="I28" i="15"/>
  <c r="Y28" i="15" s="1"/>
  <c r="I27" i="15"/>
  <c r="W27" i="15" s="1"/>
  <c r="I26" i="15"/>
  <c r="Y26" i="15" s="1"/>
  <c r="I25" i="15"/>
  <c r="Y25" i="15" s="1"/>
  <c r="I24" i="15"/>
  <c r="Y24" i="15" s="1"/>
  <c r="I23" i="15"/>
  <c r="W23" i="15" s="1"/>
  <c r="I22" i="15"/>
  <c r="Y22" i="15" s="1"/>
  <c r="I21" i="15"/>
  <c r="Y21" i="15" s="1"/>
  <c r="I20" i="15"/>
  <c r="Y20" i="15" s="1"/>
  <c r="I19" i="15"/>
  <c r="W19" i="15" s="1"/>
  <c r="I18" i="15"/>
  <c r="Y18" i="15" s="1"/>
  <c r="I17" i="15"/>
  <c r="Y17" i="15" s="1"/>
  <c r="I16" i="15"/>
  <c r="Y16" i="15" s="1"/>
  <c r="I15" i="15"/>
  <c r="W15" i="15" s="1"/>
  <c r="I14" i="15"/>
  <c r="Y14" i="15" s="1"/>
  <c r="I13" i="15"/>
  <c r="Y13" i="15" s="1"/>
  <c r="I12" i="15"/>
  <c r="Y12" i="15" s="1"/>
  <c r="I11" i="15"/>
  <c r="W11" i="15" s="1"/>
  <c r="I10" i="15"/>
  <c r="Y10" i="15" s="1"/>
  <c r="I9" i="15"/>
  <c r="Y9" i="15" s="1"/>
  <c r="I8" i="15"/>
  <c r="Y8" i="15" s="1"/>
  <c r="I7" i="15"/>
  <c r="W7" i="15" s="1"/>
  <c r="I6" i="15"/>
  <c r="Y6" i="15" s="1"/>
  <c r="I5" i="15"/>
  <c r="Y5" i="15" s="1"/>
  <c r="I4" i="15"/>
  <c r="Y4" i="15" s="1"/>
  <c r="I3" i="15"/>
  <c r="W3" i="15" s="1"/>
  <c r="I2" i="15"/>
  <c r="Q20" i="13"/>
  <c r="O21" i="13"/>
  <c r="O20" i="13"/>
  <c r="O19" i="13"/>
  <c r="O18" i="13"/>
  <c r="P19" i="13"/>
  <c r="P18" i="13"/>
  <c r="Q17" i="13"/>
  <c r="I17" i="13"/>
  <c r="E7" i="8" l="1"/>
  <c r="D126" i="18"/>
  <c r="AP13" i="34"/>
  <c r="AP27" i="34" s="1"/>
  <c r="AP19" i="34"/>
  <c r="AP29" i="34" s="1"/>
  <c r="AP20" i="34"/>
  <c r="AL20" i="34"/>
  <c r="AN19" i="34"/>
  <c r="AN29" i="34" s="1"/>
  <c r="AL19" i="34"/>
  <c r="AL29" i="34" s="1"/>
  <c r="AN13" i="34"/>
  <c r="AN27" i="34" s="1"/>
  <c r="AN20" i="34"/>
  <c r="AL13" i="34"/>
  <c r="AL27" i="34" s="1"/>
  <c r="AP21" i="34"/>
  <c r="AP10" i="34"/>
  <c r="AP12" i="34"/>
  <c r="AP11" i="34"/>
  <c r="W43" i="3"/>
  <c r="H9" i="30" s="1"/>
  <c r="X43" i="3"/>
  <c r="W42" i="3"/>
  <c r="H8" i="30" s="1"/>
  <c r="W41" i="3"/>
  <c r="H7" i="30" s="1"/>
  <c r="H16" i="30"/>
  <c r="W48" i="28"/>
  <c r="C19" i="20" s="1"/>
  <c r="I17" i="30" s="1"/>
  <c r="S18" i="13"/>
  <c r="S26" i="13"/>
  <c r="U26" i="13" s="1"/>
  <c r="H22" i="30"/>
  <c r="W48" i="27"/>
  <c r="C20" i="20" s="1"/>
  <c r="I23" i="30" s="1"/>
  <c r="W46" i="27"/>
  <c r="W47" i="27" s="1"/>
  <c r="W44" i="3"/>
  <c r="W48" i="3" s="1"/>
  <c r="S19" i="13"/>
  <c r="S27" i="13"/>
  <c r="U27" i="13" s="1"/>
  <c r="U40" i="3"/>
  <c r="O46" i="3"/>
  <c r="D114" i="18" s="1"/>
  <c r="T21" i="13"/>
  <c r="T17" i="13"/>
  <c r="O45" i="3"/>
  <c r="O46" i="28"/>
  <c r="O47" i="28" s="1"/>
  <c r="U21" i="13"/>
  <c r="AB21" i="13"/>
  <c r="O46" i="27"/>
  <c r="O47" i="27" s="1"/>
  <c r="M40" i="3"/>
  <c r="M40" i="27"/>
  <c r="M40" i="28"/>
  <c r="S40" i="3"/>
  <c r="N53" i="3" s="1"/>
  <c r="G7" i="8"/>
  <c r="E8" i="8"/>
  <c r="F8" i="8"/>
  <c r="G8" i="8"/>
  <c r="R41" i="28"/>
  <c r="U41" i="28" s="1"/>
  <c r="R42" i="28"/>
  <c r="U42" i="28" s="1"/>
  <c r="Q18" i="13"/>
  <c r="Q19" i="13"/>
  <c r="Y37" i="15"/>
  <c r="Y63" i="15"/>
  <c r="W44" i="15"/>
  <c r="Y112" i="15"/>
  <c r="W104" i="15"/>
  <c r="Y71" i="15"/>
  <c r="I137" i="15"/>
  <c r="J138" i="15" s="1"/>
  <c r="Y75" i="15"/>
  <c r="Y67" i="15"/>
  <c r="Y124" i="15"/>
  <c r="Y51" i="15"/>
  <c r="Y115" i="15"/>
  <c r="Y99" i="15"/>
  <c r="W108" i="15"/>
  <c r="Y79" i="15"/>
  <c r="Y76" i="15"/>
  <c r="W92" i="15"/>
  <c r="W64" i="15"/>
  <c r="Y111" i="15"/>
  <c r="Y119" i="15"/>
  <c r="W36" i="15"/>
  <c r="W56" i="15"/>
  <c r="W28" i="15"/>
  <c r="Y3" i="15"/>
  <c r="Y11" i="15"/>
  <c r="Y19" i="15"/>
  <c r="Y27" i="15"/>
  <c r="Y35" i="15"/>
  <c r="Y43" i="15"/>
  <c r="W84" i="15"/>
  <c r="Y91" i="15"/>
  <c r="W20" i="15"/>
  <c r="W120" i="15"/>
  <c r="Y127" i="15"/>
  <c r="W12" i="15"/>
  <c r="W72" i="15"/>
  <c r="W100" i="15"/>
  <c r="Y107" i="15"/>
  <c r="Y59" i="15"/>
  <c r="Y52" i="15"/>
  <c r="W80" i="15"/>
  <c r="Y87" i="15"/>
  <c r="W128" i="15"/>
  <c r="Y23" i="15"/>
  <c r="Y39" i="15"/>
  <c r="Y47" i="15"/>
  <c r="Y60" i="15"/>
  <c r="W88" i="15"/>
  <c r="Y95" i="15"/>
  <c r="Y15" i="15"/>
  <c r="W16" i="15"/>
  <c r="W24" i="15"/>
  <c r="W32" i="15"/>
  <c r="W40" i="15"/>
  <c r="W68" i="15"/>
  <c r="W116" i="15"/>
  <c r="Y123" i="15"/>
  <c r="Y7" i="15"/>
  <c r="W8" i="15"/>
  <c r="W48" i="15"/>
  <c r="Y55" i="15"/>
  <c r="W96" i="15"/>
  <c r="Y103" i="15"/>
  <c r="W4" i="15"/>
  <c r="Y31" i="15"/>
  <c r="Y2" i="15"/>
  <c r="C37" i="20"/>
  <c r="Y83" i="15"/>
  <c r="K109" i="16"/>
  <c r="R41" i="3"/>
  <c r="U41" i="3" s="1"/>
  <c r="R42" i="3"/>
  <c r="U42" i="3" s="1"/>
  <c r="C21" i="8"/>
  <c r="K66" i="16"/>
  <c r="M2" i="16"/>
  <c r="M58" i="16"/>
  <c r="M93" i="16"/>
  <c r="M21" i="16"/>
  <c r="M13" i="16"/>
  <c r="M5" i="16"/>
  <c r="M69" i="16"/>
  <c r="K6" i="16"/>
  <c r="K50" i="16"/>
  <c r="K114" i="16"/>
  <c r="M105" i="16"/>
  <c r="K42" i="16"/>
  <c r="K86" i="16"/>
  <c r="M117" i="16"/>
  <c r="M14" i="16"/>
  <c r="M25" i="16"/>
  <c r="M45" i="16"/>
  <c r="M53" i="16"/>
  <c r="M61" i="16"/>
  <c r="K106" i="16"/>
  <c r="K18" i="16"/>
  <c r="K38" i="16"/>
  <c r="K46" i="16"/>
  <c r="K54" i="16"/>
  <c r="K62" i="16"/>
  <c r="K90" i="16"/>
  <c r="M126" i="16"/>
  <c r="M10" i="16"/>
  <c r="K102" i="16"/>
  <c r="K118" i="16"/>
  <c r="M49" i="16"/>
  <c r="M57" i="16"/>
  <c r="M73" i="16"/>
  <c r="M129" i="16"/>
  <c r="K26" i="16"/>
  <c r="M33" i="16"/>
  <c r="K74" i="16"/>
  <c r="M81" i="16"/>
  <c r="K94" i="16"/>
  <c r="K101" i="16"/>
  <c r="K113" i="16"/>
  <c r="K125" i="16"/>
  <c r="K34" i="16"/>
  <c r="M41" i="16"/>
  <c r="K82" i="16"/>
  <c r="M89" i="16"/>
  <c r="K121" i="16"/>
  <c r="K22" i="16"/>
  <c r="M29" i="16"/>
  <c r="K70" i="16"/>
  <c r="M77" i="16"/>
  <c r="M97" i="16"/>
  <c r="M9" i="16"/>
  <c r="K30" i="16"/>
  <c r="M37" i="16"/>
  <c r="K78" i="16"/>
  <c r="M85" i="16"/>
  <c r="K98" i="16"/>
  <c r="K110" i="16"/>
  <c r="K122" i="16"/>
  <c r="M17" i="16"/>
  <c r="M65" i="16"/>
  <c r="K7" i="16"/>
  <c r="K19" i="16"/>
  <c r="K35" i="16"/>
  <c r="K47" i="16"/>
  <c r="K59" i="16"/>
  <c r="K79" i="16"/>
  <c r="K119" i="16"/>
  <c r="M15" i="16"/>
  <c r="M23" i="16"/>
  <c r="M31" i="16"/>
  <c r="M39" i="16"/>
  <c r="M55" i="16"/>
  <c r="M63" i="16"/>
  <c r="M71" i="16"/>
  <c r="M87" i="16"/>
  <c r="M95" i="16"/>
  <c r="M123" i="16"/>
  <c r="K4" i="16"/>
  <c r="K8" i="16"/>
  <c r="K12" i="16"/>
  <c r="K16" i="16"/>
  <c r="K20" i="16"/>
  <c r="K24" i="16"/>
  <c r="K28" i="16"/>
  <c r="K32" i="16"/>
  <c r="K36" i="16"/>
  <c r="K40" i="16"/>
  <c r="K44" i="16"/>
  <c r="K48" i="16"/>
  <c r="K52" i="16"/>
  <c r="K56" i="16"/>
  <c r="K60" i="16"/>
  <c r="K64" i="16"/>
  <c r="K68" i="16"/>
  <c r="K72" i="16"/>
  <c r="K76" i="16"/>
  <c r="K80" i="16"/>
  <c r="K84" i="16"/>
  <c r="K88" i="16"/>
  <c r="K92" i="16"/>
  <c r="K96" i="16"/>
  <c r="K100" i="16"/>
  <c r="K104" i="16"/>
  <c r="K108" i="16"/>
  <c r="K112" i="16"/>
  <c r="K116" i="16"/>
  <c r="K120" i="16"/>
  <c r="K124" i="16"/>
  <c r="K128" i="16"/>
  <c r="K3" i="16"/>
  <c r="K43" i="16"/>
  <c r="K67" i="16"/>
  <c r="K115" i="16"/>
  <c r="K27" i="16"/>
  <c r="K75" i="16"/>
  <c r="K91" i="16"/>
  <c r="K99" i="16"/>
  <c r="K107" i="16"/>
  <c r="K111" i="16"/>
  <c r="K127" i="16"/>
  <c r="M11" i="16"/>
  <c r="M51" i="16"/>
  <c r="M83" i="16"/>
  <c r="M103" i="16"/>
  <c r="W2" i="15"/>
  <c r="W6" i="15"/>
  <c r="W10" i="15"/>
  <c r="W14" i="15"/>
  <c r="W18" i="15"/>
  <c r="W22" i="15"/>
  <c r="W26" i="15"/>
  <c r="W30" i="15"/>
  <c r="W34" i="15"/>
  <c r="W38" i="15"/>
  <c r="W42" i="15"/>
  <c r="W46" i="15"/>
  <c r="W50" i="15"/>
  <c r="W54" i="15"/>
  <c r="W58" i="15"/>
  <c r="W62" i="15"/>
  <c r="W66" i="15"/>
  <c r="W70" i="15"/>
  <c r="W74" i="15"/>
  <c r="W78" i="15"/>
  <c r="W82" i="15"/>
  <c r="W86" i="15"/>
  <c r="W90" i="15"/>
  <c r="W94" i="15"/>
  <c r="W98" i="15"/>
  <c r="W102" i="15"/>
  <c r="W106" i="15"/>
  <c r="W110" i="15"/>
  <c r="W114" i="15"/>
  <c r="W118" i="15"/>
  <c r="W122" i="15"/>
  <c r="W126" i="15"/>
  <c r="W5" i="15"/>
  <c r="W9" i="15"/>
  <c r="W13" i="15"/>
  <c r="W17" i="15"/>
  <c r="W21" i="15"/>
  <c r="W25" i="15"/>
  <c r="W29" i="15"/>
  <c r="W33" i="15"/>
  <c r="W37" i="15"/>
  <c r="W41" i="15"/>
  <c r="W45" i="15"/>
  <c r="W49" i="15"/>
  <c r="W53" i="15"/>
  <c r="W57" i="15"/>
  <c r="W61" i="15"/>
  <c r="W65" i="15"/>
  <c r="W69" i="15"/>
  <c r="W73" i="15"/>
  <c r="W77" i="15"/>
  <c r="W81" i="15"/>
  <c r="W85" i="15"/>
  <c r="W89" i="15"/>
  <c r="W93" i="15"/>
  <c r="W97" i="15"/>
  <c r="W101" i="15"/>
  <c r="W105" i="15"/>
  <c r="W109" i="15"/>
  <c r="W113" i="15"/>
  <c r="W117" i="15"/>
  <c r="W121" i="15"/>
  <c r="W125" i="15"/>
  <c r="W129" i="15"/>
  <c r="Y10" i="10"/>
  <c r="D17" i="10"/>
  <c r="F16" i="10"/>
  <c r="D16" i="10"/>
  <c r="D15" i="10"/>
  <c r="G14" i="10"/>
  <c r="F14" i="10" s="1"/>
  <c r="D36" i="18" l="1"/>
  <c r="G6" i="30"/>
  <c r="B6" i="30"/>
  <c r="AP26" i="34"/>
  <c r="N73" i="28"/>
  <c r="O78" i="28" s="1"/>
  <c r="F27" i="23" s="1"/>
  <c r="G17" i="30"/>
  <c r="F42" i="10"/>
  <c r="G10" i="30"/>
  <c r="P64" i="3"/>
  <c r="P66" i="3" s="1"/>
  <c r="R66" i="3" s="1"/>
  <c r="P79" i="3" s="1"/>
  <c r="L28" i="23" s="1"/>
  <c r="AM19" i="34"/>
  <c r="AQ13" i="34"/>
  <c r="AQ27" i="34" s="1"/>
  <c r="AM13" i="34"/>
  <c r="AM27" i="34" s="1"/>
  <c r="AQ19" i="34"/>
  <c r="AO19" i="34"/>
  <c r="AO13" i="34"/>
  <c r="AO27" i="34" s="1"/>
  <c r="AQ21" i="34"/>
  <c r="AQ10" i="34"/>
  <c r="AQ12" i="34"/>
  <c r="AQ11" i="34"/>
  <c r="M42" i="10"/>
  <c r="M43" i="10" s="1"/>
  <c r="L42" i="10"/>
  <c r="L43" i="10" s="1"/>
  <c r="G22" i="30"/>
  <c r="AE13" i="34"/>
  <c r="AE27" i="34" s="1"/>
  <c r="AB19" i="34"/>
  <c r="AB29" i="34" s="1"/>
  <c r="AA19" i="34"/>
  <c r="AA29" i="34" s="1"/>
  <c r="AJ20" i="34"/>
  <c r="AI20" i="34"/>
  <c r="AV20" i="34"/>
  <c r="AE20" i="34"/>
  <c r="AG19" i="34"/>
  <c r="AG29" i="34" s="1"/>
  <c r="AU19" i="34"/>
  <c r="AU29" i="34" s="1"/>
  <c r="AE19" i="34"/>
  <c r="AE29" i="34" s="1"/>
  <c r="AD20" i="34"/>
  <c r="AB20" i="34"/>
  <c r="AT13" i="34"/>
  <c r="AT27" i="34" s="1"/>
  <c r="AG13" i="34"/>
  <c r="AG27" i="34" s="1"/>
  <c r="Y19" i="34"/>
  <c r="Y29" i="34" s="1"/>
  <c r="AS19" i="34"/>
  <c r="AS29" i="34" s="1"/>
  <c r="Z13" i="34"/>
  <c r="Z27" i="34" s="1"/>
  <c r="AF13" i="34"/>
  <c r="AF27" i="34" s="1"/>
  <c r="AV19" i="34"/>
  <c r="AV29" i="34" s="1"/>
  <c r="AW20" i="34"/>
  <c r="AR19" i="34"/>
  <c r="AR29" i="34" s="1"/>
  <c r="AA20" i="34"/>
  <c r="AD13" i="34"/>
  <c r="AD27" i="34" s="1"/>
  <c r="Y13" i="34"/>
  <c r="Y27" i="34" s="1"/>
  <c r="AC20" i="34"/>
  <c r="AR20" i="34"/>
  <c r="AV13" i="34"/>
  <c r="AV27" i="34" s="1"/>
  <c r="AK13" i="34"/>
  <c r="AK27" i="34" s="1"/>
  <c r="AR13" i="34"/>
  <c r="AR27" i="34" s="1"/>
  <c r="AS13" i="34"/>
  <c r="AS27" i="34" s="1"/>
  <c r="AF19" i="34"/>
  <c r="AF29" i="34" s="1"/>
  <c r="AK19" i="34"/>
  <c r="AK29" i="34" s="1"/>
  <c r="AB13" i="34"/>
  <c r="AB27" i="34" s="1"/>
  <c r="AK20" i="34"/>
  <c r="AH20" i="34"/>
  <c r="Y20" i="34"/>
  <c r="AA13" i="34"/>
  <c r="AA27" i="34" s="1"/>
  <c r="AD19" i="34"/>
  <c r="AD29" i="34" s="1"/>
  <c r="AT19" i="34"/>
  <c r="AT29" i="34" s="1"/>
  <c r="Z20" i="34"/>
  <c r="Z19" i="34"/>
  <c r="Z29" i="34" s="1"/>
  <c r="AG20" i="34"/>
  <c r="AF20" i="34"/>
  <c r="AU13" i="34"/>
  <c r="AU27" i="34" s="1"/>
  <c r="AH19" i="34"/>
  <c r="AH29" i="34" s="1"/>
  <c r="AJ13" i="34"/>
  <c r="AJ27" i="34" s="1"/>
  <c r="AJ19" i="34"/>
  <c r="AJ29" i="34" s="1"/>
  <c r="AC13" i="34"/>
  <c r="AC27" i="34" s="1"/>
  <c r="AT20" i="34"/>
  <c r="AH13" i="34"/>
  <c r="AH27" i="34" s="1"/>
  <c r="AW19" i="34"/>
  <c r="AW29" i="34" s="1"/>
  <c r="AU20" i="34"/>
  <c r="AS20" i="34"/>
  <c r="AW13" i="34"/>
  <c r="AW27" i="34" s="1"/>
  <c r="AI19" i="34"/>
  <c r="AI29" i="34" s="1"/>
  <c r="AC19" i="34"/>
  <c r="AC29" i="34" s="1"/>
  <c r="AI13" i="34"/>
  <c r="AI27" i="34" s="1"/>
  <c r="AI21" i="34"/>
  <c r="AK21" i="34"/>
  <c r="AI10" i="34"/>
  <c r="AK10" i="34"/>
  <c r="AI11" i="34"/>
  <c r="AK12" i="34"/>
  <c r="AK11" i="34"/>
  <c r="AI12" i="34"/>
  <c r="H10" i="30"/>
  <c r="C18" i="20"/>
  <c r="AJ43" i="3"/>
  <c r="P9" i="30" s="1"/>
  <c r="AK43" i="3"/>
  <c r="R9" i="30" s="1"/>
  <c r="G16" i="30"/>
  <c r="J42" i="10"/>
  <c r="J43" i="10" s="1"/>
  <c r="I42" i="10"/>
  <c r="I43" i="10" s="1"/>
  <c r="N73" i="27"/>
  <c r="G23" i="30"/>
  <c r="AX13" i="23"/>
  <c r="AX27" i="23" s="1"/>
  <c r="AX19" i="23"/>
  <c r="AX29" i="23" s="1"/>
  <c r="AV20" i="23"/>
  <c r="AV13" i="23"/>
  <c r="BA19" i="23"/>
  <c r="BA29" i="23" s="1"/>
  <c r="AW20" i="23"/>
  <c r="AZ19" i="23"/>
  <c r="AZ29" i="23" s="1"/>
  <c r="AX20" i="23"/>
  <c r="AV19" i="23"/>
  <c r="AV29" i="23" s="1"/>
  <c r="AY19" i="23"/>
  <c r="AY29" i="23" s="1"/>
  <c r="AW19" i="23"/>
  <c r="AW29" i="23" s="1"/>
  <c r="AW13" i="23"/>
  <c r="AW27" i="23" s="1"/>
  <c r="AZ13" i="23"/>
  <c r="AZ27" i="23" s="1"/>
  <c r="AZ20" i="23"/>
  <c r="AY13" i="23"/>
  <c r="AY27" i="23" s="1"/>
  <c r="AY20" i="23"/>
  <c r="BA20" i="23"/>
  <c r="BA13" i="23"/>
  <c r="BA27" i="23" s="1"/>
  <c r="P53" i="3"/>
  <c r="V40" i="3"/>
  <c r="Y40" i="3" s="1"/>
  <c r="Z40" i="3" s="1"/>
  <c r="O47" i="3"/>
  <c r="D22" i="18" s="1"/>
  <c r="S42" i="28"/>
  <c r="S41" i="28"/>
  <c r="S41" i="3"/>
  <c r="N54" i="3" s="1"/>
  <c r="S42" i="3"/>
  <c r="N55" i="3" s="1"/>
  <c r="AS21" i="23"/>
  <c r="AO13" i="23"/>
  <c r="AO19" i="23"/>
  <c r="AQ13" i="23"/>
  <c r="AQ19" i="23"/>
  <c r="AS19" i="23"/>
  <c r="AS13" i="23"/>
  <c r="E9" i="8"/>
  <c r="AR21" i="23"/>
  <c r="AN20" i="23"/>
  <c r="AN19" i="23"/>
  <c r="AN29" i="23" s="1"/>
  <c r="AP20" i="23"/>
  <c r="AR20" i="23"/>
  <c r="AN13" i="23"/>
  <c r="AP13" i="23"/>
  <c r="AP19" i="23"/>
  <c r="AP29" i="23" s="1"/>
  <c r="AR13" i="23"/>
  <c r="AR19" i="23"/>
  <c r="AR29" i="23" s="1"/>
  <c r="AB19" i="23"/>
  <c r="AB29" i="23" s="1"/>
  <c r="AC13" i="23"/>
  <c r="AK21" i="23"/>
  <c r="AM19" i="23"/>
  <c r="AM29" i="23" s="1"/>
  <c r="AA19" i="23"/>
  <c r="AA29" i="23" s="1"/>
  <c r="AB13" i="23"/>
  <c r="AL19" i="23"/>
  <c r="AL29" i="23" s="1"/>
  <c r="AM13" i="23"/>
  <c r="AA13" i="23"/>
  <c r="AK19" i="23"/>
  <c r="AK29" i="23" s="1"/>
  <c r="AL13" i="23"/>
  <c r="AJ19" i="23"/>
  <c r="AJ29" i="23" s="1"/>
  <c r="AK13" i="23"/>
  <c r="AI19" i="23"/>
  <c r="AI29" i="23" s="1"/>
  <c r="AJ13" i="23"/>
  <c r="AH19" i="23"/>
  <c r="AH29" i="23" s="1"/>
  <c r="AI13" i="23"/>
  <c r="AG19" i="23"/>
  <c r="AG29" i="23" s="1"/>
  <c r="AH13" i="23"/>
  <c r="AF19" i="23"/>
  <c r="AF29" i="23" s="1"/>
  <c r="AG13" i="23"/>
  <c r="AF13" i="23"/>
  <c r="AD19" i="23"/>
  <c r="AD29" i="23" s="1"/>
  <c r="AE13" i="23"/>
  <c r="AM21" i="23"/>
  <c r="AB20" i="23"/>
  <c r="AC19" i="23"/>
  <c r="AC29" i="23" s="1"/>
  <c r="AD13" i="23"/>
  <c r="AD20" i="23"/>
  <c r="AE20" i="23"/>
  <c r="AA20" i="23"/>
  <c r="AL20" i="23"/>
  <c r="AG20" i="23"/>
  <c r="AH20" i="23"/>
  <c r="AF20" i="23"/>
  <c r="AM20" i="23"/>
  <c r="AI20" i="23"/>
  <c r="AE19" i="23"/>
  <c r="AE29" i="23" s="1"/>
  <c r="AC20" i="23"/>
  <c r="AK20" i="23"/>
  <c r="AJ20" i="23"/>
  <c r="W137" i="15"/>
  <c r="Y137" i="15"/>
  <c r="C26" i="8"/>
  <c r="E18" i="10"/>
  <c r="G18" i="10"/>
  <c r="G11" i="30" l="1"/>
  <c r="P73" i="3"/>
  <c r="P78" i="3" s="1"/>
  <c r="L27" i="23" s="1"/>
  <c r="O73" i="3"/>
  <c r="AO29" i="34"/>
  <c r="AO20" i="34"/>
  <c r="AQ29" i="34"/>
  <c r="AQ20" i="34"/>
  <c r="O40" i="23"/>
  <c r="O40" i="34"/>
  <c r="AK26" i="34"/>
  <c r="AI26" i="34"/>
  <c r="AM20" i="34"/>
  <c r="AM29" i="34"/>
  <c r="AL40" i="3"/>
  <c r="T6" i="30" s="1"/>
  <c r="F43" i="10"/>
  <c r="O64" i="3"/>
  <c r="O66" i="3" s="1"/>
  <c r="K66" i="3" s="1"/>
  <c r="O79" i="3" s="1"/>
  <c r="N64" i="28"/>
  <c r="N66" i="28" s="1"/>
  <c r="N64" i="27"/>
  <c r="N66" i="27" s="1"/>
  <c r="C27" i="20"/>
  <c r="C28" i="20" s="1"/>
  <c r="C33" i="20" s="1"/>
  <c r="E37" i="34" s="1"/>
  <c r="I11" i="30"/>
  <c r="AQ26" i="34"/>
  <c r="AO29" i="23"/>
  <c r="AO20" i="23"/>
  <c r="AS29" i="23"/>
  <c r="AS20" i="23"/>
  <c r="AQ29" i="23"/>
  <c r="AQ20" i="23"/>
  <c r="N54" i="28"/>
  <c r="P54" i="28" s="1"/>
  <c r="V41" i="28"/>
  <c r="N55" i="28"/>
  <c r="P55" i="28" s="1"/>
  <c r="V42" i="28"/>
  <c r="P54" i="3"/>
  <c r="V41" i="3"/>
  <c r="P55" i="3"/>
  <c r="V42" i="3"/>
  <c r="AH27" i="23"/>
  <c r="AG27" i="23"/>
  <c r="AS27" i="23"/>
  <c r="AO27" i="23"/>
  <c r="AI27" i="23"/>
  <c r="AP27" i="23"/>
  <c r="AR27" i="23"/>
  <c r="AF27" i="23"/>
  <c r="AV27" i="23"/>
  <c r="AL27" i="23"/>
  <c r="AM27" i="23"/>
  <c r="AN27" i="23"/>
  <c r="AQ27" i="23"/>
  <c r="AD27" i="23"/>
  <c r="AC27" i="23"/>
  <c r="AE27" i="23"/>
  <c r="AJ27" i="23"/>
  <c r="AB27" i="23"/>
  <c r="AK27" i="23"/>
  <c r="AA27" i="23"/>
  <c r="G52" i="10"/>
  <c r="G53" i="10" s="1"/>
  <c r="E52" i="10"/>
  <c r="E53" i="10" s="1"/>
  <c r="W49" i="27"/>
  <c r="F18" i="10"/>
  <c r="O63" i="3" s="1"/>
  <c r="Z21" i="10"/>
  <c r="Z20" i="10" s="1"/>
  <c r="Z19" i="10" s="1"/>
  <c r="Z18" i="10" s="1"/>
  <c r="Z17" i="10" s="1"/>
  <c r="Z16" i="10" s="1"/>
  <c r="Z15" i="10" s="1"/>
  <c r="D18" i="10"/>
  <c r="Y21" i="10"/>
  <c r="Y20" i="10" s="1"/>
  <c r="Y19" i="10" s="1"/>
  <c r="O78" i="3" l="1"/>
  <c r="P66" i="28"/>
  <c r="K66" i="28"/>
  <c r="O79" i="28" s="1"/>
  <c r="F28" i="23" s="1"/>
  <c r="P66" i="27"/>
  <c r="K66" i="27"/>
  <c r="O79" i="27" s="1"/>
  <c r="G28" i="23" s="1"/>
  <c r="O27" i="23"/>
  <c r="M27" i="23"/>
  <c r="U8" i="23" s="1"/>
  <c r="N27" i="23"/>
  <c r="Q66" i="3"/>
  <c r="AD44" i="3"/>
  <c r="C30" i="20"/>
  <c r="C35" i="20" s="1"/>
  <c r="H23" i="30"/>
  <c r="Y42" i="3"/>
  <c r="Z42" i="3" s="1"/>
  <c r="X42" i="3"/>
  <c r="E36" i="34"/>
  <c r="K18" i="34"/>
  <c r="J18" i="34"/>
  <c r="F18" i="34"/>
  <c r="I18" i="34"/>
  <c r="M35" i="34"/>
  <c r="E33" i="34"/>
  <c r="G18" i="34"/>
  <c r="E18" i="34"/>
  <c r="D18" i="34"/>
  <c r="Y18" i="34" s="1"/>
  <c r="E35" i="34"/>
  <c r="H37" i="34"/>
  <c r="E34" i="34"/>
  <c r="Y41" i="3"/>
  <c r="Z41" i="3" s="1"/>
  <c r="Z46" i="3" s="1"/>
  <c r="X41" i="3"/>
  <c r="O65" i="3"/>
  <c r="O67" i="3"/>
  <c r="O68" i="3" s="1"/>
  <c r="P63" i="3"/>
  <c r="X42" i="28"/>
  <c r="Y42" i="28"/>
  <c r="Z42" i="28" s="1"/>
  <c r="Y41" i="28"/>
  <c r="Z41" i="28" s="1"/>
  <c r="X41" i="28"/>
  <c r="P56" i="3"/>
  <c r="D95" i="18" s="1"/>
  <c r="P56" i="28"/>
  <c r="F40" i="10"/>
  <c r="F52" i="10" s="1"/>
  <c r="F53" i="10" s="1"/>
  <c r="E54" i="10" s="1"/>
  <c r="N63" i="27"/>
  <c r="N63" i="28"/>
  <c r="G29" i="23"/>
  <c r="J29" i="23" s="1"/>
  <c r="Z14" i="10"/>
  <c r="Z13" i="10" s="1"/>
  <c r="Z12" i="10" s="1"/>
  <c r="Y18" i="10"/>
  <c r="Y17" i="10" s="1"/>
  <c r="AD40" i="3" l="1"/>
  <c r="AD53" i="3" s="1"/>
  <c r="AD43" i="3"/>
  <c r="AD42" i="3"/>
  <c r="AD41" i="3"/>
  <c r="E28" i="23"/>
  <c r="D34" i="18"/>
  <c r="D35" i="18"/>
  <c r="E27" i="23"/>
  <c r="H27" i="23" s="1"/>
  <c r="D8" i="23" s="1"/>
  <c r="D20" i="18"/>
  <c r="D13" i="18"/>
  <c r="F28" i="34" a="1"/>
  <c r="F28" i="34" s="1"/>
  <c r="I28" i="34" s="1"/>
  <c r="G27" i="34" a="1"/>
  <c r="G27" i="34" s="1"/>
  <c r="J27" i="34" s="1"/>
  <c r="E28" i="34" a="1"/>
  <c r="E28" i="34" s="1"/>
  <c r="H28" i="34" s="1"/>
  <c r="E27" i="34" a="1"/>
  <c r="E27" i="34" s="1"/>
  <c r="H27" i="34" s="1"/>
  <c r="G28" i="34" a="1"/>
  <c r="G28" i="34" s="1"/>
  <c r="J28" i="34" s="1"/>
  <c r="F27" i="34" a="1"/>
  <c r="F27" i="34" s="1"/>
  <c r="I27" i="34" s="1"/>
  <c r="M11" i="30"/>
  <c r="N11" i="30" s="1"/>
  <c r="M9" i="30"/>
  <c r="M6" i="30"/>
  <c r="M10" i="30"/>
  <c r="M8" i="30"/>
  <c r="M7" i="30"/>
  <c r="I17" i="34"/>
  <c r="D17" i="34"/>
  <c r="Y17" i="34" s="1"/>
  <c r="K17" i="34"/>
  <c r="H36" i="34"/>
  <c r="J17" i="34"/>
  <c r="G17" i="34"/>
  <c r="F17" i="34"/>
  <c r="E17" i="34"/>
  <c r="AB18" i="34"/>
  <c r="U18" i="34"/>
  <c r="AT18" i="34" s="1"/>
  <c r="V18" i="34"/>
  <c r="AU18" i="34" s="1"/>
  <c r="AD18" i="34"/>
  <c r="L18" i="34"/>
  <c r="AG18" i="34" s="1"/>
  <c r="AM18" i="34"/>
  <c r="AL18" i="34"/>
  <c r="AA18" i="34"/>
  <c r="T18" i="34"/>
  <c r="AS18" i="34" s="1"/>
  <c r="W18" i="34"/>
  <c r="AV18" i="34" s="1"/>
  <c r="AE18" i="34"/>
  <c r="AJ42" i="3"/>
  <c r="P8" i="30" s="1"/>
  <c r="AK42" i="3"/>
  <c r="R8" i="30" s="1"/>
  <c r="J14" i="34"/>
  <c r="M33" i="34"/>
  <c r="E14" i="34"/>
  <c r="D14" i="34"/>
  <c r="Y14" i="34" s="1"/>
  <c r="H33" i="34"/>
  <c r="K14" i="34"/>
  <c r="I14" i="34"/>
  <c r="G14" i="34"/>
  <c r="F14" i="34"/>
  <c r="AL48" i="3"/>
  <c r="AL50" i="3" s="1"/>
  <c r="D14" i="18" s="1"/>
  <c r="Z47" i="3"/>
  <c r="E40" i="23"/>
  <c r="M40" i="23" s="1"/>
  <c r="E40" i="34"/>
  <c r="G16" i="34"/>
  <c r="F16" i="34"/>
  <c r="I16" i="34"/>
  <c r="E16" i="34"/>
  <c r="D16" i="34"/>
  <c r="Y16" i="34" s="1"/>
  <c r="H35" i="34"/>
  <c r="K16" i="34"/>
  <c r="J16" i="34"/>
  <c r="X18" i="34"/>
  <c r="AW18" i="34" s="1"/>
  <c r="AF18" i="34"/>
  <c r="H34" i="34"/>
  <c r="E15" i="34"/>
  <c r="D15" i="34"/>
  <c r="Y15" i="34" s="1"/>
  <c r="G15" i="34"/>
  <c r="F15" i="34"/>
  <c r="K15" i="34"/>
  <c r="J15" i="34"/>
  <c r="I15" i="34"/>
  <c r="AJ41" i="3"/>
  <c r="P7" i="30" s="1"/>
  <c r="AK41" i="3"/>
  <c r="R7" i="30" s="1"/>
  <c r="F40" i="23"/>
  <c r="I40" i="23" s="1"/>
  <c r="O21" i="23" s="1"/>
  <c r="F40" i="34"/>
  <c r="Z18" i="34"/>
  <c r="H18" i="34"/>
  <c r="AC18" i="34" s="1"/>
  <c r="S18" i="34"/>
  <c r="AR18" i="34" s="1"/>
  <c r="G37" i="23"/>
  <c r="G37" i="34"/>
  <c r="O77" i="3"/>
  <c r="D146" i="18" s="1"/>
  <c r="AD41" i="28"/>
  <c r="AD42" i="28"/>
  <c r="AD44" i="28"/>
  <c r="AD43" i="28"/>
  <c r="P65" i="3"/>
  <c r="P67" i="3"/>
  <c r="P68" i="3" s="1"/>
  <c r="AD40" i="28"/>
  <c r="AE40" i="3"/>
  <c r="E31" i="8"/>
  <c r="Z46" i="28"/>
  <c r="AK42" i="28"/>
  <c r="AJ42" i="28"/>
  <c r="AJ41" i="28"/>
  <c r="AK41" i="28"/>
  <c r="Q65" i="3"/>
  <c r="N65" i="28"/>
  <c r="N67" i="28"/>
  <c r="N68" i="28" s="1"/>
  <c r="N76" i="28" s="1"/>
  <c r="N65" i="27"/>
  <c r="N67" i="27"/>
  <c r="N68" i="27" s="1"/>
  <c r="N76" i="27" s="1"/>
  <c r="G31" i="23"/>
  <c r="J31" i="23" s="1"/>
  <c r="C52" i="10"/>
  <c r="C53" i="10" s="1"/>
  <c r="C54" i="10" s="1"/>
  <c r="D75" i="18"/>
  <c r="Y16" i="10"/>
  <c r="Y15" i="10" s="1"/>
  <c r="Y14" i="10" s="1"/>
  <c r="Y13" i="10" s="1"/>
  <c r="Y12" i="10" s="1"/>
  <c r="P65" i="27" l="1"/>
  <c r="K65" i="27"/>
  <c r="O78" i="27" s="1"/>
  <c r="G27" i="23" s="1"/>
  <c r="P65" i="28"/>
  <c r="S15" i="34"/>
  <c r="AR15" i="34" s="1"/>
  <c r="Z15" i="34"/>
  <c r="H15" i="34"/>
  <c r="AC15" i="34" s="1"/>
  <c r="M40" i="34"/>
  <c r="H40" i="34"/>
  <c r="AE14" i="34"/>
  <c r="W14" i="34"/>
  <c r="AV14" i="34" s="1"/>
  <c r="U16" i="34"/>
  <c r="AT16" i="34" s="1"/>
  <c r="AB16" i="34"/>
  <c r="U11" i="30"/>
  <c r="T17" i="34"/>
  <c r="AS17" i="34" s="1"/>
  <c r="AA17" i="34"/>
  <c r="X16" i="34"/>
  <c r="AW16" i="34" s="1"/>
  <c r="AF16" i="34"/>
  <c r="AB14" i="34"/>
  <c r="U14" i="34"/>
  <c r="AT14" i="34" s="1"/>
  <c r="W17" i="34"/>
  <c r="AV17" i="34" s="1"/>
  <c r="AE17" i="34"/>
  <c r="O8" i="34"/>
  <c r="M8" i="34"/>
  <c r="AH8" i="34" s="1"/>
  <c r="H40" i="23"/>
  <c r="G21" i="23" s="1"/>
  <c r="AD21" i="23" s="1"/>
  <c r="L15" i="34"/>
  <c r="AG15" i="34" s="1"/>
  <c r="AL15" i="34"/>
  <c r="V15" i="34"/>
  <c r="AU15" i="34" s="1"/>
  <c r="AD15" i="34"/>
  <c r="AM15" i="34"/>
  <c r="AM14" i="34"/>
  <c r="AL14" i="34"/>
  <c r="V14" i="34"/>
  <c r="AU14" i="34" s="1"/>
  <c r="AD14" i="34"/>
  <c r="L14" i="34"/>
  <c r="AG14" i="34" s="1"/>
  <c r="P9" i="34"/>
  <c r="N9" i="34"/>
  <c r="AI9" i="34" s="1"/>
  <c r="AE16" i="34"/>
  <c r="W16" i="34"/>
  <c r="AV16" i="34" s="1"/>
  <c r="N40" i="23"/>
  <c r="AE15" i="34"/>
  <c r="W15" i="34"/>
  <c r="AV15" i="34" s="1"/>
  <c r="AF14" i="34"/>
  <c r="X14" i="34"/>
  <c r="AW14" i="34" s="1"/>
  <c r="AF17" i="34"/>
  <c r="X17" i="34"/>
  <c r="AW17" i="34" s="1"/>
  <c r="K8" i="34"/>
  <c r="AF8" i="34" s="1"/>
  <c r="J8" i="34"/>
  <c r="AE8" i="34" s="1"/>
  <c r="I8" i="34"/>
  <c r="H8" i="34"/>
  <c r="AC8" i="34" s="1"/>
  <c r="G8" i="34"/>
  <c r="AB8" i="34" s="1"/>
  <c r="F8" i="34"/>
  <c r="AA8" i="34" s="1"/>
  <c r="E8" i="34"/>
  <c r="Z8" i="34" s="1"/>
  <c r="D8" i="34"/>
  <c r="Y8" i="34" s="1"/>
  <c r="L8" i="34"/>
  <c r="AG8" i="34" s="1"/>
  <c r="U17" i="34"/>
  <c r="AT17" i="34" s="1"/>
  <c r="AB17" i="34"/>
  <c r="AL48" i="28"/>
  <c r="AL49" i="28" s="1"/>
  <c r="X15" i="34"/>
  <c r="AW15" i="34" s="1"/>
  <c r="AF15" i="34"/>
  <c r="S16" i="34"/>
  <c r="AR16" i="34" s="1"/>
  <c r="Z16" i="34"/>
  <c r="H16" i="34"/>
  <c r="AC16" i="34" s="1"/>
  <c r="D9" i="34"/>
  <c r="Y9" i="34" s="1"/>
  <c r="L9" i="34"/>
  <c r="AG9" i="34" s="1"/>
  <c r="H9" i="34"/>
  <c r="AC9" i="34" s="1"/>
  <c r="G9" i="34"/>
  <c r="AB9" i="34" s="1"/>
  <c r="F9" i="34"/>
  <c r="AA9" i="34" s="1"/>
  <c r="E9" i="34"/>
  <c r="Z9" i="34" s="1"/>
  <c r="K9" i="34"/>
  <c r="AF9" i="34" s="1"/>
  <c r="J9" i="34"/>
  <c r="AE9" i="34" s="1"/>
  <c r="I9" i="34"/>
  <c r="AA14" i="34"/>
  <c r="T14" i="34"/>
  <c r="AS14" i="34" s="1"/>
  <c r="G33" i="34"/>
  <c r="J33" i="34" s="1"/>
  <c r="J37" i="34"/>
  <c r="O35" i="34"/>
  <c r="G34" i="34"/>
  <c r="J34" i="34" s="1"/>
  <c r="G36" i="34"/>
  <c r="J36" i="34" s="1"/>
  <c r="G35" i="34"/>
  <c r="J35" i="34" s="1"/>
  <c r="T15" i="34"/>
  <c r="AS15" i="34" s="1"/>
  <c r="AA15" i="34"/>
  <c r="Y28" i="34"/>
  <c r="AM17" i="34"/>
  <c r="AL17" i="34"/>
  <c r="V17" i="34"/>
  <c r="AU17" i="34" s="1"/>
  <c r="AD17" i="34"/>
  <c r="L17" i="34"/>
  <c r="AG17" i="34" s="1"/>
  <c r="N8" i="34"/>
  <c r="AI8" i="34" s="1"/>
  <c r="P8" i="34"/>
  <c r="AD49" i="3"/>
  <c r="AE49" i="3" s="1"/>
  <c r="I40" i="34"/>
  <c r="N40" i="34"/>
  <c r="H17" i="34"/>
  <c r="AC17" i="34" s="1"/>
  <c r="Z17" i="34"/>
  <c r="S17" i="34"/>
  <c r="AR17" i="34" s="1"/>
  <c r="L27" i="34"/>
  <c r="J10" i="30"/>
  <c r="J11" i="30"/>
  <c r="J7" i="30"/>
  <c r="J9" i="30"/>
  <c r="J8" i="30"/>
  <c r="J6" i="30"/>
  <c r="M23" i="30"/>
  <c r="M22" i="30"/>
  <c r="M21" i="30"/>
  <c r="M19" i="30"/>
  <c r="M20" i="30"/>
  <c r="M18" i="30"/>
  <c r="M15" i="30"/>
  <c r="M14" i="30"/>
  <c r="M13" i="30"/>
  <c r="M12" i="30"/>
  <c r="M16" i="30"/>
  <c r="M17" i="30"/>
  <c r="AD16" i="34"/>
  <c r="AL16" i="34"/>
  <c r="AM16" i="34"/>
  <c r="V16" i="34"/>
  <c r="AU16" i="34" s="1"/>
  <c r="L16" i="34"/>
  <c r="AG16" i="34" s="1"/>
  <c r="O35" i="23"/>
  <c r="G34" i="23"/>
  <c r="J34" i="23" s="1"/>
  <c r="G33" i="23"/>
  <c r="J33" i="23" s="1"/>
  <c r="G36" i="23"/>
  <c r="J36" i="23" s="1"/>
  <c r="G35" i="23"/>
  <c r="J35" i="23" s="1"/>
  <c r="J37" i="23"/>
  <c r="AB15" i="34"/>
  <c r="U15" i="34"/>
  <c r="AT15" i="34" s="1"/>
  <c r="T16" i="34"/>
  <c r="AS16" i="34" s="1"/>
  <c r="AA16" i="34"/>
  <c r="Z14" i="34"/>
  <c r="S14" i="34"/>
  <c r="AR14" i="34" s="1"/>
  <c r="H14" i="34"/>
  <c r="AC14" i="34" s="1"/>
  <c r="O9" i="34"/>
  <c r="M9" i="34"/>
  <c r="AH9" i="34" s="1"/>
  <c r="M21" i="23"/>
  <c r="AJ21" i="23" s="1"/>
  <c r="AD55" i="3"/>
  <c r="P77" i="3"/>
  <c r="D31" i="8"/>
  <c r="Z47" i="28"/>
  <c r="AL21" i="23"/>
  <c r="AP21" i="23"/>
  <c r="AQ21" i="23"/>
  <c r="AD41" i="27"/>
  <c r="AD43" i="27"/>
  <c r="AD42" i="27"/>
  <c r="AD40" i="27"/>
  <c r="N77" i="27"/>
  <c r="AD44" i="27"/>
  <c r="J28" i="23" s="1"/>
  <c r="I28" i="23"/>
  <c r="N77" i="28"/>
  <c r="H28" i="23"/>
  <c r="E9" i="23" s="1"/>
  <c r="G30" i="23"/>
  <c r="J30" i="23" s="1"/>
  <c r="P10" i="23"/>
  <c r="N10" i="23"/>
  <c r="AK10" i="23" s="1"/>
  <c r="W21" i="23" l="1"/>
  <c r="AX21" i="23" s="1"/>
  <c r="AS28" i="34"/>
  <c r="AR28" i="34"/>
  <c r="AC28" i="34"/>
  <c r="L28" i="34"/>
  <c r="N27" i="34"/>
  <c r="O27" i="34"/>
  <c r="M27" i="34"/>
  <c r="AA28" i="34"/>
  <c r="AC25" i="34"/>
  <c r="AN9" i="34"/>
  <c r="AJ9" i="34"/>
  <c r="R9" i="34"/>
  <c r="Q9" i="34"/>
  <c r="AO9" i="34"/>
  <c r="Z28" i="34"/>
  <c r="AE25" i="34"/>
  <c r="AK9" i="34"/>
  <c r="AQ9" i="34"/>
  <c r="AP9" i="34"/>
  <c r="AH25" i="34"/>
  <c r="F29" i="34"/>
  <c r="I29" i="34" s="1"/>
  <c r="AL49" i="3"/>
  <c r="AF25" i="34"/>
  <c r="AG28" i="34"/>
  <c r="AN8" i="34"/>
  <c r="AJ8" i="34"/>
  <c r="R8" i="34"/>
  <c r="Q8" i="34"/>
  <c r="AO8" i="34"/>
  <c r="N15" i="23"/>
  <c r="AK15" i="23" s="1"/>
  <c r="P15" i="23"/>
  <c r="AM15" i="23" s="1"/>
  <c r="F29" i="23"/>
  <c r="I29" i="23" s="1"/>
  <c r="AD28" i="34"/>
  <c r="AV28" i="34"/>
  <c r="M21" i="34"/>
  <c r="AH21" i="34" s="1"/>
  <c r="O21" i="34"/>
  <c r="N16" i="34"/>
  <c r="AI16" i="34" s="1"/>
  <c r="P16" i="34"/>
  <c r="AU28" i="34"/>
  <c r="AE28" i="34"/>
  <c r="AD9" i="34"/>
  <c r="AM9" i="34"/>
  <c r="AL9" i="34"/>
  <c r="F21" i="23"/>
  <c r="V21" i="23" s="1"/>
  <c r="AW21" i="23" s="1"/>
  <c r="I21" i="23"/>
  <c r="K11" i="30"/>
  <c r="AW28" i="34"/>
  <c r="AL28" i="34"/>
  <c r="AT28" i="34"/>
  <c r="E21" i="34"/>
  <c r="D21" i="34"/>
  <c r="Y21" i="34" s="1"/>
  <c r="K21" i="34"/>
  <c r="J21" i="34"/>
  <c r="I21" i="34"/>
  <c r="G21" i="34"/>
  <c r="F21" i="34"/>
  <c r="E29" i="34"/>
  <c r="H29" i="34" s="1"/>
  <c r="T11" i="30"/>
  <c r="E29" i="23"/>
  <c r="H29" i="23" s="1"/>
  <c r="D10" i="23" s="1"/>
  <c r="E21" i="23"/>
  <c r="U21" i="23" s="1"/>
  <c r="AV21" i="23" s="1"/>
  <c r="N18" i="23"/>
  <c r="AK18" i="23" s="1"/>
  <c r="P18" i="23"/>
  <c r="AK8" i="34"/>
  <c r="AQ8" i="34"/>
  <c r="AP8" i="34"/>
  <c r="P15" i="34"/>
  <c r="N15" i="34"/>
  <c r="AI15" i="34" s="1"/>
  <c r="AG25" i="34"/>
  <c r="AF28" i="34"/>
  <c r="AM28" i="34"/>
  <c r="AB28" i="34"/>
  <c r="AB25" i="34"/>
  <c r="AL8" i="34"/>
  <c r="AM8" i="34"/>
  <c r="AD8" i="34"/>
  <c r="K21" i="23"/>
  <c r="D21" i="23"/>
  <c r="AA21" i="23" s="1"/>
  <c r="N16" i="23"/>
  <c r="AK16" i="23" s="1"/>
  <c r="P16" i="23"/>
  <c r="AI25" i="34"/>
  <c r="Y25" i="34"/>
  <c r="P18" i="34"/>
  <c r="N18" i="34"/>
  <c r="AI18" i="34" s="1"/>
  <c r="Z25" i="34"/>
  <c r="J21" i="23"/>
  <c r="P17" i="34"/>
  <c r="N17" i="34"/>
  <c r="AI17" i="34" s="1"/>
  <c r="P17" i="23"/>
  <c r="N17" i="23"/>
  <c r="AK17" i="23" s="1"/>
  <c r="P14" i="23"/>
  <c r="AM14" i="23" s="1"/>
  <c r="N14" i="23"/>
  <c r="AK14" i="23" s="1"/>
  <c r="N14" i="34"/>
  <c r="AI14" i="34" s="1"/>
  <c r="P14" i="34"/>
  <c r="AA25" i="34"/>
  <c r="I8" i="23"/>
  <c r="I9" i="23"/>
  <c r="M9" i="23"/>
  <c r="AJ9" i="23" s="1"/>
  <c r="O9" i="23"/>
  <c r="F8" i="23"/>
  <c r="AC8" i="23" s="1"/>
  <c r="AA8" i="23"/>
  <c r="G8" i="23"/>
  <c r="AD8" i="23" s="1"/>
  <c r="E8" i="23"/>
  <c r="AB8" i="23" s="1"/>
  <c r="K8" i="23"/>
  <c r="AH8" i="23" s="1"/>
  <c r="J8" i="23"/>
  <c r="AG8" i="23" s="1"/>
  <c r="H8" i="23"/>
  <c r="AE8" i="23" s="1"/>
  <c r="L8" i="23"/>
  <c r="AI8" i="23" s="1"/>
  <c r="N9" i="23"/>
  <c r="AK9" i="23" s="1"/>
  <c r="P9" i="23"/>
  <c r="I27" i="23"/>
  <c r="M8" i="23" s="1"/>
  <c r="AD46" i="28"/>
  <c r="AD50" i="28" s="1"/>
  <c r="AC42" i="27"/>
  <c r="AC40" i="27"/>
  <c r="AC43" i="27"/>
  <c r="AC44" i="27"/>
  <c r="AC41" i="27"/>
  <c r="AC42" i="28"/>
  <c r="AC44" i="28"/>
  <c r="AC40" i="28"/>
  <c r="AC41" i="28"/>
  <c r="AC43" i="28"/>
  <c r="AD46" i="27"/>
  <c r="AD50" i="27" s="1"/>
  <c r="J27" i="23"/>
  <c r="AC42" i="3"/>
  <c r="AC40" i="3"/>
  <c r="AC44" i="3"/>
  <c r="AC41" i="3"/>
  <c r="AC43" i="3"/>
  <c r="D9" i="23"/>
  <c r="AA9" i="23" s="1"/>
  <c r="G9" i="23"/>
  <c r="AD9" i="23" s="1"/>
  <c r="F9" i="23"/>
  <c r="AC9" i="23" s="1"/>
  <c r="K9" i="23"/>
  <c r="AH9" i="23" s="1"/>
  <c r="J9" i="23"/>
  <c r="AG9" i="23" s="1"/>
  <c r="H9" i="23"/>
  <c r="AE9" i="23" s="1"/>
  <c r="AB9" i="23"/>
  <c r="L9" i="23"/>
  <c r="AI9" i="23" s="1"/>
  <c r="AM10" i="23"/>
  <c r="AS10" i="23"/>
  <c r="AR10" i="23"/>
  <c r="P12" i="23"/>
  <c r="N12" i="23"/>
  <c r="AK12" i="23" s="1"/>
  <c r="P11" i="23"/>
  <c r="N11" i="23"/>
  <c r="AK11" i="23" s="1"/>
  <c r="T21" i="23" l="1"/>
  <c r="S21" i="23"/>
  <c r="T8" i="23"/>
  <c r="S8" i="23"/>
  <c r="T9" i="23"/>
  <c r="S9" i="23"/>
  <c r="AN21" i="23"/>
  <c r="R21" i="23"/>
  <c r="Q21" i="23"/>
  <c r="R8" i="23"/>
  <c r="Q8" i="23"/>
  <c r="R9" i="23"/>
  <c r="Q9" i="23"/>
  <c r="H21" i="23"/>
  <c r="AE21" i="23" s="1"/>
  <c r="X21" i="23"/>
  <c r="AY21" i="23" s="1"/>
  <c r="L21" i="23"/>
  <c r="AI21" i="23" s="1"/>
  <c r="AB21" i="23"/>
  <c r="AC21" i="23"/>
  <c r="F10" i="34"/>
  <c r="E10" i="34"/>
  <c r="D10" i="34"/>
  <c r="Y10" i="34" s="1"/>
  <c r="K10" i="34"/>
  <c r="J10" i="34"/>
  <c r="I10" i="34"/>
  <c r="G10" i="34"/>
  <c r="AR16" i="23"/>
  <c r="AS16" i="23"/>
  <c r="Z21" i="23"/>
  <c r="BA21" i="23" s="1"/>
  <c r="AH21" i="23"/>
  <c r="AK15" i="34"/>
  <c r="AQ15" i="34"/>
  <c r="AP15" i="34"/>
  <c r="AB21" i="34"/>
  <c r="U21" i="34"/>
  <c r="AT21" i="34" s="1"/>
  <c r="M10" i="23"/>
  <c r="AJ10" i="23" s="1"/>
  <c r="O10" i="23"/>
  <c r="O10" i="34"/>
  <c r="M10" i="34"/>
  <c r="AH10" i="34" s="1"/>
  <c r="AR15" i="23"/>
  <c r="AS15" i="23"/>
  <c r="AP17" i="34"/>
  <c r="AK17" i="34"/>
  <c r="AQ17" i="34"/>
  <c r="AQ25" i="34"/>
  <c r="AR17" i="23"/>
  <c r="AS17" i="23"/>
  <c r="L21" i="34"/>
  <c r="AG21" i="34" s="1"/>
  <c r="AD21" i="34"/>
  <c r="AM21" i="34"/>
  <c r="AL21" i="34"/>
  <c r="V21" i="34"/>
  <c r="AU21" i="34" s="1"/>
  <c r="AL25" i="34"/>
  <c r="AK25" i="34"/>
  <c r="X21" i="34"/>
  <c r="AW21" i="34" s="1"/>
  <c r="AF21" i="34"/>
  <c r="AO25" i="34"/>
  <c r="AE21" i="34"/>
  <c r="W21" i="34"/>
  <c r="AV21" i="34" s="1"/>
  <c r="AQ14" i="34"/>
  <c r="AP14" i="34"/>
  <c r="AK14" i="34"/>
  <c r="AP18" i="34"/>
  <c r="AQ18" i="34"/>
  <c r="AK18" i="34"/>
  <c r="AR18" i="23"/>
  <c r="AS18" i="23"/>
  <c r="AM18" i="23"/>
  <c r="AI28" i="34"/>
  <c r="Z21" i="34"/>
  <c r="H21" i="34"/>
  <c r="AC21" i="34" s="1"/>
  <c r="S21" i="34"/>
  <c r="AR21" i="34" s="1"/>
  <c r="V8" i="34"/>
  <c r="AU8" i="34" s="1"/>
  <c r="X8" i="34"/>
  <c r="AW8" i="34" s="1"/>
  <c r="W8" i="34"/>
  <c r="AV8" i="34" s="1"/>
  <c r="U8" i="34"/>
  <c r="AT8" i="34" s="1"/>
  <c r="T8" i="34"/>
  <c r="AS8" i="34" s="1"/>
  <c r="S8" i="34"/>
  <c r="AR8" i="34" s="1"/>
  <c r="AP25" i="34"/>
  <c r="AM16" i="23"/>
  <c r="AQ16" i="34"/>
  <c r="AP16" i="34"/>
  <c r="AK16" i="34"/>
  <c r="AJ25" i="34"/>
  <c r="Y21" i="23"/>
  <c r="AZ21" i="23" s="1"/>
  <c r="AG21" i="23"/>
  <c r="AM25" i="34"/>
  <c r="AM17" i="23"/>
  <c r="AS14" i="23"/>
  <c r="AR14" i="23"/>
  <c r="G10" i="23"/>
  <c r="I10" i="23"/>
  <c r="E10" i="23"/>
  <c r="K10" i="23"/>
  <c r="AA10" i="23"/>
  <c r="F10" i="23"/>
  <c r="J10" i="23"/>
  <c r="AN25" i="34"/>
  <c r="AA21" i="34"/>
  <c r="T21" i="34"/>
  <c r="AS21" i="34" s="1"/>
  <c r="AD25" i="34"/>
  <c r="AF21" i="23"/>
  <c r="AO21" i="23"/>
  <c r="AI24" i="34"/>
  <c r="AI30" i="34" s="1"/>
  <c r="AO21" i="34"/>
  <c r="Q21" i="34"/>
  <c r="AN21" i="34"/>
  <c r="AJ21" i="34"/>
  <c r="R21" i="34"/>
  <c r="O28" i="34"/>
  <c r="N28" i="34"/>
  <c r="M28" i="34"/>
  <c r="O28" i="23"/>
  <c r="N28" i="23"/>
  <c r="M28" i="23"/>
  <c r="X8" i="23"/>
  <c r="AY8" i="23" s="1"/>
  <c r="AV8" i="23"/>
  <c r="W8" i="23"/>
  <c r="AX8" i="23" s="1"/>
  <c r="V8" i="23"/>
  <c r="AW8" i="23" s="1"/>
  <c r="Y8" i="23"/>
  <c r="AZ8" i="23" s="1"/>
  <c r="Z8" i="23"/>
  <c r="BA8" i="23" s="1"/>
  <c r="AI25" i="23"/>
  <c r="AN8" i="23"/>
  <c r="AO8" i="23"/>
  <c r="AG25" i="23"/>
  <c r="AE25" i="23"/>
  <c r="AB25" i="23"/>
  <c r="AH25" i="23"/>
  <c r="AD25" i="23"/>
  <c r="AA25" i="23"/>
  <c r="AC25" i="23"/>
  <c r="AF8" i="23"/>
  <c r="AK28" i="23"/>
  <c r="AK26" i="23"/>
  <c r="L11" i="30"/>
  <c r="AD56" i="3"/>
  <c r="AC46" i="27"/>
  <c r="AC50" i="27" s="1"/>
  <c r="AN9" i="23"/>
  <c r="AF9" i="23"/>
  <c r="AO9" i="23"/>
  <c r="P8" i="23"/>
  <c r="AR8" i="23" s="1"/>
  <c r="N8" i="23"/>
  <c r="AK8" i="23" s="1"/>
  <c r="AK25" i="23" s="1"/>
  <c r="AJ8" i="23"/>
  <c r="AJ25" i="23" s="1"/>
  <c r="O8" i="23"/>
  <c r="AR9" i="23"/>
  <c r="AM9" i="23"/>
  <c r="AS9" i="23"/>
  <c r="AC46" i="28"/>
  <c r="AC50" i="28" s="1"/>
  <c r="AQ9" i="23"/>
  <c r="AP9" i="23"/>
  <c r="AL9" i="23"/>
  <c r="AC46" i="3"/>
  <c r="AM11" i="23"/>
  <c r="AS11" i="23"/>
  <c r="AR11" i="23"/>
  <c r="AM12" i="23"/>
  <c r="AS12" i="23"/>
  <c r="AR12" i="23"/>
  <c r="T10" i="23" l="1"/>
  <c r="S10" i="23"/>
  <c r="Q10" i="23"/>
  <c r="R10" i="23"/>
  <c r="AM28" i="23"/>
  <c r="AR28" i="23"/>
  <c r="AQ28" i="34"/>
  <c r="AK28" i="34"/>
  <c r="H10" i="23"/>
  <c r="AE10" i="23" s="1"/>
  <c r="AB10" i="23"/>
  <c r="U10" i="23"/>
  <c r="AV10" i="23" s="1"/>
  <c r="AF10" i="23"/>
  <c r="AO10" i="23"/>
  <c r="AN10" i="23"/>
  <c r="X10" i="23"/>
  <c r="AY10" i="23" s="1"/>
  <c r="L10" i="23"/>
  <c r="AI10" i="23" s="1"/>
  <c r="W10" i="23"/>
  <c r="AX10" i="23" s="1"/>
  <c r="AD10" i="23"/>
  <c r="R10" i="34"/>
  <c r="Q10" i="34"/>
  <c r="AO10" i="34"/>
  <c r="AN10" i="34"/>
  <c r="AJ10" i="34"/>
  <c r="AB10" i="34"/>
  <c r="U10" i="34"/>
  <c r="AT10" i="34" s="1"/>
  <c r="AL10" i="23"/>
  <c r="AP10" i="23"/>
  <c r="AQ10" i="23"/>
  <c r="AD10" i="34"/>
  <c r="AL10" i="34"/>
  <c r="L10" i="34"/>
  <c r="AG10" i="34" s="1"/>
  <c r="AM10" i="34"/>
  <c r="V10" i="34"/>
  <c r="AU10" i="34" s="1"/>
  <c r="AE10" i="34"/>
  <c r="W10" i="34"/>
  <c r="AV10" i="34" s="1"/>
  <c r="AP28" i="34"/>
  <c r="AP24" i="34"/>
  <c r="AP30" i="34" s="1"/>
  <c r="AF10" i="34"/>
  <c r="X10" i="34"/>
  <c r="AW10" i="34" s="1"/>
  <c r="AC10" i="23"/>
  <c r="V10" i="23"/>
  <c r="AW10" i="23" s="1"/>
  <c r="X9" i="34"/>
  <c r="AW9" i="34" s="1"/>
  <c r="V9" i="34"/>
  <c r="AU9" i="34" s="1"/>
  <c r="AU25" i="34" s="1"/>
  <c r="U9" i="34"/>
  <c r="AT9" i="34" s="1"/>
  <c r="T9" i="34"/>
  <c r="AS9" i="34" s="1"/>
  <c r="AS25" i="34" s="1"/>
  <c r="S9" i="34"/>
  <c r="AR9" i="34" s="1"/>
  <c r="AR25" i="34" s="1"/>
  <c r="W9" i="34"/>
  <c r="AV9" i="34" s="1"/>
  <c r="AQ24" i="34"/>
  <c r="AQ30" i="34" s="1"/>
  <c r="Z10" i="23"/>
  <c r="BA10" i="23" s="1"/>
  <c r="AH10" i="23"/>
  <c r="AS28" i="23"/>
  <c r="Z10" i="34"/>
  <c r="S10" i="34"/>
  <c r="AR10" i="34" s="1"/>
  <c r="H10" i="34"/>
  <c r="AC10" i="34" s="1"/>
  <c r="AG10" i="23"/>
  <c r="Y10" i="23"/>
  <c r="AZ10" i="23" s="1"/>
  <c r="AK24" i="34"/>
  <c r="AK30" i="34" s="1"/>
  <c r="T10" i="34"/>
  <c r="AS10" i="34" s="1"/>
  <c r="AA10" i="34"/>
  <c r="AN25" i="23"/>
  <c r="U9" i="23"/>
  <c r="AV9" i="23" s="1"/>
  <c r="AV25" i="23" s="1"/>
  <c r="Z9" i="23"/>
  <c r="BA9" i="23" s="1"/>
  <c r="BA25" i="23" s="1"/>
  <c r="W9" i="23"/>
  <c r="AX9" i="23" s="1"/>
  <c r="AX25" i="23" s="1"/>
  <c r="Y9" i="23"/>
  <c r="AZ9" i="23" s="1"/>
  <c r="AZ25" i="23" s="1"/>
  <c r="V9" i="23"/>
  <c r="AW9" i="23" s="1"/>
  <c r="AW25" i="23" s="1"/>
  <c r="X9" i="23"/>
  <c r="AY9" i="23" s="1"/>
  <c r="AY25" i="23" s="1"/>
  <c r="AP8" i="23"/>
  <c r="AP25" i="23" s="1"/>
  <c r="AK24" i="23"/>
  <c r="AK30" i="23" s="1"/>
  <c r="AO25" i="23"/>
  <c r="AF25" i="23"/>
  <c r="AQ8" i="23"/>
  <c r="AQ25" i="23" s="1"/>
  <c r="AR26" i="23"/>
  <c r="AM26" i="23"/>
  <c r="AS26" i="23"/>
  <c r="AL8" i="23"/>
  <c r="AL25" i="23" s="1"/>
  <c r="AM8" i="23"/>
  <c r="AM25" i="23" s="1"/>
  <c r="AS8" i="23"/>
  <c r="AS25" i="23" s="1"/>
  <c r="AR25" i="23"/>
  <c r="AW25" i="34" l="1"/>
  <c r="AT25" i="34"/>
  <c r="AV25" i="34"/>
  <c r="AR24" i="23"/>
  <c r="AR30" i="23" s="1"/>
  <c r="AM24" i="23"/>
  <c r="AM30" i="23" s="1"/>
  <c r="AS24" i="23"/>
  <c r="AS30" i="23" s="1"/>
  <c r="O17" i="13" l="1"/>
  <c r="P40" i="28"/>
  <c r="S51" i="28" s="1" a="1"/>
  <c r="S51" i="28" s="1"/>
  <c r="P40" i="3"/>
  <c r="S51" i="3" s="1" a="1"/>
  <c r="S51" i="3" s="1"/>
  <c r="Q40" i="3" l="1"/>
  <c r="Q40" i="28"/>
  <c r="W40" i="28" l="1"/>
  <c r="X40" i="28"/>
  <c r="X40" i="3"/>
  <c r="W40" i="3"/>
  <c r="W46" i="3" s="1"/>
  <c r="C27" i="8"/>
  <c r="W47" i="3" l="1"/>
  <c r="D21" i="18"/>
  <c r="AK40" i="28"/>
  <c r="AJ40" i="28"/>
  <c r="X46" i="28"/>
  <c r="H6" i="30"/>
  <c r="X46" i="3"/>
  <c r="AJ48" i="3" s="1"/>
  <c r="AK40" i="3"/>
  <c r="R6" i="30" s="1"/>
  <c r="AJ40" i="3"/>
  <c r="P6" i="30" s="1"/>
  <c r="H12" i="30"/>
  <c r="W46" i="28"/>
  <c r="W47" i="28" s="1"/>
  <c r="W49" i="28" s="1"/>
  <c r="AJ50" i="3" l="1"/>
  <c r="D15" i="18" s="1"/>
  <c r="AJ47" i="3"/>
  <c r="C29" i="20"/>
  <c r="C34" i="20" s="1"/>
  <c r="H17" i="30"/>
  <c r="X47" i="3"/>
  <c r="AK48" i="3"/>
  <c r="AK48" i="28"/>
  <c r="AK49" i="28" s="1"/>
  <c r="X47" i="28"/>
  <c r="AJ48" i="28"/>
  <c r="AJ49" i="28" s="1"/>
  <c r="F30" i="23" s="1"/>
  <c r="I30" i="23" s="1"/>
  <c r="W49" i="3"/>
  <c r="D147" i="18"/>
  <c r="H11" i="30" l="1"/>
  <c r="F31" i="34"/>
  <c r="I31" i="34" s="1"/>
  <c r="AK49" i="3"/>
  <c r="F31" i="23"/>
  <c r="I31" i="23" s="1"/>
  <c r="Q11" i="30"/>
  <c r="AK50" i="3"/>
  <c r="S11" i="30"/>
  <c r="F30" i="34"/>
  <c r="I30" i="34" s="1"/>
  <c r="AJ49" i="3"/>
  <c r="F37" i="23"/>
  <c r="F37" i="34"/>
  <c r="C25" i="20"/>
  <c r="C26" i="20" s="1"/>
  <c r="C23" i="20"/>
  <c r="C24" i="20" s="1"/>
  <c r="O11" i="23"/>
  <c r="M11" i="23"/>
  <c r="AJ11" i="23" s="1"/>
  <c r="D16" i="18" l="1"/>
  <c r="N35" i="23"/>
  <c r="F36" i="23"/>
  <c r="I36" i="23" s="1"/>
  <c r="F34" i="23"/>
  <c r="I34" i="23" s="1"/>
  <c r="I37" i="23"/>
  <c r="F33" i="23"/>
  <c r="I33" i="23" s="1"/>
  <c r="F35" i="23"/>
  <c r="I35" i="23" s="1"/>
  <c r="P11" i="30"/>
  <c r="Q10" i="30" s="1"/>
  <c r="E30" i="34"/>
  <c r="H30" i="34" s="1"/>
  <c r="E30" i="23"/>
  <c r="H30" i="23" s="1"/>
  <c r="O11" i="34"/>
  <c r="M11" i="34"/>
  <c r="AH11" i="34" s="1"/>
  <c r="O12" i="34"/>
  <c r="M12" i="34"/>
  <c r="AH12" i="34" s="1"/>
  <c r="M12" i="23"/>
  <c r="AJ12" i="23" s="1"/>
  <c r="AJ26" i="23" s="1"/>
  <c r="O12" i="23"/>
  <c r="E31" i="34"/>
  <c r="H31" i="34" s="1"/>
  <c r="R11" i="30"/>
  <c r="E31" i="23"/>
  <c r="H31" i="23" s="1"/>
  <c r="F35" i="34"/>
  <c r="I35" i="34" s="1"/>
  <c r="I37" i="34"/>
  <c r="N35" i="34"/>
  <c r="F34" i="34"/>
  <c r="I34" i="34" s="1"/>
  <c r="F36" i="34"/>
  <c r="I36" i="34" s="1"/>
  <c r="F33" i="34"/>
  <c r="I33" i="34" s="1"/>
  <c r="C38" i="20"/>
  <c r="E38" i="20" s="1"/>
  <c r="D112" i="18"/>
  <c r="D127" i="18" s="1"/>
  <c r="E37" i="23"/>
  <c r="D18" i="23" s="1"/>
  <c r="AL11" i="23"/>
  <c r="AP11" i="23"/>
  <c r="AQ11" i="23"/>
  <c r="AH26" i="34" l="1"/>
  <c r="O16" i="34"/>
  <c r="M16" i="34"/>
  <c r="AH16" i="34" s="1"/>
  <c r="D11" i="23"/>
  <c r="AA11" i="23" s="1"/>
  <c r="I11" i="23"/>
  <c r="G11" i="23"/>
  <c r="K11" i="23"/>
  <c r="F11" i="23"/>
  <c r="E11" i="23"/>
  <c r="J11" i="23"/>
  <c r="O16" i="23"/>
  <c r="M16" i="23"/>
  <c r="AJ16" i="23" s="1"/>
  <c r="O14" i="23"/>
  <c r="M14" i="23"/>
  <c r="AJ14" i="23" s="1"/>
  <c r="M18" i="23"/>
  <c r="AJ18" i="23" s="1"/>
  <c r="O18" i="23"/>
  <c r="M15" i="23"/>
  <c r="AJ15" i="23" s="1"/>
  <c r="O15" i="23"/>
  <c r="O15" i="34"/>
  <c r="M15" i="34"/>
  <c r="AH15" i="34" s="1"/>
  <c r="AN11" i="34"/>
  <c r="Q11" i="34"/>
  <c r="AO11" i="34"/>
  <c r="AJ11" i="34"/>
  <c r="R11" i="34"/>
  <c r="M18" i="34"/>
  <c r="AH18" i="34" s="1"/>
  <c r="O18" i="34"/>
  <c r="D11" i="34"/>
  <c r="Y11" i="34" s="1"/>
  <c r="K11" i="34"/>
  <c r="J11" i="34"/>
  <c r="I11" i="34"/>
  <c r="G11" i="34"/>
  <c r="F11" i="34"/>
  <c r="E11" i="34"/>
  <c r="M17" i="23"/>
  <c r="AJ17" i="23" s="1"/>
  <c r="O17" i="23"/>
  <c r="J12" i="23"/>
  <c r="E12" i="23"/>
  <c r="I12" i="23"/>
  <c r="D12" i="23"/>
  <c r="AA12" i="23" s="1"/>
  <c r="K12" i="23"/>
  <c r="G12" i="23"/>
  <c r="F12" i="23"/>
  <c r="K12" i="34"/>
  <c r="J12" i="34"/>
  <c r="F12" i="34"/>
  <c r="I12" i="34"/>
  <c r="G12" i="34"/>
  <c r="E12" i="34"/>
  <c r="D12" i="34"/>
  <c r="Y12" i="34" s="1"/>
  <c r="AQ12" i="23"/>
  <c r="AQ26" i="23" s="1"/>
  <c r="AP12" i="23"/>
  <c r="AP26" i="23" s="1"/>
  <c r="AL12" i="23"/>
  <c r="O14" i="34"/>
  <c r="M14" i="34"/>
  <c r="AH14" i="34" s="1"/>
  <c r="O17" i="34"/>
  <c r="M17" i="34"/>
  <c r="AH17" i="34" s="1"/>
  <c r="R12" i="34"/>
  <c r="AO12" i="34"/>
  <c r="AN12" i="34"/>
  <c r="AJ12" i="34"/>
  <c r="Q12" i="34"/>
  <c r="AA18" i="23"/>
  <c r="M35" i="23"/>
  <c r="I18" i="23"/>
  <c r="E18" i="23"/>
  <c r="U18" i="23" s="1"/>
  <c r="AV18" i="23" s="1"/>
  <c r="H37" i="23"/>
  <c r="F18" i="23"/>
  <c r="E34" i="23"/>
  <c r="K18" i="23"/>
  <c r="E36" i="23"/>
  <c r="D17" i="23" s="1"/>
  <c r="E33" i="23"/>
  <c r="E35" i="23"/>
  <c r="D16" i="23" s="1"/>
  <c r="J18" i="23"/>
  <c r="G18" i="23"/>
  <c r="T11" i="23" l="1"/>
  <c r="S11" i="23"/>
  <c r="T12" i="23"/>
  <c r="S12" i="23"/>
  <c r="T18" i="23"/>
  <c r="S18" i="23"/>
  <c r="Q18" i="23"/>
  <c r="R18" i="23"/>
  <c r="R12" i="23"/>
  <c r="Q12" i="23"/>
  <c r="Q11" i="23"/>
  <c r="R11" i="23"/>
  <c r="AJ24" i="23"/>
  <c r="AJ30" i="23" s="1"/>
  <c r="AA26" i="23"/>
  <c r="AH28" i="34"/>
  <c r="AN26" i="34"/>
  <c r="Y11" i="23"/>
  <c r="AZ11" i="23" s="1"/>
  <c r="AG11" i="23"/>
  <c r="U11" i="23"/>
  <c r="AV11" i="23" s="1"/>
  <c r="H11" i="23"/>
  <c r="AE11" i="23" s="1"/>
  <c r="AB11" i="23"/>
  <c r="AP15" i="23"/>
  <c r="AQ15" i="23"/>
  <c r="AL15" i="23"/>
  <c r="AH11" i="23"/>
  <c r="Z11" i="23"/>
  <c r="BA11" i="23" s="1"/>
  <c r="AA12" i="34"/>
  <c r="T12" i="34"/>
  <c r="AS12" i="34" s="1"/>
  <c r="V12" i="23"/>
  <c r="AW12" i="23" s="1"/>
  <c r="AC12" i="23"/>
  <c r="Z12" i="23"/>
  <c r="BA12" i="23" s="1"/>
  <c r="AH12" i="23"/>
  <c r="AF11" i="34"/>
  <c r="X11" i="34"/>
  <c r="AW11" i="34" s="1"/>
  <c r="AD11" i="23"/>
  <c r="W11" i="23"/>
  <c r="AX11" i="23" s="1"/>
  <c r="AO15" i="34"/>
  <c r="Q15" i="34"/>
  <c r="AN15" i="34"/>
  <c r="AJ15" i="34"/>
  <c r="R15" i="34"/>
  <c r="Y24" i="34"/>
  <c r="Y26" i="34"/>
  <c r="X11" i="23"/>
  <c r="AY11" i="23" s="1"/>
  <c r="AN11" i="23"/>
  <c r="AO11" i="23"/>
  <c r="AF11" i="23"/>
  <c r="L11" i="23"/>
  <c r="AI11" i="23" s="1"/>
  <c r="AP16" i="23"/>
  <c r="AQ16" i="23"/>
  <c r="AL16" i="23"/>
  <c r="AF12" i="34"/>
  <c r="X12" i="34"/>
  <c r="AW12" i="34" s="1"/>
  <c r="R18" i="34"/>
  <c r="AO18" i="34"/>
  <c r="AN18" i="34"/>
  <c r="AJ18" i="34"/>
  <c r="Q18" i="34"/>
  <c r="AL18" i="23"/>
  <c r="AQ18" i="23"/>
  <c r="AP18" i="23"/>
  <c r="AE11" i="34"/>
  <c r="W11" i="34"/>
  <c r="AV11" i="34" s="1"/>
  <c r="AN17" i="34"/>
  <c r="AO17" i="34"/>
  <c r="AJ17" i="34"/>
  <c r="R17" i="34"/>
  <c r="Q17" i="34"/>
  <c r="AB11" i="34"/>
  <c r="U11" i="34"/>
  <c r="AT11" i="34" s="1"/>
  <c r="AJ28" i="23"/>
  <c r="R16" i="34"/>
  <c r="AN16" i="34"/>
  <c r="AJ16" i="34"/>
  <c r="Q16" i="34"/>
  <c r="AO16" i="34"/>
  <c r="H11" i="34"/>
  <c r="AC11" i="34" s="1"/>
  <c r="Z11" i="34"/>
  <c r="S11" i="34"/>
  <c r="AR11" i="34" s="1"/>
  <c r="W12" i="34"/>
  <c r="AV12" i="34" s="1"/>
  <c r="AE12" i="34"/>
  <c r="T11" i="34"/>
  <c r="AS11" i="34" s="1"/>
  <c r="AA11" i="34"/>
  <c r="AJ14" i="34"/>
  <c r="R14" i="34"/>
  <c r="Q14" i="34"/>
  <c r="AO14" i="34"/>
  <c r="AN14" i="34"/>
  <c r="V11" i="23"/>
  <c r="AW11" i="23" s="1"/>
  <c r="AC11" i="23"/>
  <c r="X12" i="23"/>
  <c r="AY12" i="23" s="1"/>
  <c r="AO12" i="23"/>
  <c r="L12" i="23"/>
  <c r="AI12" i="23" s="1"/>
  <c r="AF12" i="23"/>
  <c r="AN12" i="23"/>
  <c r="Z12" i="34"/>
  <c r="H12" i="34"/>
  <c r="AC12" i="34" s="1"/>
  <c r="S12" i="34"/>
  <c r="AR12" i="34" s="1"/>
  <c r="Y12" i="23"/>
  <c r="AZ12" i="23" s="1"/>
  <c r="AG12" i="23"/>
  <c r="AL26" i="23"/>
  <c r="AB12" i="34"/>
  <c r="U12" i="34"/>
  <c r="AT12" i="34" s="1"/>
  <c r="AP17" i="23"/>
  <c r="AQ17" i="23"/>
  <c r="AL17" i="23"/>
  <c r="AJ26" i="34"/>
  <c r="AQ14" i="23"/>
  <c r="AL14" i="23"/>
  <c r="AP14" i="23"/>
  <c r="AH24" i="34"/>
  <c r="AH30" i="34" s="1"/>
  <c r="AD11" i="34"/>
  <c r="L11" i="34"/>
  <c r="AG11" i="34" s="1"/>
  <c r="AM11" i="34"/>
  <c r="AL11" i="34"/>
  <c r="V11" i="34"/>
  <c r="AU11" i="34" s="1"/>
  <c r="W12" i="23"/>
  <c r="AX12" i="23" s="1"/>
  <c r="AD12" i="23"/>
  <c r="H12" i="23"/>
  <c r="AE12" i="23" s="1"/>
  <c r="AB12" i="23"/>
  <c r="U12" i="23"/>
  <c r="AV12" i="23" s="1"/>
  <c r="V12" i="34"/>
  <c r="AU12" i="34" s="1"/>
  <c r="AD12" i="34"/>
  <c r="L12" i="34"/>
  <c r="AG12" i="34" s="1"/>
  <c r="AM12" i="34"/>
  <c r="AL12" i="34"/>
  <c r="AO26" i="34"/>
  <c r="M33" i="23"/>
  <c r="E14" i="23"/>
  <c r="U14" i="23" s="1"/>
  <c r="AV14" i="23" s="1"/>
  <c r="D14" i="23"/>
  <c r="AA14" i="23" s="1"/>
  <c r="E15" i="23"/>
  <c r="U15" i="23" s="1"/>
  <c r="AV15" i="23" s="1"/>
  <c r="D15" i="23"/>
  <c r="AA15" i="23" s="1"/>
  <c r="AD18" i="23"/>
  <c r="W18" i="23"/>
  <c r="AX18" i="23" s="1"/>
  <c r="AC18" i="23"/>
  <c r="V18" i="23"/>
  <c r="AW18" i="23" s="1"/>
  <c r="K14" i="23"/>
  <c r="J14" i="23"/>
  <c r="I14" i="23"/>
  <c r="G14" i="23"/>
  <c r="F14" i="23"/>
  <c r="H33" i="23"/>
  <c r="AH18" i="23"/>
  <c r="Z18" i="23"/>
  <c r="BA18" i="23" s="1"/>
  <c r="I16" i="23"/>
  <c r="F16" i="23"/>
  <c r="AA16" i="23"/>
  <c r="K16" i="23"/>
  <c r="H35" i="23"/>
  <c r="E16" i="23"/>
  <c r="U16" i="23" s="1"/>
  <c r="AV16" i="23" s="1"/>
  <c r="G16" i="23"/>
  <c r="J16" i="23"/>
  <c r="Y18" i="23"/>
  <c r="AZ18" i="23" s="1"/>
  <c r="AG18" i="23"/>
  <c r="AB18" i="23"/>
  <c r="H18" i="23"/>
  <c r="AE18" i="23" s="1"/>
  <c r="K17" i="23"/>
  <c r="AA17" i="23"/>
  <c r="E17" i="23"/>
  <c r="U17" i="23" s="1"/>
  <c r="AV17" i="23" s="1"/>
  <c r="G17" i="23"/>
  <c r="F17" i="23"/>
  <c r="J17" i="23"/>
  <c r="I17" i="23"/>
  <c r="H36" i="23"/>
  <c r="K15" i="23"/>
  <c r="H34" i="23"/>
  <c r="F15" i="23"/>
  <c r="I15" i="23"/>
  <c r="J15" i="23"/>
  <c r="G15" i="23"/>
  <c r="AF18" i="23"/>
  <c r="AN18" i="23"/>
  <c r="AO18" i="23"/>
  <c r="X18" i="23"/>
  <c r="AY18" i="23" s="1"/>
  <c r="L18" i="23"/>
  <c r="AI18" i="23" s="1"/>
  <c r="T14" i="23" l="1"/>
  <c r="Q14" i="23"/>
  <c r="S14" i="23"/>
  <c r="R14" i="23"/>
  <c r="T15" i="23"/>
  <c r="S15" i="23"/>
  <c r="T17" i="23"/>
  <c r="S17" i="23"/>
  <c r="T16" i="23"/>
  <c r="S16" i="23"/>
  <c r="R16" i="23"/>
  <c r="Q16" i="23"/>
  <c r="R15" i="23"/>
  <c r="Q15" i="23"/>
  <c r="Q17" i="23"/>
  <c r="R17" i="23"/>
  <c r="AA28" i="23"/>
  <c r="AV26" i="23"/>
  <c r="AH26" i="23"/>
  <c r="AL28" i="23"/>
  <c r="AI26" i="23"/>
  <c r="AP28" i="23"/>
  <c r="AJ24" i="34"/>
  <c r="AJ30" i="34" s="1"/>
  <c r="AO28" i="34"/>
  <c r="AW24" i="34"/>
  <c r="AW30" i="34" s="1"/>
  <c r="AW26" i="34"/>
  <c r="AF26" i="34"/>
  <c r="AF24" i="34"/>
  <c r="AF30" i="34" s="1"/>
  <c r="AP24" i="23"/>
  <c r="AP30" i="23" s="1"/>
  <c r="AN28" i="34"/>
  <c r="AD26" i="23"/>
  <c r="AQ28" i="23"/>
  <c r="AQ24" i="23"/>
  <c r="AQ30" i="23" s="1"/>
  <c r="AV24" i="34"/>
  <c r="AV30" i="34" s="1"/>
  <c r="AV26" i="34"/>
  <c r="AB26" i="23"/>
  <c r="AO24" i="34"/>
  <c r="AO30" i="34" s="1"/>
  <c r="AU24" i="34"/>
  <c r="AU30" i="34" s="1"/>
  <c r="AU26" i="34"/>
  <c r="AE26" i="34"/>
  <c r="AE24" i="34"/>
  <c r="AE30" i="34" s="1"/>
  <c r="D210" i="34"/>
  <c r="Y30" i="34"/>
  <c r="AC26" i="23"/>
  <c r="AE26" i="23"/>
  <c r="AJ28" i="34"/>
  <c r="AW26" i="23"/>
  <c r="AG26" i="23"/>
  <c r="AA26" i="34"/>
  <c r="AA24" i="34"/>
  <c r="AA30" i="34" s="1"/>
  <c r="AG26" i="34"/>
  <c r="AG24" i="34"/>
  <c r="AG30" i="34" s="1"/>
  <c r="AF26" i="23"/>
  <c r="AS26" i="34"/>
  <c r="AS24" i="34"/>
  <c r="AS30" i="34" s="1"/>
  <c r="AT24" i="34"/>
  <c r="AT30" i="34" s="1"/>
  <c r="AT26" i="34"/>
  <c r="AZ26" i="23"/>
  <c r="AL26" i="34"/>
  <c r="AL24" i="34"/>
  <c r="AL30" i="34" s="1"/>
  <c r="AD24" i="34"/>
  <c r="AD30" i="34" s="1"/>
  <c r="AD26" i="34"/>
  <c r="AB26" i="34"/>
  <c r="AB24" i="34"/>
  <c r="AB30" i="34" s="1"/>
  <c r="BA26" i="23"/>
  <c r="AM26" i="34"/>
  <c r="AM24" i="34"/>
  <c r="AM30" i="34" s="1"/>
  <c r="AN26" i="23"/>
  <c r="AN24" i="34"/>
  <c r="AN30" i="34" s="1"/>
  <c r="Z26" i="34"/>
  <c r="Z24" i="34"/>
  <c r="Z30" i="34" s="1"/>
  <c r="AC24" i="34"/>
  <c r="AC30" i="34" s="1"/>
  <c r="AC26" i="34"/>
  <c r="AO26" i="23"/>
  <c r="AY26" i="23"/>
  <c r="AR24" i="34"/>
  <c r="AR30" i="34" s="1"/>
  <c r="AR26" i="34"/>
  <c r="AX26" i="23"/>
  <c r="AL24" i="23"/>
  <c r="AL30" i="23" s="1"/>
  <c r="AA24" i="23"/>
  <c r="AA30" i="23" s="1"/>
  <c r="AC14" i="23"/>
  <c r="V14" i="23"/>
  <c r="AW14" i="23" s="1"/>
  <c r="AD14" i="23"/>
  <c r="W14" i="23"/>
  <c r="AX14" i="23" s="1"/>
  <c r="AC17" i="23"/>
  <c r="V17" i="23"/>
  <c r="AW17" i="23" s="1"/>
  <c r="AD15" i="23"/>
  <c r="W15" i="23"/>
  <c r="AX15" i="23" s="1"/>
  <c r="AD17" i="23"/>
  <c r="W17" i="23"/>
  <c r="AX17" i="23" s="1"/>
  <c r="AC15" i="23"/>
  <c r="V15" i="23"/>
  <c r="AW15" i="23" s="1"/>
  <c r="AD16" i="23"/>
  <c r="W16" i="23"/>
  <c r="AX16" i="23" s="1"/>
  <c r="AC16" i="23"/>
  <c r="V16" i="23"/>
  <c r="AW16" i="23" s="1"/>
  <c r="AO17" i="23"/>
  <c r="AN17" i="23"/>
  <c r="L17" i="23"/>
  <c r="AI17" i="23" s="1"/>
  <c r="X17" i="23"/>
  <c r="AY17" i="23" s="1"/>
  <c r="AF17" i="23"/>
  <c r="Y16" i="23"/>
  <c r="AZ16" i="23" s="1"/>
  <c r="AG16" i="23"/>
  <c r="AH15" i="23"/>
  <c r="Z15" i="23"/>
  <c r="BA15" i="23" s="1"/>
  <c r="AF14" i="23"/>
  <c r="AO14" i="23"/>
  <c r="L14" i="23"/>
  <c r="AI14" i="23" s="1"/>
  <c r="X14" i="23"/>
  <c r="AY14" i="23" s="1"/>
  <c r="AN14" i="23"/>
  <c r="Y17" i="23"/>
  <c r="AZ17" i="23" s="1"/>
  <c r="AG17" i="23"/>
  <c r="AB17" i="23"/>
  <c r="H17" i="23"/>
  <c r="AE17" i="23" s="1"/>
  <c r="AH16" i="23"/>
  <c r="Z16" i="23"/>
  <c r="BA16" i="23" s="1"/>
  <c r="Y14" i="23"/>
  <c r="AZ14" i="23" s="1"/>
  <c r="AG14" i="23"/>
  <c r="Y15" i="23"/>
  <c r="AZ15" i="23" s="1"/>
  <c r="AG15" i="23"/>
  <c r="AH14" i="23"/>
  <c r="Z14" i="23"/>
  <c r="BA14" i="23" s="1"/>
  <c r="AF16" i="23"/>
  <c r="L16" i="23"/>
  <c r="AI16" i="23" s="1"/>
  <c r="AO16" i="23"/>
  <c r="AN16" i="23"/>
  <c r="X16" i="23"/>
  <c r="AY16" i="23" s="1"/>
  <c r="H16" i="23"/>
  <c r="AE16" i="23" s="1"/>
  <c r="AB16" i="23"/>
  <c r="H15" i="23"/>
  <c r="AE15" i="23" s="1"/>
  <c r="AB15" i="23"/>
  <c r="AN15" i="23"/>
  <c r="AO15" i="23"/>
  <c r="X15" i="23"/>
  <c r="AY15" i="23" s="1"/>
  <c r="AF15" i="23"/>
  <c r="L15" i="23"/>
  <c r="AI15" i="23" s="1"/>
  <c r="AH17" i="23"/>
  <c r="Z17" i="23"/>
  <c r="BA17" i="23" s="1"/>
  <c r="H14" i="23"/>
  <c r="AE14" i="23" s="1"/>
  <c r="AB14" i="23"/>
  <c r="AX25" i="34" l="1"/>
  <c r="AX24" i="34"/>
  <c r="AD24" i="23"/>
  <c r="AD30" i="23" s="1"/>
  <c r="AB24" i="23"/>
  <c r="AB30" i="23" s="1"/>
  <c r="AC24" i="23"/>
  <c r="AC30" i="23" s="1"/>
  <c r="AD28" i="23"/>
  <c r="AC28" i="23"/>
  <c r="AG28" i="23"/>
  <c r="AG24" i="23"/>
  <c r="AG30" i="23" s="1"/>
  <c r="AV28" i="23"/>
  <c r="AV24" i="23"/>
  <c r="AV30" i="23" s="1"/>
  <c r="AN28" i="23"/>
  <c r="AN24" i="23"/>
  <c r="AN30" i="23" s="1"/>
  <c r="AI28" i="23"/>
  <c r="AI24" i="23"/>
  <c r="AI30" i="23" s="1"/>
  <c r="AO24" i="23"/>
  <c r="AO30" i="23" s="1"/>
  <c r="AO28" i="23"/>
  <c r="AY28" i="23"/>
  <c r="AY24" i="23"/>
  <c r="AY30" i="23" s="1"/>
  <c r="AF28" i="23"/>
  <c r="AF24" i="23"/>
  <c r="AF30" i="23" s="1"/>
  <c r="AX28" i="23"/>
  <c r="AX24" i="23"/>
  <c r="AX30" i="23" s="1"/>
  <c r="BA28" i="23"/>
  <c r="BA24" i="23"/>
  <c r="BA30" i="23" s="1"/>
  <c r="AH28" i="23"/>
  <c r="AH24" i="23"/>
  <c r="AH30" i="23" s="1"/>
  <c r="AW28" i="23"/>
  <c r="AW24" i="23"/>
  <c r="AW30" i="23" s="1"/>
  <c r="AB28" i="23"/>
  <c r="AZ28" i="23"/>
  <c r="AZ24" i="23"/>
  <c r="AZ30" i="23" s="1"/>
  <c r="AE28" i="23"/>
  <c r="AE24" i="23"/>
  <c r="AE30" i="23" s="1"/>
  <c r="D47" i="18" l="1"/>
  <c r="E47"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tc={0E04EC30-F280-4E0B-A5C1-BD019271F405}</author>
  </authors>
  <commentList>
    <comment ref="R20" authorId="0" shapeId="0" xr:uid="{0E04EC30-F280-4E0B-A5C1-BD019271F405}">
      <text>
        <t>[Threaded comment]
Your version of Excel allows you to read this threaded comment; however, any edits to it will get removed if the file is opened in a newer version of Excel. Learn more: https://go.microsoft.com/fwlink/?linkid=870924
Comment:
    The default 60 years inventories come with an exchange of the CHP unit. We add another exchange of half of the surface plant to reach 100 years lifetime (surface plant = 2 CHP units plus some other infrastructure).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tc={2AD6CAF3-2032-42F8-8106-56367BF14628}</author>
    <author>tc={68968655-E6F3-4273-A7EE-399B441AF783}</author>
    <author>tc={F17768B5-E110-4EF9-AEAB-6AFE10BAD65D}</author>
    <author>tc={EBD6B424-005C-43C4-A358-B8E780EAE9E6}</author>
    <author>tc={37BBDDB0-D30D-43B6-B5E3-8BA2447EEDC5}</author>
    <author>tc={38994285-AA44-4592-A7A8-DD3E8D9B0583}</author>
    <author>tc={F1AAC1C4-C62A-4FCD-B36E-3E36A55DD9D2}</author>
    <author>tc={179E558E-2F8F-42BD-B4CD-87F2E776C1DA}</author>
    <author>tc={9FADC7B0-8C79-44DF-BCF6-D3D411069A63}</author>
    <author>tc={7E1C97D5-CBDB-44B5-8669-8064F101B332}</author>
    <author>tc={9BF6F105-2099-48A4-B033-3A515D8F545F}</author>
    <author>tc={18421C60-F233-4B5B-94CA-8D302B7DF8A5}</author>
    <author>tc={552E43AE-A6A5-45A4-87D4-609136C51F89}</author>
    <author>tc={1085FE47-D2B5-4C88-9465-9091412DE0CA}</author>
  </authors>
  <commentList>
    <comment ref="D12" authorId="0" shapeId="0" xr:uid="{2AD6CAF3-2032-42F8-8106-56367BF14628}">
      <text>
        <t>[Threaded comment]
Your version of Excel allows you to read this threaded comment; however, any edits to it will get removed if the file is opened in a newer version of Excel. Learn more: https://go.microsoft.com/fwlink/?linkid=870924
Comment:
    Double counting!</t>
      </text>
    </comment>
    <comment ref="E12" authorId="1" shapeId="0" xr:uid="{68968655-E6F3-4273-A7EE-399B441AF783}">
      <text>
        <t>[Threaded comment]
Your version of Excel allows you to read this threaded comment; however, any edits to it will get removed if the file is opened in a newer version of Excel. Learn more: https://go.microsoft.com/fwlink/?linkid=870924
Comment:
    Double counting!</t>
      </text>
    </comment>
    <comment ref="F12" authorId="2" shapeId="0" xr:uid="{F17768B5-E110-4EF9-AEAB-6AFE10BAD65D}">
      <text>
        <t>[Threaded comment]
Your version of Excel allows you to read this threaded comment; however, any edits to it will get removed if the file is opened in a newer version of Excel. Learn more: https://go.microsoft.com/fwlink/?linkid=870924
Comment:
    Double counting!</t>
      </text>
    </comment>
    <comment ref="G12" authorId="3" shapeId="0" xr:uid="{EBD6B424-005C-43C4-A358-B8E780EAE9E6}">
      <text>
        <t>[Threaded comment]
Your version of Excel allows you to read this threaded comment; however, any edits to it will get removed if the file is opened in a newer version of Excel. Learn more: https://go.microsoft.com/fwlink/?linkid=870924
Comment:
    Double counting!</t>
      </text>
    </comment>
    <comment ref="H12" authorId="4" shapeId="0" xr:uid="{37BBDDB0-D30D-43B6-B5E3-8BA2447EEDC5}">
      <text>
        <t>[Threaded comment]
Your version of Excel allows you to read this threaded comment; however, any edits to it will get removed if the file is opened in a newer version of Excel. Learn more: https://go.microsoft.com/fwlink/?linkid=870924
Comment:
    Double counting!</t>
      </text>
    </comment>
    <comment ref="I12" authorId="5" shapeId="0" xr:uid="{38994285-AA44-4592-A7A8-DD3E8D9B0583}">
      <text>
        <t>[Threaded comment]
Your version of Excel allows you to read this threaded comment; however, any edits to it will get removed if the file is opened in a newer version of Excel. Learn more: https://go.microsoft.com/fwlink/?linkid=870924
Comment:
    Double counting!</t>
      </text>
    </comment>
    <comment ref="J12" authorId="6" shapeId="0" xr:uid="{F1AAC1C4-C62A-4FCD-B36E-3E36A55DD9D2}">
      <text>
        <t>[Threaded comment]
Your version of Excel allows you to read this threaded comment; however, any edits to it will get removed if the file is opened in a newer version of Excel. Learn more: https://go.microsoft.com/fwlink/?linkid=870924
Comment:
    Double counting!</t>
      </text>
    </comment>
    <comment ref="S12" authorId="7" shapeId="0" xr:uid="{179E558E-2F8F-42BD-B4CD-87F2E776C1DA}">
      <text>
        <t>[Threaded comment]
Your version of Excel allows you to read this threaded comment; however, any edits to it will get removed if the file is opened in a newer version of Excel. Learn more: https://go.microsoft.com/fwlink/?linkid=870924
Comment:
    Double counting!</t>
      </text>
    </comment>
    <comment ref="T12" authorId="8" shapeId="0" xr:uid="{9FADC7B0-8C79-44DF-BCF6-D3D411069A63}">
      <text>
        <t>[Threaded comment]
Your version of Excel allows you to read this threaded comment; however, any edits to it will get removed if the file is opened in a newer version of Excel. Learn more: https://go.microsoft.com/fwlink/?linkid=870924
Comment:
    Double counting!</t>
      </text>
    </comment>
    <comment ref="U12" authorId="9" shapeId="0" xr:uid="{7E1C97D5-CBDB-44B5-8669-8064F101B332}">
      <text>
        <t>[Threaded comment]
Your version of Excel allows you to read this threaded comment; however, any edits to it will get removed if the file is opened in a newer version of Excel. Learn more: https://go.microsoft.com/fwlink/?linkid=870924
Comment:
    Double counting!</t>
      </text>
    </comment>
    <comment ref="V12" authorId="10" shapeId="0" xr:uid="{9BF6F105-2099-48A4-B033-3A515D8F545F}">
      <text>
        <t>[Threaded comment]
Your version of Excel allows you to read this threaded comment; however, any edits to it will get removed if the file is opened in a newer version of Excel. Learn more: https://go.microsoft.com/fwlink/?linkid=870924
Comment:
    Double counting!</t>
      </text>
    </comment>
    <comment ref="W12" authorId="11" shapeId="0" xr:uid="{18421C60-F233-4B5B-94CA-8D302B7DF8A5}">
      <text>
        <t>[Threaded comment]
Your version of Excel allows you to read this threaded comment; however, any edits to it will get removed if the file is opened in a newer version of Excel. Learn more: https://go.microsoft.com/fwlink/?linkid=870924
Comment:
    Double counting!</t>
      </text>
    </comment>
    <comment ref="X12" authorId="12" shapeId="0" xr:uid="{552E43AE-A6A5-45A4-87D4-609136C51F89}">
      <text>
        <t>[Threaded comment]
Your version of Excel allows you to read this threaded comment; however, any edits to it will get removed if the file is opened in a newer version of Excel. Learn more: https://go.microsoft.com/fwlink/?linkid=870924
Comment:
    Double counting!</t>
      </text>
    </comment>
    <comment ref="Y12" authorId="13" shapeId="0" xr:uid="{1085FE47-D2B5-4C88-9465-9091412DE0CA}">
      <text>
        <t>[Threaded comment]
Your version of Excel allows you to read this threaded comment; however, any edits to it will get removed if the file is opened in a newer version of Excel. Learn more: https://go.microsoft.com/fwlink/?linkid=870924
Comment:
    Double counting!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tc={83947C90-93F4-4502-B943-73F3769B7E2A}</author>
  </authors>
  <commentList>
    <comment ref="R20" authorId="0" shapeId="0" xr:uid="{83947C90-93F4-4502-B943-73F3769B7E2A}">
      <text>
        <t>[Threaded comment]
Your version of Excel allows you to read this threaded comment; however, any edits to it will get removed if the file is opened in a newer version of Excel. Learn more: https://go.microsoft.com/fwlink/?linkid=870924
Comment:
    Assumption that over 100 years, all building elements/machines etc. are exchanged once.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tc={C4040ECB-3263-4435-8AE9-53050AA4A9A7}</author>
    <author>tc={18A2AB37-1981-438A-B994-75BF30EC6A99}</author>
  </authors>
  <commentList>
    <comment ref="B16" authorId="0" shapeId="0" xr:uid="{C4040ECB-3263-4435-8AE9-53050AA4A9A7}">
      <text>
        <t>[Threaded comment]
Your version of Excel allows you to read this threaded comment; however, any edits to it will get removed if the file is opened in a newer version of Excel. Learn more: https://go.microsoft.com/fwlink/?linkid=870924
Comment:
    E-mail Mahmoud, file "Drilling-ROP_TK_20241107_ETH_DA-MH.xlsx", sheet "CO2 mass"</t>
      </text>
    </comment>
    <comment ref="B32" authorId="1" shapeId="0" xr:uid="{18A2AB37-1981-438A-B994-75BF30EC6A99}">
      <text>
        <t>[Threaded comment]
Your version of Excel allows you to read this threaded comment; however, any edits to it will get removed if the file is opened in a newer version of Excel. Learn more: https://go.microsoft.com/fwlink/?linkid=870924
Comment:
    E-mail Mahmoud, file "Drilling-ROP_TK_20241107_ETH_DA-MH.xlsx", sheet "CO2 mass"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tc={62058722-25FF-42DB-9680-C2B75C794AC4}</author>
  </authors>
  <commentList>
    <comment ref="B12" authorId="0" shapeId="0" xr:uid="{62058722-25FF-42DB-9680-C2B75C794AC4}">
      <text>
        <t>[Threaded comment]
Your version of Excel allows you to read this threaded comment; however, any edits to it will get removed if the file is opened in a newer version of Excel. Learn more: https://go.microsoft.com/fwlink/?linkid=870924
Comment:
    MD = measured depth</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tc={0D7A2D62-190E-4791-B034-BC06EF293EC0}</author>
    <author>tc={7941876C-1F57-4470-BFA5-C36AB388DBA5}</author>
    <author>tc={DDE66BE3-936B-4D4C-9DA3-17E8DFA80974}</author>
    <author>tc={BCBF57D5-B700-407B-AD6D-E2FD29F11D75}</author>
  </authors>
  <commentList>
    <comment ref="T38" authorId="0" shapeId="0" xr:uid="{0D7A2D62-190E-4791-B034-BC06EF293EC0}">
      <text>
        <t xml:space="preserve">[Threaded comment]
Your version of Excel allows you to read this threaded comment; however, any edits to it will get removed if the file is opened in a newer version of Excel. Learn more: https://go.microsoft.com/fwlink/?linkid=870924
Comment:
    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
      </text>
    </comment>
    <comment ref="AH38" authorId="1" shapeId="0" xr:uid="{7941876C-1F57-4470-BFA5-C36AB388DBA5}">
      <text>
        <t>[Threaded comment]
Your version of Excel allows you to read this threaded comment; however, any edits to it will get removed if the file is opened in a newer version of Excel. Learn more: https://go.microsoft.com/fwlink/?linkid=870924
Comment:
    Received from Claude</t>
      </text>
    </comment>
    <comment ref="AG44" authorId="2" shapeId="0" xr:uid="{DDE66BE3-936B-4D4C-9DA3-17E8DFA80974}">
      <text>
        <t>[Threaded comment]
Your version of Excel allows you to read this threaded comment; however, any edits to it will get removed if the file is opened in a newer version of Excel. Learn more: https://go.microsoft.com/fwlink/?linkid=870924
Comment:
    Communication Dirk</t>
      </text>
    </comment>
    <comment ref="AD49" authorId="3" shapeId="0" xr:uid="{BCBF57D5-B700-407B-AD6D-E2FD29F11D75}">
      <text>
        <t>[Threaded comment]
Your version of Excel allows you to read this threaded comment; however, any edits to it will get removed if the file is opened in a newer version of Excel. Learn more: https://go.microsoft.com/fwlink/?linkid=870924
Comment:
    TWh/plant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tc={37BBE7DA-248B-44D5-B906-121AB8336309}</author>
    <author>tc={30E3E1D8-142C-4AFA-852A-F6F1367273B4}</author>
  </authors>
  <commentList>
    <comment ref="T38" authorId="0" shapeId="0" xr:uid="{37BBE7DA-248B-44D5-B906-121AB8336309}">
      <text>
        <t xml:space="preserve">[Threaded comment]
Your version of Excel allows you to read this threaded comment; however, any edits to it will get removed if the file is opened in a newer version of Excel. Learn more: https://go.microsoft.com/fwlink/?linkid=870924
Comment:
    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
      </text>
    </comment>
    <comment ref="AH38" authorId="1" shapeId="0" xr:uid="{30E3E1D8-142C-4AFA-852A-F6F1367273B4}">
      <text>
        <t>[Threaded comment]
Your version of Excel allows you to read this threaded comment; however, any edits to it will get removed if the file is opened in a newer version of Excel. Learn more: https://go.microsoft.com/fwlink/?linkid=870924
Comment:
    Received from Claude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tc={6305D09B-5384-46BA-98C3-CC183F7B184A}</author>
    <author>tc={1145F949-3874-4EEF-A524-17EA40F863A4}</author>
  </authors>
  <commentList>
    <comment ref="T38" authorId="0" shapeId="0" xr:uid="{6305D09B-5384-46BA-98C3-CC183F7B184A}">
      <text>
        <t xml:space="preserve">[Threaded comment]
Your version of Excel allows you to read this threaded comment; however, any edits to it will get removed if the file is opened in a newer version of Excel. Learn more: https://go.microsoft.com/fwlink/?linkid=870924
Comment:
    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
      </text>
    </comment>
    <comment ref="AH38" authorId="1" shapeId="0" xr:uid="{1145F949-3874-4EEF-A524-17EA40F863A4}">
      <text>
        <t>[Threaded comment]
Your version of Excel allows you to read this threaded comment; however, any edits to it will get removed if the file is opened in a newer version of Excel. Learn more: https://go.microsoft.com/fwlink/?linkid=870924
Comment:
    Received from Claude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tc={64D8A454-7411-4593-BC2E-3FF4524A7D93}</author>
    <author>tc={69B78E9C-D567-4BF9-90F0-1F9C6F42B18C}</author>
    <author>tc={43FBA86A-8226-448D-9F8B-FA48D0E31CB5}</author>
  </authors>
  <commentList>
    <comment ref="I2" authorId="0" shapeId="0" xr:uid="{64D8A454-7411-4593-BC2E-3FF4524A7D93}">
      <text>
        <t>[Threaded comment]
Your version of Excel allows you to read this threaded comment; however, any edits to it will get removed if the file is opened in a newer version of Excel. Learn more: https://go.microsoft.com/fwlink/?linkid=870924
Comment:
    Is it correct that we don't go below 6.00 km, i.e. everything below is not relevant?
What is the meaning of negative numbers?
What happens in cases where the sum of the two is &gt;6km, e.g. line 63?</t>
      </text>
    </comment>
    <comment ref="A22" authorId="1" shapeId="0" xr:uid="{69B78E9C-D567-4BF9-90F0-1F9C6F42B18C}">
      <text>
        <t>[Threaded comment]
Your version of Excel allows you to read this threaded comment; however, any edits to it will get removed if the file is opened in a newer version of Excel. Learn more: https://go.microsoft.com/fwlink/?linkid=870924
Comment:
    Was 1</t>
      </text>
    </comment>
    <comment ref="A37" authorId="2" shapeId="0" xr:uid="{43FBA86A-8226-448D-9F8B-FA48D0E31CB5}">
      <text>
        <t>[Threaded comment]
Your version of Excel allows you to read this threaded comment; however, any edits to it will get removed if the file is opened in a newer version of Excel. Learn more: https://go.microsoft.com/fwlink/?linkid=870924
Comment:
    Was 2</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tc={7232941A-0107-4ACE-A90A-43D5C388F26A}</author>
    <author>tc={42A6EBD5-A1BD-4F9A-A095-14E847FB0DD7}</author>
    <author>tc={5B9FA2CC-E149-42DE-B445-5F6BB24D4D20}</author>
  </authors>
  <commentList>
    <comment ref="I1" authorId="0" shapeId="0" xr:uid="{7232941A-0107-4ACE-A90A-43D5C388F26A}">
      <text>
        <t>[Threaded comment]
Your version of Excel allows you to read this threaded comment; however, any edits to it will get removed if the file is opened in a newer version of Excel. Learn more: https://go.microsoft.com/fwlink/?linkid=870924
Comment:
    1 AGS = 1 well, correct?, so e.g. row 4 would drill 101 wells with a depth of 8 km and lenght of 8 + x*7km loops each, with a distance of 100 m each?</t>
      </text>
    </comment>
    <comment ref="K1" authorId="1" shapeId="0" xr:uid="{42A6EBD5-A1BD-4F9A-A095-14E847FB0DD7}">
      <text>
        <t>[Threaded comment]
Your version of Excel allows you to read this threaded comment; however, any edits to it will get removed if the file is opened in a newer version of Excel. Learn more: https://go.microsoft.com/fwlink/?linkid=870924
Comment:
    Does this determine the number of AGS? But why heat, and not electricity?</t>
      </text>
    </comment>
    <comment ref="O1" authorId="2" shapeId="0" xr:uid="{5B9FA2CC-E149-42DE-B445-5F6BB24D4D20}">
      <text>
        <t>[Threaded comment]
Your version of Excel allows you to read this threaded comment; however, any edits to it will get removed if the file is opened in a newer version of Excel. Learn more: https://go.microsoft.com/fwlink/?linkid=870924
Comment:
    Should this be a sensitivity analysis or do we know what to expect?</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imports" type="6" refreshedVersion="6" background="1" saveData="1">
    <textPr codePage="437" sourceFile="M:\3_Personal_Folders\Students and guest scientists\2024\Bettina Eberle\literature\Carbon capture\Transport\CCTS\imports.txt" delimited="0" thousands="’">
      <textFields count="4">
        <textField/>
        <textField position="78"/>
        <textField position="86"/>
        <textField position="90"/>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<sst xmlns="http://schemas.openxmlformats.org/spreadsheetml/2006/main" count="18394" uniqueCount="2362">
  <si>
    <t>rotary</t>
  </si>
  <si>
    <t>PPGD</t>
  </si>
  <si>
    <t>start</t>
  </si>
  <si>
    <t>end</t>
  </si>
  <si>
    <t>Duration rotary</t>
  </si>
  <si>
    <t>Duration PPGD 100%</t>
  </si>
  <si>
    <t>MD, m</t>
  </si>
  <si>
    <t>days</t>
  </si>
  <si>
    <t>hours</t>
  </si>
  <si>
    <t>Section 1</t>
  </si>
  <si>
    <t>Section 2</t>
  </si>
  <si>
    <t>Section 3</t>
  </si>
  <si>
    <t>Section 4</t>
  </si>
  <si>
    <t>section 5</t>
  </si>
  <si>
    <t>SUBTOTAL I</t>
  </si>
  <si>
    <t>SUBTOTAL II</t>
  </si>
  <si>
    <t>SUBTOTAL III</t>
  </si>
  <si>
    <t>TOTAL</t>
  </si>
  <si>
    <t>Construction - drilling</t>
  </si>
  <si>
    <r>
      <t>·</t>
    </r>
    <r>
      <rPr>
        <sz val="7"/>
        <color theme="1"/>
        <rFont val="Times New Roman"/>
        <family val="1"/>
      </rPr>
      <t xml:space="preserve">         </t>
    </r>
    <r>
      <rPr>
        <sz val="12"/>
        <color theme="1"/>
        <rFont val="Aptos"/>
        <family val="2"/>
      </rPr>
      <t>Early step out built.</t>
    </r>
  </si>
  <si>
    <r>
      <t>·</t>
    </r>
    <r>
      <rPr>
        <sz val="7"/>
        <color theme="1"/>
        <rFont val="Times New Roman"/>
        <family val="1"/>
      </rPr>
      <t xml:space="preserve">         </t>
    </r>
    <r>
      <rPr>
        <sz val="12"/>
        <color theme="1"/>
        <rFont val="Aptos"/>
        <family val="2"/>
      </rPr>
      <t>20 inch surface conductor while  9-5/8 inch inner loop section (See table below)</t>
    </r>
  </si>
  <si>
    <r>
      <t>·</t>
    </r>
    <r>
      <rPr>
        <sz val="7"/>
        <color theme="1"/>
        <rFont val="Times New Roman"/>
        <family val="1"/>
      </rPr>
      <t xml:space="preserve">         </t>
    </r>
    <r>
      <rPr>
        <sz val="12"/>
        <color theme="1"/>
        <rFont val="Aptos"/>
        <family val="2"/>
      </rPr>
      <t>Multi-lateral well, multi-lateral completion</t>
    </r>
  </si>
  <si>
    <r>
      <t>·</t>
    </r>
    <r>
      <rPr>
        <sz val="7"/>
        <color theme="1"/>
        <rFont val="Times New Roman"/>
        <family val="1"/>
      </rPr>
      <t xml:space="preserve">         </t>
    </r>
    <r>
      <rPr>
        <sz val="12"/>
        <color theme="1"/>
        <rFont val="Aptos"/>
        <family val="2"/>
      </rPr>
      <t>Long built section due to limited dog leg severity (2°/100ft)</t>
    </r>
  </si>
  <si>
    <r>
      <t>·</t>
    </r>
    <r>
      <rPr>
        <sz val="7"/>
        <color theme="1"/>
        <rFont val="Times New Roman"/>
        <family val="1"/>
      </rPr>
      <t xml:space="preserve">         </t>
    </r>
    <r>
      <rPr>
        <sz val="12"/>
        <color theme="1"/>
        <rFont val="Aptos"/>
        <family val="2"/>
      </rPr>
      <t>Two half loops are constructed and connected.</t>
    </r>
  </si>
  <si>
    <r>
      <t>·</t>
    </r>
    <r>
      <rPr>
        <sz val="7"/>
        <color theme="1"/>
        <rFont val="Times New Roman"/>
        <family val="1"/>
      </rPr>
      <t xml:space="preserve">         </t>
    </r>
    <r>
      <rPr>
        <sz val="12"/>
        <color theme="1"/>
        <rFont val="Aptos"/>
        <family val="2"/>
      </rPr>
      <t>Minimum loop length ~3.5km from each vertical well (e.g., 7 km total length/single stream)</t>
    </r>
  </si>
  <si>
    <t>Section</t>
  </si>
  <si>
    <t>Hole Size (inches)</t>
  </si>
  <si>
    <t>Casing Diameter (inches)</t>
  </si>
  <si>
    <t>Approximate Depth (meters)</t>
  </si>
  <si>
    <t>Surface Conductor</t>
  </si>
  <si>
    <t>24 - 36</t>
  </si>
  <si>
    <t>20 - 30</t>
  </si>
  <si>
    <t>Surface Casing</t>
  </si>
  <si>
    <t>17 1/2 - 26</t>
  </si>
  <si>
    <t>13 3/8 - 18 5/8</t>
  </si>
  <si>
    <t>Intermediate Casing</t>
  </si>
  <si>
    <t>12 1/4 - 17 1/2</t>
  </si>
  <si>
    <t>9 5/8 - 13 3/8</t>
  </si>
  <si>
    <t>Production Casing</t>
  </si>
  <si>
    <t>8 1/2 - 12 1/4</t>
  </si>
  <si>
    <t>Horizontal Section</t>
  </si>
  <si>
    <t>6 1/2 - 8 1/2</t>
  </si>
  <si>
    <t xml:space="preserve"> (Open Hole or Liner)</t>
  </si>
  <si>
    <t>7,000 (lateral length)</t>
  </si>
  <si>
    <t>The transition from a vertical to a horizontal well, particularly in deep geothermal or oil and gas drilling, is a critical phase that requires careful planning and execution. This transition is typically managed by gradually building the angle of the wellbore using a method known as "directional drilling" with the following four steps:</t>
  </si>
  <si>
    <r>
      <t>1.</t>
    </r>
    <r>
      <rPr>
        <sz val="7"/>
        <color theme="1"/>
        <rFont val="Times New Roman"/>
        <family val="1"/>
      </rPr>
      <t xml:space="preserve">      </t>
    </r>
    <r>
      <rPr>
        <sz val="12"/>
        <color theme="1"/>
        <rFont val="Aptos"/>
        <family val="2"/>
      </rPr>
      <t>Kickoff Point (KOP)</t>
    </r>
  </si>
  <si>
    <r>
      <t>2.</t>
    </r>
    <r>
      <rPr>
        <sz val="7"/>
        <color theme="1"/>
        <rFont val="Times New Roman"/>
        <family val="1"/>
      </rPr>
      <t xml:space="preserve">      </t>
    </r>
    <r>
      <rPr>
        <sz val="12"/>
        <color theme="1"/>
        <rFont val="Aptos"/>
        <family val="2"/>
      </rPr>
      <t>Build Section</t>
    </r>
  </si>
  <si>
    <r>
      <t>3.</t>
    </r>
    <r>
      <rPr>
        <sz val="7"/>
        <color theme="1"/>
        <rFont val="Times New Roman"/>
        <family val="1"/>
      </rPr>
      <t xml:space="preserve">      </t>
    </r>
    <r>
      <rPr>
        <sz val="12"/>
        <color theme="1"/>
        <rFont val="Aptos"/>
        <family val="2"/>
      </rPr>
      <t>Landing Point</t>
    </r>
  </si>
  <si>
    <r>
      <t>4.</t>
    </r>
    <r>
      <rPr>
        <sz val="7"/>
        <color theme="1"/>
        <rFont val="Times New Roman"/>
        <family val="1"/>
      </rPr>
      <t xml:space="preserve">      </t>
    </r>
    <r>
      <rPr>
        <sz val="12"/>
        <color theme="1"/>
        <rFont val="Aptos"/>
        <family val="2"/>
      </rPr>
      <t>Horizontal Section</t>
    </r>
  </si>
  <si>
    <t>EXAMPLE</t>
  </si>
  <si>
    <r>
      <t>·</t>
    </r>
    <r>
      <rPr>
        <sz val="7"/>
        <color theme="1"/>
        <rFont val="Times New Roman"/>
        <family val="1"/>
      </rPr>
      <t xml:space="preserve">         </t>
    </r>
    <r>
      <rPr>
        <sz val="12"/>
        <color theme="1"/>
        <rFont val="Aptos"/>
        <family val="2"/>
      </rPr>
      <t>Build Rate: A typical build rate might be 3 degrees per 30 meters.</t>
    </r>
  </si>
  <si>
    <r>
      <t>·</t>
    </r>
    <r>
      <rPr>
        <sz val="7"/>
        <color theme="1"/>
        <rFont val="Times New Roman"/>
        <family val="1"/>
      </rPr>
      <t xml:space="preserve">         </t>
    </r>
    <r>
      <rPr>
        <sz val="12"/>
        <color theme="1"/>
        <rFont val="Aptos"/>
        <family val="2"/>
      </rPr>
      <t>Landing Point: If you’re transitioning to a full 90-degree horizontal section, and you need to build 90 degrees, this would occur over approximately 900 meters of drilling (assuming a 3-degree build rate per 30 meters).</t>
    </r>
  </si>
  <si>
    <r>
      <t>·</t>
    </r>
    <r>
      <rPr>
        <sz val="7"/>
        <color theme="1"/>
        <rFont val="Times New Roman"/>
        <family val="1"/>
      </rPr>
      <t xml:space="preserve">         </t>
    </r>
    <r>
      <rPr>
        <sz val="12"/>
        <color theme="1"/>
        <rFont val="Aptos"/>
        <family val="2"/>
      </rPr>
      <t>Horizontal Drilling: After reaching the desired angle, the well is drilled horizontally for the planned lateral length (7 km in your case).</t>
    </r>
  </si>
  <si>
    <r>
      <t>·</t>
    </r>
    <r>
      <rPr>
        <sz val="7"/>
        <color theme="1"/>
        <rFont val="Times New Roman"/>
        <family val="1"/>
      </rPr>
      <t xml:space="preserve">         </t>
    </r>
    <r>
      <rPr>
        <sz val="12"/>
        <color theme="1"/>
        <rFont val="Aptos"/>
        <family val="2"/>
      </rPr>
      <t xml:space="preserve">Minimum distance of well: </t>
    </r>
  </si>
  <si>
    <t>m</t>
  </si>
  <si>
    <t>skip</t>
  </si>
  <si>
    <t>PPGD rig: Two types are suggested</t>
  </si>
  <si>
    <r>
      <t>A.</t>
    </r>
    <r>
      <rPr>
        <sz val="7"/>
        <color theme="1"/>
        <rFont val="Times New Roman"/>
        <family val="1"/>
      </rPr>
      <t xml:space="preserve">      </t>
    </r>
    <r>
      <rPr>
        <sz val="10.5"/>
        <color theme="1"/>
        <rFont val="Calibri"/>
        <family val="2"/>
        <scheme val="minor"/>
      </rPr>
      <t xml:space="preserve">Technological scheme of the </t>
    </r>
    <r>
      <rPr>
        <b/>
        <u/>
        <sz val="10.5"/>
        <color theme="1"/>
        <rFont val="Calibri"/>
        <family val="2"/>
        <scheme val="minor"/>
      </rPr>
      <t>Mobile</t>
    </r>
    <r>
      <rPr>
        <sz val="10.5"/>
        <color theme="1"/>
        <rFont val="Calibri"/>
        <family val="2"/>
        <scheme val="minor"/>
      </rPr>
      <t xml:space="preserve"> PPGD  rig with reverse circulation of the flushing out liquid by pumping comprising: </t>
    </r>
  </si>
  <si>
    <r>
      <t>-</t>
    </r>
    <r>
      <rPr>
        <sz val="7"/>
        <color theme="1"/>
        <rFont val="Times New Roman"/>
        <family val="1"/>
      </rPr>
      <t xml:space="preserve">          </t>
    </r>
    <r>
      <rPr>
        <sz val="10.5"/>
        <color theme="1"/>
        <rFont val="Calibri"/>
        <family val="2"/>
        <scheme val="minor"/>
      </rPr>
      <t xml:space="preserve">high-voltage charger 1, </t>
    </r>
  </si>
  <si>
    <r>
      <t>-</t>
    </r>
    <r>
      <rPr>
        <sz val="7"/>
        <color theme="1"/>
        <rFont val="Times New Roman"/>
        <family val="1"/>
      </rPr>
      <t xml:space="preserve">          </t>
    </r>
    <r>
      <rPr>
        <sz val="10.5"/>
        <color theme="1"/>
        <rFont val="Calibri"/>
        <family val="2"/>
        <scheme val="minor"/>
      </rPr>
      <t xml:space="preserve">the impulse voltage generators (IVG) 2, </t>
    </r>
  </si>
  <si>
    <r>
      <t>-</t>
    </r>
    <r>
      <rPr>
        <sz val="7"/>
        <color theme="1"/>
        <rFont val="Times New Roman"/>
        <family val="1"/>
      </rPr>
      <t xml:space="preserve">          </t>
    </r>
    <r>
      <rPr>
        <sz val="10.5"/>
        <color theme="1"/>
        <rFont val="Calibri"/>
        <family val="2"/>
        <scheme val="minor"/>
      </rPr>
      <t xml:space="preserve">flushing device 3, </t>
    </r>
  </si>
  <si>
    <r>
      <t>-</t>
    </r>
    <r>
      <rPr>
        <sz val="7"/>
        <color theme="1"/>
        <rFont val="Times New Roman"/>
        <family val="1"/>
      </rPr>
      <t xml:space="preserve">          </t>
    </r>
    <r>
      <rPr>
        <sz val="10.5"/>
        <color theme="1"/>
        <rFont val="Calibri"/>
        <family val="2"/>
        <scheme val="minor"/>
      </rPr>
      <t xml:space="preserve">portable control panel 4, </t>
    </r>
  </si>
  <si>
    <r>
      <t>-</t>
    </r>
    <r>
      <rPr>
        <sz val="7"/>
        <color theme="1"/>
        <rFont val="Times New Roman"/>
        <family val="1"/>
      </rPr>
      <t xml:space="preserve">          </t>
    </r>
    <r>
      <rPr>
        <sz val="10.5"/>
        <color theme="1"/>
        <rFont val="Calibri"/>
        <family val="2"/>
        <scheme val="minor"/>
      </rPr>
      <t xml:space="preserve">mast 5, </t>
    </r>
  </si>
  <si>
    <r>
      <t>-</t>
    </r>
    <r>
      <rPr>
        <sz val="7"/>
        <color theme="1"/>
        <rFont val="Times New Roman"/>
        <family val="1"/>
      </rPr>
      <t xml:space="preserve">          </t>
    </r>
    <r>
      <rPr>
        <sz val="10.5"/>
        <color theme="1"/>
        <rFont val="Calibri"/>
        <family val="2"/>
        <scheme val="minor"/>
      </rPr>
      <t xml:space="preserve">high-voltage input 6, </t>
    </r>
  </si>
  <si>
    <r>
      <t>-</t>
    </r>
    <r>
      <rPr>
        <sz val="7"/>
        <color theme="1"/>
        <rFont val="Times New Roman"/>
        <family val="1"/>
      </rPr>
      <t xml:space="preserve">          </t>
    </r>
    <r>
      <rPr>
        <sz val="10.5"/>
        <color theme="1"/>
        <rFont val="Calibri"/>
        <family val="2"/>
        <scheme val="minor"/>
      </rPr>
      <t>high-voltage current collector 7,</t>
    </r>
  </si>
  <si>
    <r>
      <t>-</t>
    </r>
    <r>
      <rPr>
        <sz val="7"/>
        <color theme="1"/>
        <rFont val="Times New Roman"/>
        <family val="1"/>
      </rPr>
      <t xml:space="preserve">          </t>
    </r>
    <r>
      <rPr>
        <sz val="10.5"/>
        <color theme="1"/>
        <rFont val="Calibri"/>
        <family val="2"/>
        <scheme val="minor"/>
      </rPr>
      <t xml:space="preserve">PPGD rig 8, </t>
    </r>
  </si>
  <si>
    <r>
      <t>-</t>
    </r>
    <r>
      <rPr>
        <sz val="7"/>
        <color theme="1"/>
        <rFont val="Times New Roman"/>
        <family val="1"/>
      </rPr>
      <t xml:space="preserve">          </t>
    </r>
    <r>
      <rPr>
        <sz val="10.5"/>
        <color theme="1"/>
        <rFont val="Calibri"/>
        <family val="2"/>
        <scheme val="minor"/>
      </rPr>
      <t xml:space="preserve">high-voltage electrical wire 9, </t>
    </r>
  </si>
  <si>
    <r>
      <t>-</t>
    </r>
    <r>
      <rPr>
        <sz val="7"/>
        <color theme="1"/>
        <rFont val="Times New Roman"/>
        <family val="1"/>
      </rPr>
      <t xml:space="preserve">          </t>
    </r>
    <r>
      <rPr>
        <sz val="10.5"/>
        <color theme="1"/>
        <rFont val="Calibri"/>
        <family val="2"/>
        <scheme val="minor"/>
      </rPr>
      <t xml:space="preserve">drill head 10, </t>
    </r>
  </si>
  <si>
    <r>
      <t>-</t>
    </r>
    <r>
      <rPr>
        <sz val="7"/>
        <color theme="1"/>
        <rFont val="Times New Roman"/>
        <family val="1"/>
      </rPr>
      <t xml:space="preserve">          </t>
    </r>
    <r>
      <rPr>
        <sz val="10.5"/>
        <color theme="1"/>
        <rFont val="Calibri"/>
        <family val="2"/>
        <scheme val="minor"/>
      </rPr>
      <t xml:space="preserve">insulators 11, and </t>
    </r>
  </si>
  <si>
    <r>
      <t>-</t>
    </r>
    <r>
      <rPr>
        <sz val="7"/>
        <color theme="1"/>
        <rFont val="Times New Roman"/>
        <family val="1"/>
      </rPr>
      <t xml:space="preserve">          </t>
    </r>
    <r>
      <rPr>
        <sz val="10.5"/>
        <color theme="1"/>
        <rFont val="Calibri"/>
        <family val="2"/>
        <scheme val="minor"/>
      </rPr>
      <t>preventer 12</t>
    </r>
  </si>
  <si>
    <r>
      <t>-</t>
    </r>
    <r>
      <rPr>
        <sz val="7"/>
        <color theme="1"/>
        <rFont val="Times New Roman"/>
        <family val="1"/>
      </rPr>
      <t xml:space="preserve">          </t>
    </r>
    <r>
      <rPr>
        <sz val="10.5"/>
        <color theme="1"/>
        <rFont val="Calibri"/>
        <family val="2"/>
        <scheme val="minor"/>
      </rPr>
      <t xml:space="preserve">regulating transformer 1, </t>
    </r>
  </si>
  <si>
    <r>
      <t>-</t>
    </r>
    <r>
      <rPr>
        <sz val="7"/>
        <color theme="1"/>
        <rFont val="Times New Roman"/>
        <family val="1"/>
      </rPr>
      <t xml:space="preserve">          </t>
    </r>
    <r>
      <rPr>
        <sz val="10.5"/>
        <color theme="1"/>
        <rFont val="Calibri"/>
        <family val="2"/>
        <scheme val="minor"/>
      </rPr>
      <t xml:space="preserve">transformer-rectifier bridge 2, </t>
    </r>
  </si>
  <si>
    <r>
      <t>-</t>
    </r>
    <r>
      <rPr>
        <sz val="7"/>
        <color theme="1"/>
        <rFont val="Times New Roman"/>
        <family val="1"/>
      </rPr>
      <t xml:space="preserve">          </t>
    </r>
    <r>
      <rPr>
        <sz val="10.5"/>
        <color theme="1"/>
        <rFont val="Calibri"/>
        <family val="2"/>
        <scheme val="minor"/>
      </rPr>
      <t xml:space="preserve">throttle 3, </t>
    </r>
  </si>
  <si>
    <r>
      <t>-</t>
    </r>
    <r>
      <rPr>
        <sz val="7"/>
        <color theme="1"/>
        <rFont val="Times New Roman"/>
        <family val="1"/>
      </rPr>
      <t xml:space="preserve">          </t>
    </r>
    <r>
      <rPr>
        <sz val="10.5"/>
        <color theme="1"/>
        <rFont val="Calibri"/>
        <family val="2"/>
        <scheme val="minor"/>
      </rPr>
      <t xml:space="preserve">the impulse voltage generators (IVG) 4, </t>
    </r>
  </si>
  <si>
    <r>
      <t>-</t>
    </r>
    <r>
      <rPr>
        <sz val="7"/>
        <color theme="1"/>
        <rFont val="Times New Roman"/>
        <family val="1"/>
      </rPr>
      <t xml:space="preserve">          </t>
    </r>
    <r>
      <rPr>
        <sz val="10.5"/>
        <color theme="1"/>
        <rFont val="Calibri"/>
        <family val="2"/>
        <scheme val="minor"/>
      </rPr>
      <t xml:space="preserve">drilling column 5, </t>
    </r>
  </si>
  <si>
    <r>
      <t>-</t>
    </r>
    <r>
      <rPr>
        <sz val="7"/>
        <color theme="1"/>
        <rFont val="Times New Roman"/>
        <family val="1"/>
      </rPr>
      <t xml:space="preserve">          </t>
    </r>
    <r>
      <rPr>
        <sz val="10.5"/>
        <color theme="1"/>
        <rFont val="Calibri"/>
        <family val="2"/>
        <scheme val="minor"/>
      </rPr>
      <t xml:space="preserve">drilling column 6, </t>
    </r>
  </si>
  <si>
    <r>
      <t>-</t>
    </r>
    <r>
      <rPr>
        <sz val="7"/>
        <color theme="1"/>
        <rFont val="Times New Roman"/>
        <family val="1"/>
      </rPr>
      <t xml:space="preserve">          </t>
    </r>
    <r>
      <rPr>
        <sz val="10.5"/>
        <color theme="1"/>
        <rFont val="Calibri"/>
        <family val="2"/>
        <scheme val="minor"/>
      </rPr>
      <t xml:space="preserve">sump 7, </t>
    </r>
  </si>
  <si>
    <r>
      <t>-</t>
    </r>
    <r>
      <rPr>
        <sz val="7"/>
        <color theme="1"/>
        <rFont val="Times New Roman"/>
        <family val="1"/>
      </rPr>
      <t xml:space="preserve">          </t>
    </r>
    <r>
      <rPr>
        <sz val="10.5"/>
        <color theme="1"/>
        <rFont val="Calibri"/>
        <family val="2"/>
        <scheme val="minor"/>
      </rPr>
      <t xml:space="preserve">drill cutting tank 8, </t>
    </r>
  </si>
  <si>
    <r>
      <t>-</t>
    </r>
    <r>
      <rPr>
        <sz val="7"/>
        <color theme="1"/>
        <rFont val="Times New Roman"/>
        <family val="1"/>
      </rPr>
      <t xml:space="preserve">          </t>
    </r>
    <r>
      <rPr>
        <sz val="10.5"/>
        <color theme="1"/>
        <rFont val="Calibri"/>
        <family val="2"/>
        <scheme val="minor"/>
      </rPr>
      <t xml:space="preserve">flushing pump 9, </t>
    </r>
  </si>
  <si>
    <r>
      <t>-</t>
    </r>
    <r>
      <rPr>
        <sz val="7"/>
        <color theme="1"/>
        <rFont val="Times New Roman"/>
        <family val="1"/>
      </rPr>
      <t xml:space="preserve">          </t>
    </r>
    <r>
      <rPr>
        <sz val="10.5"/>
        <color theme="1"/>
        <rFont val="Calibri"/>
        <family val="2"/>
        <scheme val="minor"/>
      </rPr>
      <t xml:space="preserve">valve 10, </t>
    </r>
  </si>
  <si>
    <r>
      <t>-</t>
    </r>
    <r>
      <rPr>
        <sz val="7"/>
        <color theme="1"/>
        <rFont val="Times New Roman"/>
        <family val="1"/>
      </rPr>
      <t xml:space="preserve">          </t>
    </r>
    <r>
      <rPr>
        <sz val="10.5"/>
        <color theme="1"/>
        <rFont val="Calibri"/>
        <family val="2"/>
        <scheme val="minor"/>
      </rPr>
      <t xml:space="preserve">flushing liquid flowmeter 11, </t>
    </r>
  </si>
  <si>
    <r>
      <t>-</t>
    </r>
    <r>
      <rPr>
        <sz val="7"/>
        <color theme="1"/>
        <rFont val="Times New Roman"/>
        <family val="1"/>
      </rPr>
      <t xml:space="preserve">          </t>
    </r>
    <r>
      <rPr>
        <sz val="10.5"/>
        <color theme="1"/>
        <rFont val="Calibri"/>
        <family val="2"/>
        <scheme val="minor"/>
      </rPr>
      <t xml:space="preserve">manometer 12, </t>
    </r>
  </si>
  <si>
    <r>
      <t>-</t>
    </r>
    <r>
      <rPr>
        <sz val="7"/>
        <color theme="1"/>
        <rFont val="Times New Roman"/>
        <family val="1"/>
      </rPr>
      <t xml:space="preserve">          </t>
    </r>
    <r>
      <rPr>
        <sz val="10.5"/>
        <color theme="1"/>
        <rFont val="Calibri"/>
        <family val="2"/>
        <scheme val="minor"/>
      </rPr>
      <t xml:space="preserve">device for pulling rig 13, </t>
    </r>
  </si>
  <si>
    <r>
      <t>-</t>
    </r>
    <r>
      <rPr>
        <sz val="7"/>
        <color theme="1"/>
        <rFont val="Times New Roman"/>
        <family val="1"/>
      </rPr>
      <t xml:space="preserve">          </t>
    </r>
    <r>
      <rPr>
        <sz val="10.5"/>
        <color theme="1"/>
        <rFont val="Calibri"/>
        <family val="2"/>
        <scheme val="minor"/>
      </rPr>
      <t xml:space="preserve">high-voltage trolley 14, </t>
    </r>
  </si>
  <si>
    <r>
      <t>-</t>
    </r>
    <r>
      <rPr>
        <sz val="7"/>
        <color theme="1"/>
        <rFont val="Times New Roman"/>
        <family val="1"/>
      </rPr>
      <t xml:space="preserve">          </t>
    </r>
    <r>
      <rPr>
        <sz val="10.5"/>
        <color theme="1"/>
        <rFont val="Calibri"/>
        <family val="2"/>
        <scheme val="minor"/>
      </rPr>
      <t xml:space="preserve">voltage divider 15, and </t>
    </r>
  </si>
  <si>
    <r>
      <t>-</t>
    </r>
    <r>
      <rPr>
        <sz val="7"/>
        <color theme="1"/>
        <rFont val="Times New Roman"/>
        <family val="1"/>
      </rPr>
      <t xml:space="preserve">          </t>
    </r>
    <r>
      <rPr>
        <sz val="10.5"/>
        <color theme="1"/>
        <rFont val="Calibri"/>
        <family val="2"/>
        <scheme val="minor"/>
      </rPr>
      <t>kilovoltmeter 16</t>
    </r>
  </si>
  <si>
    <r>
      <t>B.</t>
    </r>
    <r>
      <rPr>
        <sz val="7"/>
        <color theme="1"/>
        <rFont val="Times New Roman"/>
        <family val="1"/>
      </rPr>
      <t xml:space="preserve">      </t>
    </r>
    <r>
      <rPr>
        <sz val="10.5"/>
        <color theme="1"/>
        <rFont val="Calibri"/>
        <family val="2"/>
        <scheme val="minor"/>
      </rPr>
      <t xml:space="preserve">Technological scheme of the </t>
    </r>
    <r>
      <rPr>
        <b/>
        <u/>
        <sz val="10.5"/>
        <color theme="1"/>
        <rFont val="Calibri"/>
        <family val="2"/>
        <scheme val="minor"/>
      </rPr>
      <t>stationary</t>
    </r>
    <r>
      <rPr>
        <sz val="10.5"/>
        <color theme="1"/>
        <rFont val="Calibri"/>
        <family val="2"/>
        <scheme val="minor"/>
      </rPr>
      <t xml:space="preserve"> system for PPGD comprising :</t>
    </r>
  </si>
  <si>
    <t>The high-voltage input represents polyethylene oil-filled insulator inside which the current wire is fixed. The drilling column represents a coaxial design. The external (grounded) pipes are casing pipes of prospecting assortment 108 mm in diameter, and the internal (current carrying) pipes arewater pipes 3/4   in diameter. The column is sectioned; the length of sections is 4 m with pin-and-socket connection of external pipe sections and plug socket connection of the current wire. The current wire is fixed</t>
  </si>
  <si>
    <t>inside the drilling column and is centered on its axis by means of bushings. Such column design allows up &amp; down operations to be performed sufficiently simply and the length of the drilling rig to be increased. The weight of a 1 m drilling column makes 13 kg.</t>
  </si>
  <si>
    <t>Information source: Mahmoud, August 2024, "PPGD_rigs-components.docx"</t>
  </si>
  <si>
    <t xml:space="preserve">Information sources: Mahmoud, August 2024, "Well-trajectory-01.png" and "Well-trajectory-02.png" (figures); "Well-design.docx" (text), "Drilling-ROP.xlsx" (Drilling/Completion/Logging/ROP tables) </t>
  </si>
  <si>
    <t>Drilling</t>
  </si>
  <si>
    <t>Completion, logging</t>
  </si>
  <si>
    <t>Well drilling time</t>
  </si>
  <si>
    <t>Information sources: Mahmoud, August 2024, "Well-trajectory-01.png" and "Well-trajectory-02.png" (figures); "Well-design.docx" (text)</t>
  </si>
  <si>
    <t>inch</t>
  </si>
  <si>
    <t>cm</t>
  </si>
  <si>
    <t>Surface casing</t>
  </si>
  <si>
    <t>Intermediate casing</t>
  </si>
  <si>
    <t>production casing</t>
  </si>
  <si>
    <t>horizontal section</t>
  </si>
  <si>
    <t>4000-6000</t>
  </si>
  <si>
    <t>open hole</t>
  </si>
  <si>
    <r>
      <t>·</t>
    </r>
    <r>
      <rPr>
        <sz val="7"/>
        <color theme="1"/>
        <rFont val="Times New Roman"/>
        <family val="1"/>
      </rPr>
      <t xml:space="preserve">         </t>
    </r>
    <r>
      <rPr>
        <sz val="12"/>
        <rFont val="Aptos"/>
        <family val="2"/>
      </rPr>
      <t>KOP</t>
    </r>
    <r>
      <rPr>
        <sz val="12"/>
        <color theme="1"/>
        <rFont val="Aptos"/>
        <family val="2"/>
      </rPr>
      <t xml:space="preserve"> Depth: Suppose the KOP is at 4,500 meters depth.</t>
    </r>
  </si>
  <si>
    <t>"""</t>
  </si>
  <si>
    <t>ETH Zurich - GEG group</t>
  </si>
  <si>
    <t>PPGD Energy Consumption Per Drilling a Well</t>
  </si>
  <si>
    <r>
      <t>import</t>
    </r>
    <r>
      <rPr>
        <sz val="11"/>
        <color rgb="FF000000"/>
        <rFont val="Consolas"/>
        <family val="3"/>
      </rPr>
      <t xml:space="preserve"> numpy </t>
    </r>
    <r>
      <rPr>
        <sz val="11"/>
        <color rgb="FFAF00DB"/>
        <rFont val="Consolas"/>
        <family val="3"/>
      </rPr>
      <t>as</t>
    </r>
    <r>
      <rPr>
        <sz val="11"/>
        <color rgb="FF000000"/>
        <rFont val="Consolas"/>
        <family val="3"/>
      </rPr>
      <t xml:space="preserve"> np</t>
    </r>
  </si>
  <si>
    <r>
      <t>def</t>
    </r>
    <r>
      <rPr>
        <sz val="11"/>
        <color rgb="FF000000"/>
        <rFont val="Consolas"/>
        <family val="3"/>
      </rPr>
      <t xml:space="preserve"> </t>
    </r>
    <r>
      <rPr>
        <sz val="11"/>
        <color rgb="FF795E26"/>
        <rFont val="Consolas"/>
        <family val="3"/>
      </rPr>
      <t>DrillingSpecificEnergy</t>
    </r>
    <r>
      <rPr>
        <sz val="11"/>
        <color rgb="FF000000"/>
        <rFont val="Consolas"/>
        <family val="3"/>
      </rPr>
      <t>(</t>
    </r>
    <r>
      <rPr>
        <sz val="11"/>
        <color rgb="FF001080"/>
        <rFont val="Consolas"/>
        <family val="3"/>
      </rPr>
      <t>D</t>
    </r>
    <r>
      <rPr>
        <sz val="11"/>
        <color rgb="FF000000"/>
        <rFont val="Consolas"/>
        <family val="3"/>
      </rPr>
      <t xml:space="preserve">, </t>
    </r>
    <r>
      <rPr>
        <sz val="11"/>
        <color rgb="FF001080"/>
        <rFont val="Consolas"/>
        <family val="3"/>
      </rPr>
      <t>d1</t>
    </r>
    <r>
      <rPr>
        <sz val="11"/>
        <color rgb="FF000000"/>
        <rFont val="Consolas"/>
        <family val="3"/>
      </rPr>
      <t xml:space="preserve">, </t>
    </r>
    <r>
      <rPr>
        <sz val="11"/>
        <color rgb="FF001080"/>
        <rFont val="Consolas"/>
        <family val="3"/>
      </rPr>
      <t>TS1</t>
    </r>
    <r>
      <rPr>
        <sz val="11"/>
        <color rgb="FF000000"/>
        <rFont val="Consolas"/>
        <family val="3"/>
      </rPr>
      <t xml:space="preserve">, </t>
    </r>
    <r>
      <rPr>
        <sz val="11"/>
        <color rgb="FF001080"/>
        <rFont val="Consolas"/>
        <family val="3"/>
      </rPr>
      <t>d2</t>
    </r>
    <r>
      <rPr>
        <sz val="11"/>
        <color rgb="FF000000"/>
        <rFont val="Consolas"/>
        <family val="3"/>
      </rPr>
      <t>=</t>
    </r>
    <r>
      <rPr>
        <sz val="11"/>
        <color rgb="FF098658"/>
        <rFont val="Consolas"/>
        <family val="3"/>
      </rPr>
      <t>0</t>
    </r>
    <r>
      <rPr>
        <sz val="11"/>
        <color rgb="FF000000"/>
        <rFont val="Consolas"/>
        <family val="3"/>
      </rPr>
      <t xml:space="preserve">, </t>
    </r>
    <r>
      <rPr>
        <sz val="11"/>
        <color rgb="FF001080"/>
        <rFont val="Consolas"/>
        <family val="3"/>
      </rPr>
      <t>TS2</t>
    </r>
    <r>
      <rPr>
        <sz val="11"/>
        <color rgb="FF000000"/>
        <rFont val="Consolas"/>
        <family val="3"/>
      </rPr>
      <t>=</t>
    </r>
    <r>
      <rPr>
        <sz val="11"/>
        <color rgb="FF098658"/>
        <rFont val="Consolas"/>
        <family val="3"/>
      </rPr>
      <t>0</t>
    </r>
    <r>
      <rPr>
        <sz val="11"/>
        <color rgb="FF000000"/>
        <rFont val="Consolas"/>
        <family val="3"/>
      </rPr>
      <t>):</t>
    </r>
  </si>
  <si>
    <r>
      <t xml:space="preserve">    </t>
    </r>
    <r>
      <rPr>
        <sz val="11"/>
        <color rgb="FFA31515"/>
        <rFont val="Consolas"/>
        <family val="3"/>
      </rPr>
      <t>"""</t>
    </r>
  </si>
  <si>
    <t>    Inputs:</t>
  </si>
  <si>
    <t>    D (float): Diameter of the borehole in cm</t>
  </si>
  <si>
    <t>    d1 (float): Depth of the first layer in meters</t>
  </si>
  <si>
    <t>    TS1 (float): Tensile strength of the first layer in MPa</t>
  </si>
  <si>
    <t>    d2 (float): Depth of the second layer in meters (optional)</t>
  </si>
  <si>
    <t>    TS2 (float): Tensile strength of the second layer in MPa (optional)</t>
  </si>
  <si>
    <t>    Outputs:</t>
  </si>
  <si>
    <t>    EnergyMJ: Energy in MJ</t>
  </si>
  <si>
    <t>    EnergyKwh: Energy in Kwh</t>
  </si>
  <si>
    <t xml:space="preserve">    </t>
  </si>
  <si>
    <t>    Assumptions:</t>
  </si>
  <si>
    <t>    1. The borehole is cylindrical in shape</t>
  </si>
  <si>
    <t>    2. The efficiency of the drilling machine is 100%</t>
  </si>
  <si>
    <t>    3. The specific energy is calculated for drilling the borehole only</t>
  </si>
  <si>
    <t>    """</t>
  </si>
  <si>
    <r>
      <t xml:space="preserve">    d1 = d1 * </t>
    </r>
    <r>
      <rPr>
        <sz val="11"/>
        <color rgb="FF098658"/>
        <rFont val="Consolas"/>
        <family val="3"/>
      </rPr>
      <t>1e3</t>
    </r>
    <r>
      <rPr>
        <sz val="11"/>
        <color rgb="FF000000"/>
        <rFont val="Consolas"/>
        <family val="3"/>
      </rPr>
      <t xml:space="preserve">  </t>
    </r>
    <r>
      <rPr>
        <sz val="11"/>
        <color rgb="FF008000"/>
        <rFont val="Consolas"/>
        <family val="3"/>
      </rPr>
      <t>#m</t>
    </r>
  </si>
  <si>
    <r>
      <t xml:space="preserve">    d2 = d2 * </t>
    </r>
    <r>
      <rPr>
        <sz val="11"/>
        <color rgb="FF098658"/>
        <rFont val="Consolas"/>
        <family val="3"/>
      </rPr>
      <t>1e3</t>
    </r>
    <r>
      <rPr>
        <sz val="11"/>
        <color rgb="FF000000"/>
        <rFont val="Consolas"/>
        <family val="3"/>
      </rPr>
      <t xml:space="preserve">  </t>
    </r>
    <r>
      <rPr>
        <sz val="11"/>
        <color rgb="FF008000"/>
        <rFont val="Consolas"/>
        <family val="3"/>
      </rPr>
      <t>#m</t>
    </r>
  </si>
  <si>
    <r>
      <t xml:space="preserve">    D  = D  * </t>
    </r>
    <r>
      <rPr>
        <sz val="11"/>
        <color rgb="FF098658"/>
        <rFont val="Consolas"/>
        <family val="3"/>
      </rPr>
      <t>1e-2</t>
    </r>
    <r>
      <rPr>
        <sz val="11"/>
        <color rgb="FF000000"/>
        <rFont val="Consolas"/>
        <family val="3"/>
      </rPr>
      <t xml:space="preserve"> </t>
    </r>
    <r>
      <rPr>
        <sz val="11"/>
        <color rgb="FF008000"/>
        <rFont val="Consolas"/>
        <family val="3"/>
      </rPr>
      <t>#m</t>
    </r>
  </si>
  <si>
    <r>
      <t>    V1 = np.pi*(D/</t>
    </r>
    <r>
      <rPr>
        <sz val="11"/>
        <color rgb="FF098658"/>
        <rFont val="Consolas"/>
        <family val="3"/>
      </rPr>
      <t>2.0</t>
    </r>
    <r>
      <rPr>
        <sz val="11"/>
        <color rgb="FF000000"/>
        <rFont val="Consolas"/>
        <family val="3"/>
      </rPr>
      <t>)**</t>
    </r>
    <r>
      <rPr>
        <sz val="11"/>
        <color rgb="FF098658"/>
        <rFont val="Consolas"/>
        <family val="3"/>
      </rPr>
      <t>2</t>
    </r>
    <r>
      <rPr>
        <sz val="11"/>
        <color rgb="FF000000"/>
        <rFont val="Consolas"/>
        <family val="3"/>
      </rPr>
      <t xml:space="preserve"> * d1</t>
    </r>
  </si>
  <si>
    <r>
      <t>    V2 = np.pi*(D/</t>
    </r>
    <r>
      <rPr>
        <sz val="11"/>
        <color rgb="FF098658"/>
        <rFont val="Consolas"/>
        <family val="3"/>
      </rPr>
      <t>2.0</t>
    </r>
    <r>
      <rPr>
        <sz val="11"/>
        <color rgb="FF000000"/>
        <rFont val="Consolas"/>
        <family val="3"/>
      </rPr>
      <t>)**</t>
    </r>
    <r>
      <rPr>
        <sz val="11"/>
        <color rgb="FF098658"/>
        <rFont val="Consolas"/>
        <family val="3"/>
      </rPr>
      <t>2</t>
    </r>
    <r>
      <rPr>
        <sz val="11"/>
        <color rgb="FF000000"/>
        <rFont val="Consolas"/>
        <family val="3"/>
      </rPr>
      <t xml:space="preserve"> * d2</t>
    </r>
  </si>
  <si>
    <r>
      <t xml:space="preserve">    EnergyMJ  = (V1 * TS1) + (V2*TS2) </t>
    </r>
    <r>
      <rPr>
        <sz val="11"/>
        <color rgb="FF008000"/>
        <rFont val="Consolas"/>
        <family val="3"/>
      </rPr>
      <t>#MJ</t>
    </r>
  </si>
  <si>
    <r>
      <t xml:space="preserve">    EnergyKwh = EnergyMJ * </t>
    </r>
    <r>
      <rPr>
        <sz val="11"/>
        <color rgb="FF098658"/>
        <rFont val="Consolas"/>
        <family val="3"/>
      </rPr>
      <t>0.277778</t>
    </r>
    <r>
      <rPr>
        <sz val="11"/>
        <color rgb="FF000000"/>
        <rFont val="Consolas"/>
        <family val="3"/>
      </rPr>
      <t xml:space="preserve">   </t>
    </r>
    <r>
      <rPr>
        <sz val="11"/>
        <color rgb="FF008000"/>
        <rFont val="Consolas"/>
        <family val="3"/>
      </rPr>
      <t>#EnergyKwh</t>
    </r>
  </si>
  <si>
    <r>
      <t xml:space="preserve">    </t>
    </r>
    <r>
      <rPr>
        <sz val="11"/>
        <color rgb="FF795E26"/>
        <rFont val="Consolas"/>
        <family val="3"/>
      </rPr>
      <t>print</t>
    </r>
    <r>
      <rPr>
        <sz val="11"/>
        <color rgb="FF000000"/>
        <rFont val="Consolas"/>
        <family val="3"/>
      </rPr>
      <t>(</t>
    </r>
    <r>
      <rPr>
        <sz val="11"/>
        <color rgb="FFA31515"/>
        <rFont val="Consolas"/>
        <family val="3"/>
      </rPr>
      <t>"First Layer: D1=</t>
    </r>
    <r>
      <rPr>
        <sz val="11"/>
        <color rgb="FF0000FF"/>
        <rFont val="Consolas"/>
        <family val="3"/>
      </rPr>
      <t>%s</t>
    </r>
    <r>
      <rPr>
        <sz val="11"/>
        <color rgb="FFA31515"/>
        <rFont val="Consolas"/>
        <family val="3"/>
      </rPr>
      <t xml:space="preserve"> m, V1=</t>
    </r>
    <r>
      <rPr>
        <sz val="11"/>
        <color rgb="FF0000FF"/>
        <rFont val="Consolas"/>
        <family val="3"/>
      </rPr>
      <t>%5.2f</t>
    </r>
    <r>
      <rPr>
        <sz val="11"/>
        <color rgb="FFA31515"/>
        <rFont val="Consolas"/>
        <family val="3"/>
      </rPr>
      <t xml:space="preserve"> m^3"</t>
    </r>
    <r>
      <rPr>
        <sz val="11"/>
        <color rgb="FF000000"/>
        <rFont val="Consolas"/>
        <family val="3"/>
      </rPr>
      <t>%(d1, V1))</t>
    </r>
  </si>
  <si>
    <r>
      <t xml:space="preserve">    </t>
    </r>
    <r>
      <rPr>
        <sz val="11"/>
        <color rgb="FFAF00DB"/>
        <rFont val="Consolas"/>
        <family val="3"/>
      </rPr>
      <t>if</t>
    </r>
    <r>
      <rPr>
        <sz val="11"/>
        <color rgb="FF000000"/>
        <rFont val="Consolas"/>
        <family val="3"/>
      </rPr>
      <t xml:space="preserve"> d2 !=</t>
    </r>
    <r>
      <rPr>
        <sz val="11"/>
        <color rgb="FF098658"/>
        <rFont val="Consolas"/>
        <family val="3"/>
      </rPr>
      <t>0</t>
    </r>
    <r>
      <rPr>
        <sz val="11"/>
        <color rgb="FF000000"/>
        <rFont val="Consolas"/>
        <family val="3"/>
      </rPr>
      <t>:</t>
    </r>
  </si>
  <si>
    <r>
      <t xml:space="preserve">        </t>
    </r>
    <r>
      <rPr>
        <sz val="11"/>
        <color rgb="FF795E26"/>
        <rFont val="Consolas"/>
        <family val="3"/>
      </rPr>
      <t>print</t>
    </r>
    <r>
      <rPr>
        <sz val="11"/>
        <color rgb="FF000000"/>
        <rFont val="Consolas"/>
        <family val="3"/>
      </rPr>
      <t>(</t>
    </r>
    <r>
      <rPr>
        <sz val="11"/>
        <color rgb="FFA31515"/>
        <rFont val="Consolas"/>
        <family val="3"/>
      </rPr>
      <t>"Second Layer: D2=</t>
    </r>
    <r>
      <rPr>
        <sz val="11"/>
        <color rgb="FF0000FF"/>
        <rFont val="Consolas"/>
        <family val="3"/>
      </rPr>
      <t>%s</t>
    </r>
    <r>
      <rPr>
        <sz val="11"/>
        <color rgb="FFA31515"/>
        <rFont val="Consolas"/>
        <family val="3"/>
      </rPr>
      <t xml:space="preserve"> m, V1=</t>
    </r>
    <r>
      <rPr>
        <sz val="11"/>
        <color rgb="FF0000FF"/>
        <rFont val="Consolas"/>
        <family val="3"/>
      </rPr>
      <t>%5.2f</t>
    </r>
    <r>
      <rPr>
        <sz val="11"/>
        <color rgb="FFA31515"/>
        <rFont val="Consolas"/>
        <family val="3"/>
      </rPr>
      <t xml:space="preserve"> m^3"</t>
    </r>
    <r>
      <rPr>
        <sz val="11"/>
        <color rgb="FF000000"/>
        <rFont val="Consolas"/>
        <family val="3"/>
      </rPr>
      <t>%(d2, V2))</t>
    </r>
  </si>
  <si>
    <r>
      <t xml:space="preserve">    </t>
    </r>
    <r>
      <rPr>
        <sz val="11"/>
        <color rgb="FF795E26"/>
        <rFont val="Consolas"/>
        <family val="3"/>
      </rPr>
      <t>print</t>
    </r>
    <r>
      <rPr>
        <sz val="11"/>
        <color rgb="FF000000"/>
        <rFont val="Consolas"/>
        <family val="3"/>
      </rPr>
      <t>(</t>
    </r>
    <r>
      <rPr>
        <sz val="11"/>
        <color rgb="FFA31515"/>
        <rFont val="Consolas"/>
        <family val="3"/>
      </rPr>
      <t>"Diameter of the borehole=</t>
    </r>
    <r>
      <rPr>
        <sz val="11"/>
        <color rgb="FF0000FF"/>
        <rFont val="Consolas"/>
        <family val="3"/>
      </rPr>
      <t>%s</t>
    </r>
    <r>
      <rPr>
        <sz val="11"/>
        <color rgb="FFA31515"/>
        <rFont val="Consolas"/>
        <family val="3"/>
      </rPr>
      <t xml:space="preserve"> m"</t>
    </r>
    <r>
      <rPr>
        <sz val="11"/>
        <color rgb="FF000000"/>
        <rFont val="Consolas"/>
        <family val="3"/>
      </rPr>
      <t>%D)</t>
    </r>
  </si>
  <si>
    <r>
      <t xml:space="preserve">    </t>
    </r>
    <r>
      <rPr>
        <sz val="11"/>
        <color rgb="FF795E26"/>
        <rFont val="Consolas"/>
        <family val="3"/>
      </rPr>
      <t>print</t>
    </r>
    <r>
      <rPr>
        <sz val="11"/>
        <color rgb="FF000000"/>
        <rFont val="Consolas"/>
        <family val="3"/>
      </rPr>
      <t>(</t>
    </r>
    <r>
      <rPr>
        <sz val="11"/>
        <color rgb="FFA31515"/>
        <rFont val="Consolas"/>
        <family val="3"/>
      </rPr>
      <t>"Energy=</t>
    </r>
    <r>
      <rPr>
        <sz val="11"/>
        <color rgb="FF0000FF"/>
        <rFont val="Consolas"/>
        <family val="3"/>
      </rPr>
      <t>%5.2f</t>
    </r>
    <r>
      <rPr>
        <sz val="11"/>
        <color rgb="FFA31515"/>
        <rFont val="Consolas"/>
        <family val="3"/>
      </rPr>
      <t xml:space="preserve"> MJ = </t>
    </r>
    <r>
      <rPr>
        <sz val="11"/>
        <color rgb="FF0000FF"/>
        <rFont val="Consolas"/>
        <family val="3"/>
      </rPr>
      <t>%5.2f</t>
    </r>
    <r>
      <rPr>
        <sz val="11"/>
        <color rgb="FFA31515"/>
        <rFont val="Consolas"/>
        <family val="3"/>
      </rPr>
      <t xml:space="preserve"> Kwh"</t>
    </r>
    <r>
      <rPr>
        <sz val="11"/>
        <color rgb="FF000000"/>
        <rFont val="Consolas"/>
        <family val="3"/>
      </rPr>
      <t>%(EnergyMJ, EnergyKwh))</t>
    </r>
  </si>
  <si>
    <r>
      <t>DrillingSpecificEnergy(</t>
    </r>
    <r>
      <rPr>
        <sz val="11"/>
        <color rgb="FF001080"/>
        <rFont val="Consolas"/>
        <family val="3"/>
      </rPr>
      <t>D</t>
    </r>
    <r>
      <rPr>
        <sz val="11"/>
        <color rgb="FF000000"/>
        <rFont val="Consolas"/>
        <family val="3"/>
      </rPr>
      <t>=</t>
    </r>
    <r>
      <rPr>
        <sz val="11"/>
        <color rgb="FF098658"/>
        <rFont val="Consolas"/>
        <family val="3"/>
      </rPr>
      <t>40</t>
    </r>
    <r>
      <rPr>
        <sz val="11"/>
        <color rgb="FF000000"/>
        <rFont val="Consolas"/>
        <family val="3"/>
      </rPr>
      <t xml:space="preserve">, </t>
    </r>
    <r>
      <rPr>
        <sz val="11"/>
        <color rgb="FF001080"/>
        <rFont val="Consolas"/>
        <family val="3"/>
      </rPr>
      <t>d1</t>
    </r>
    <r>
      <rPr>
        <sz val="11"/>
        <color rgb="FF000000"/>
        <rFont val="Consolas"/>
        <family val="3"/>
      </rPr>
      <t>=</t>
    </r>
    <r>
      <rPr>
        <sz val="11"/>
        <color rgb="FF098658"/>
        <rFont val="Consolas"/>
        <family val="3"/>
      </rPr>
      <t>2.4</t>
    </r>
    <r>
      <rPr>
        <sz val="11"/>
        <color rgb="FF000000"/>
        <rFont val="Consolas"/>
        <family val="3"/>
      </rPr>
      <t xml:space="preserve">, </t>
    </r>
    <r>
      <rPr>
        <sz val="11"/>
        <color rgb="FF001080"/>
        <rFont val="Consolas"/>
        <family val="3"/>
      </rPr>
      <t>TS1</t>
    </r>
    <r>
      <rPr>
        <sz val="11"/>
        <color rgb="FF000000"/>
        <rFont val="Consolas"/>
        <family val="3"/>
      </rPr>
      <t>=</t>
    </r>
    <r>
      <rPr>
        <sz val="11"/>
        <color rgb="FF098658"/>
        <rFont val="Consolas"/>
        <family val="3"/>
      </rPr>
      <t>1.5</t>
    </r>
    <r>
      <rPr>
        <sz val="11"/>
        <color rgb="FF000000"/>
        <rFont val="Consolas"/>
        <family val="3"/>
      </rPr>
      <t xml:space="preserve">, </t>
    </r>
    <r>
      <rPr>
        <sz val="11"/>
        <color rgb="FF001080"/>
        <rFont val="Consolas"/>
        <family val="3"/>
      </rPr>
      <t>d2</t>
    </r>
    <r>
      <rPr>
        <sz val="11"/>
        <color rgb="FF000000"/>
        <rFont val="Consolas"/>
        <family val="3"/>
      </rPr>
      <t>=</t>
    </r>
    <r>
      <rPr>
        <sz val="11"/>
        <color rgb="FF098658"/>
        <rFont val="Consolas"/>
        <family val="3"/>
      </rPr>
      <t>3.6</t>
    </r>
    <r>
      <rPr>
        <sz val="11"/>
        <color rgb="FF000000"/>
        <rFont val="Consolas"/>
        <family val="3"/>
      </rPr>
      <t xml:space="preserve">, </t>
    </r>
    <r>
      <rPr>
        <sz val="11"/>
        <color rgb="FF001080"/>
        <rFont val="Consolas"/>
        <family val="3"/>
      </rPr>
      <t>TS2</t>
    </r>
    <r>
      <rPr>
        <sz val="11"/>
        <color rgb="FF000000"/>
        <rFont val="Consolas"/>
        <family val="3"/>
      </rPr>
      <t>=</t>
    </r>
    <r>
      <rPr>
        <sz val="11"/>
        <color rgb="FF098658"/>
        <rFont val="Consolas"/>
        <family val="3"/>
      </rPr>
      <t>6.0</t>
    </r>
    <r>
      <rPr>
        <sz val="11"/>
        <color rgb="FF000000"/>
        <rFont val="Consolas"/>
        <family val="3"/>
      </rPr>
      <t>)</t>
    </r>
  </si>
  <si>
    <t>#Results</t>
  </si>
  <si>
    <t>#First Layer: D1=2400.0 m, V1=301.59 m^3</t>
  </si>
  <si>
    <t>#Second Layer: D2=3600.0 m, V1=452.39 m^3</t>
  </si>
  <si>
    <t>#Diameter of the borehole=0.4 m</t>
  </si>
  <si>
    <t>#Energy=3166.73 MJ = 879.65 Kwh</t>
  </si>
  <si>
    <t>TS1</t>
  </si>
  <si>
    <t xml:space="preserve">ETH assumes that the energy consumption of PPGD is only a function of the tensile strength of the ground, but otherwise linear. </t>
  </si>
  <si>
    <t xml:space="preserve">I.e. we only calculate the energy consumption per cylinder depending on its diameter, length, and tensile strenght. </t>
  </si>
  <si>
    <t>It doesn't matter at which depth this cylinder is, or if it is part o the curve drilling; or whether it is horizontal or vertical drilling.</t>
  </si>
  <si>
    <t>Tensile strenght factors</t>
  </si>
  <si>
    <t>Sedimentary Rock</t>
  </si>
  <si>
    <t>TS2</t>
  </si>
  <si>
    <t>Granite rock</t>
  </si>
  <si>
    <t>This seems very low. Literature gives a value of 7-15 for granite, and 1-10 for Sandstein</t>
  </si>
  <si>
    <t>The original files differentiate between:</t>
  </si>
  <si>
    <t>A) Rotary drilling</t>
  </si>
  <si>
    <t>water</t>
  </si>
  <si>
    <t>CO2</t>
  </si>
  <si>
    <t>Mass flowrate [kg/s]</t>
  </si>
  <si>
    <t>Electrical Power Generation per single AGS [Mwe]</t>
  </si>
  <si>
    <t>Thermal Power Generation per single AGS [Mwe]</t>
  </si>
  <si>
    <t>Production T [°C]</t>
  </si>
  <si>
    <t>Questions on the file:</t>
  </si>
  <si>
    <t>I - TotalNo_AGS</t>
  </si>
  <si>
    <t>1 AGS = 1 well, correct?, so e.g. row 4 would drill 101 wells with a depth of 8 km and lenght of 8 + x*7km loops each, with a distance of 100 m each?</t>
  </si>
  <si>
    <t>Z - Capital cost for drilling</t>
  </si>
  <si>
    <t>This is f(sedimentary/granite rock), correct?</t>
  </si>
  <si>
    <t>B) PPGD</t>
  </si>
  <si>
    <t>Left: Where do these differences come from? (there are also rather small range differences in the file between the individual polygons. But many are equal)</t>
  </si>
  <si>
    <t>OID_</t>
  </si>
  <si>
    <t>node_id</t>
  </si>
  <si>
    <t>base_volta</t>
  </si>
  <si>
    <t>start_year</t>
  </si>
  <si>
    <t>end_year</t>
  </si>
  <si>
    <t>coord_x</t>
  </si>
  <si>
    <t>coord_y</t>
  </si>
  <si>
    <t>Area (km2)</t>
  </si>
  <si>
    <t>TotalNo_AGS</t>
  </si>
  <si>
    <t>Temp at base Molasse (degC)</t>
  </si>
  <si>
    <t>heatdemand (MWh/a)</t>
  </si>
  <si>
    <t>depth to sediment (m)</t>
  </si>
  <si>
    <t>DEM countor (m)</t>
  </si>
  <si>
    <t>correct depthfrom DEM (km)</t>
  </si>
  <si>
    <t>Geothermal Grad (C/km)</t>
  </si>
  <si>
    <t>200 DegC Total Depth (km)</t>
  </si>
  <si>
    <t>topSedimentaryThickness (km)</t>
  </si>
  <si>
    <t>bottomBasementRock (km)</t>
  </si>
  <si>
    <t>Mass flowrate (kg/s)</t>
  </si>
  <si>
    <t>SPCC  (CHF/We)</t>
  </si>
  <si>
    <t>Electrical Power Generate (MWe) per single AGS</t>
  </si>
  <si>
    <t xml:space="preserve">Total electrical Power Generate (MWe) </t>
  </si>
  <si>
    <t>Thermal Power Generate (MWth) per single AGS</t>
  </si>
  <si>
    <t xml:space="preserve">Total thermal Power Generate (MWth) </t>
  </si>
  <si>
    <t>Production Temperature (DegC)</t>
  </si>
  <si>
    <t>Captial cost for drilling (mCHF)</t>
  </si>
  <si>
    <t>Captial cost for wellfield dev (mCHF)</t>
  </si>
  <si>
    <t>Captial cost for stimulation (mCHF)</t>
  </si>
  <si>
    <t>Captial cost for Exploration (mCHF)</t>
  </si>
  <si>
    <t xml:space="preserve"> Captial cost for Gathering surface (mCHF)</t>
  </si>
  <si>
    <t>Captial cost for Surface plant (mCHF)</t>
  </si>
  <si>
    <t>Total Capital Cost (Million CHF)</t>
  </si>
  <si>
    <t>CH_Mendrisio_380</t>
  </si>
  <si>
    <t>CH_Fionnay_FFM_220</t>
  </si>
  <si>
    <t>CH_Zermeiggern_220</t>
  </si>
  <si>
    <t>CH_Vallorcine_220</t>
  </si>
  <si>
    <t>CH_Chatelard_220</t>
  </si>
  <si>
    <t>CH_Batiaz_380</t>
  </si>
  <si>
    <t>CH_Riddes_220</t>
  </si>
  <si>
    <t>CH_Fionnay_GD_220</t>
  </si>
  <si>
    <t>CH_Manno_220</t>
  </si>
  <si>
    <t>CH_Verbano_220</t>
  </si>
  <si>
    <t>CH_Serra_220</t>
  </si>
  <si>
    <t>CH_Chamoson_220</t>
  </si>
  <si>
    <t>CH_Magadino_220</t>
  </si>
  <si>
    <t>CH_Gabi_2_220</t>
  </si>
  <si>
    <t>CH_Nant_de_Dran_380</t>
  </si>
  <si>
    <t>CH_St_Triphon_220</t>
  </si>
  <si>
    <t>CH_Gondo_220</t>
  </si>
  <si>
    <t>CH_Chandoline_220</t>
  </si>
  <si>
    <t>CH_Chippis_220</t>
  </si>
  <si>
    <t>CH_Stalden_220</t>
  </si>
  <si>
    <t>CH_Verbois_220</t>
  </si>
  <si>
    <t>CH_Gorduno_220</t>
  </si>
  <si>
    <t>CH_Avegno_220</t>
  </si>
  <si>
    <t>CH_Bitsch_220</t>
  </si>
  <si>
    <t>CH_Iragna_220</t>
  </si>
  <si>
    <t>CH_Castasegna_220</t>
  </si>
  <si>
    <t>CH_Cavergno_220</t>
  </si>
  <si>
    <t>CH_Soazza_220</t>
  </si>
  <si>
    <t>CH_Moerel_220</t>
  </si>
  <si>
    <t>CH_Robbia_B_380</t>
  </si>
  <si>
    <t>CH_Biasca_220</t>
  </si>
  <si>
    <t>CH_Bavona_220</t>
  </si>
  <si>
    <t>CH_Peccia_220</t>
  </si>
  <si>
    <t>CH_Piottino_220</t>
  </si>
  <si>
    <t>CH_Fiesch_220</t>
  </si>
  <si>
    <t>CH_Foretaille_220</t>
  </si>
  <si>
    <t>CH_Gstaad_220</t>
  </si>
  <si>
    <t>CH_Ulrichen_B_220</t>
  </si>
  <si>
    <t>CH_Robiei_220</t>
  </si>
  <si>
    <t>CH_Crans_220</t>
  </si>
  <si>
    <t>CH_Lavorgo_220</t>
  </si>
  <si>
    <t>CH_AllAcqua_220</t>
  </si>
  <si>
    <t>CH_Airolo_220</t>
  </si>
  <si>
    <t>CH_Banlieue_Ouest_220</t>
  </si>
  <si>
    <t>CH_Veytaux_220</t>
  </si>
  <si>
    <t>CH_Ferrera_220</t>
  </si>
  <si>
    <t>CH_Loebbia_220</t>
  </si>
  <si>
    <t>CH_Olivone_220</t>
  </si>
  <si>
    <t>CH_Tinzen_220</t>
  </si>
  <si>
    <t>CH_La_Punt_C_380</t>
  </si>
  <si>
    <t>CH_Wimmis_220</t>
  </si>
  <si>
    <t>CH_Baerenburg_220</t>
  </si>
  <si>
    <t>CH_Grimsel_220</t>
  </si>
  <si>
    <t>CH_Goeschenen_220</t>
  </si>
  <si>
    <t>CH_Sedrun_220</t>
  </si>
  <si>
    <t>CH_Tiefencastel_220</t>
  </si>
  <si>
    <t>CH_Filisur_380</t>
  </si>
  <si>
    <t>CH_Handeck_220</t>
  </si>
  <si>
    <t>CH_Romanel_220</t>
  </si>
  <si>
    <t>CH_Botterens_220</t>
  </si>
  <si>
    <t>CH_Vaux_220</t>
  </si>
  <si>
    <t>CH_Mathod_220</t>
  </si>
  <si>
    <t>CH_Tavanasa_220</t>
  </si>
  <si>
    <t>CH_Ilanz_2_220</t>
  </si>
  <si>
    <t>CH_Sils_220</t>
  </si>
  <si>
    <t>CH_Innertkirchen_220</t>
  </si>
  <si>
    <t>CH_Wattenwil_220</t>
  </si>
  <si>
    <t>CH_Rothenbrunnen_220</t>
  </si>
  <si>
    <t>CH_Limmern_380</t>
  </si>
  <si>
    <t>CH_Hauterive_220</t>
  </si>
  <si>
    <t>CH_Plattischachen_220</t>
  </si>
  <si>
    <t>CH_Bonaduz_220</t>
  </si>
  <si>
    <t>CH_Muehleberg_220</t>
  </si>
  <si>
    <t>CH_Galmiz_220</t>
  </si>
  <si>
    <t>CH_Giswil_220</t>
  </si>
  <si>
    <t>CH_Mapragg_380</t>
  </si>
  <si>
    <t>CH_Tierfehd_220</t>
  </si>
  <si>
    <t>CH_Ingenbohl_220</t>
  </si>
  <si>
    <t>CH_Pradella_380</t>
  </si>
  <si>
    <t>CH_Littau_220</t>
  </si>
  <si>
    <t>CH_Bickigen_220</t>
  </si>
  <si>
    <t>CH_Willisau_220</t>
  </si>
  <si>
    <t>CH_Mettlen_220</t>
  </si>
  <si>
    <t>CH_Pieterlen_380</t>
  </si>
  <si>
    <t>CH_Kerzers_220</t>
  </si>
  <si>
    <t>CH_Siebnen_220</t>
  </si>
  <si>
    <t>CH_Altgass_220</t>
  </si>
  <si>
    <t>CH_Sarelli_220</t>
  </si>
  <si>
    <t>CH_Samstagern_220</t>
  </si>
  <si>
    <t>CH_Sursee_220</t>
  </si>
  <si>
    <t>CH_Gerlafingen_220</t>
  </si>
  <si>
    <t>CH_Lindenholz_220</t>
  </si>
  <si>
    <t>CH_Benken_220</t>
  </si>
  <si>
    <t>CH_Obfelden_220</t>
  </si>
  <si>
    <t>CH_Thalwil_220</t>
  </si>
  <si>
    <t>CH_Oftringen_220</t>
  </si>
  <si>
    <t>CH_Flumenthal_220</t>
  </si>
  <si>
    <t>CH_Aathal_220</t>
  </si>
  <si>
    <t>CH_Grynau_220</t>
  </si>
  <si>
    <t>CH_Ruethi_A_220</t>
  </si>
  <si>
    <t>CH_Niederwil_220</t>
  </si>
  <si>
    <t>CH_Waldegg_220</t>
  </si>
  <si>
    <t>CH_Rupperswil_220</t>
  </si>
  <si>
    <t>CH_Faellanden_220</t>
  </si>
  <si>
    <t>CH_Bassecourt_380</t>
  </si>
  <si>
    <t>CH_Winkeln_220</t>
  </si>
  <si>
    <t>CH_Auwiesen_220</t>
  </si>
  <si>
    <t>CH_Seebach_220</t>
  </si>
  <si>
    <t>CH_Goesgen_220</t>
  </si>
  <si>
    <t>CH_Regensdorf_220</t>
  </si>
  <si>
    <t>CH_Breite_220</t>
  </si>
  <si>
    <t>CH_Toess_220</t>
  </si>
  <si>
    <t>CH_Montlingen_220</t>
  </si>
  <si>
    <t>CH_Ormalingen_220</t>
  </si>
  <si>
    <t>CH_Froloo_220</t>
  </si>
  <si>
    <t>CH_Lachmatt_220</t>
  </si>
  <si>
    <t>CH_Wittenwil_220</t>
  </si>
  <si>
    <t>CH_Birr_220</t>
  </si>
  <si>
    <t>CH_Muenchwilen_220</t>
  </si>
  <si>
    <t>CH_Laufenburg_A_220</t>
  </si>
  <si>
    <t>CH_Beznau_B_220</t>
  </si>
  <si>
    <t>CH_Riet_220</t>
  </si>
  <si>
    <t>CH_Eglisau_220</t>
  </si>
  <si>
    <t>CH_Asphard_380</t>
  </si>
  <si>
    <t>CH_Weinfelden_220</t>
  </si>
  <si>
    <t>CH_Moerschwil_220</t>
  </si>
  <si>
    <t>CH_Schlattingen_220</t>
  </si>
  <si>
    <t>CH_Leibstadt_380</t>
  </si>
  <si>
    <t>Energy consumption per AGS [MWh/AGS]</t>
  </si>
  <si>
    <t>Energy consumption per polygon [MWh/polygon]</t>
  </si>
  <si>
    <t>Lifetime electricity generation in polygon [Mwhe]</t>
  </si>
  <si>
    <t>Lifetime heat generation in polygon [MWhth]</t>
  </si>
  <si>
    <t>Total vertical drilling time (drilling, completion, logging); contributions from sections and activities [days from start to end]</t>
  </si>
  <si>
    <t>[d]</t>
  </si>
  <si>
    <t>[m]</t>
  </si>
  <si>
    <t>What's the difference between L (depth to sediment) and Q (top Sedimentary Thickness)?</t>
  </si>
  <si>
    <t>Total horizontal length</t>
  </si>
  <si>
    <t>Default well energy consumption</t>
  </si>
  <si>
    <t>S1</t>
  </si>
  <si>
    <t>S2</t>
  </si>
  <si>
    <t>S3</t>
  </si>
  <si>
    <t>S5</t>
  </si>
  <si>
    <t>V = pi*r^2*h</t>
  </si>
  <si>
    <t>m^3</t>
  </si>
  <si>
    <t>Energy consumption</t>
  </si>
  <si>
    <t>MPa</t>
  </si>
  <si>
    <t>MJ</t>
  </si>
  <si>
    <t>Number of loops</t>
  </si>
  <si>
    <t>kWh</t>
  </si>
  <si>
    <t>Total well volume</t>
  </si>
  <si>
    <t>Plant net capacity</t>
  </si>
  <si>
    <t>Electrical</t>
  </si>
  <si>
    <t>Thermal</t>
  </si>
  <si>
    <t>Plant lifetime production</t>
  </si>
  <si>
    <t>Heat</t>
  </si>
  <si>
    <t>Electricity</t>
  </si>
  <si>
    <t>Mwe</t>
  </si>
  <si>
    <t>MWth</t>
  </si>
  <si>
    <t>Capacity factor</t>
  </si>
  <si>
    <t>Declining capacity over the years is not considered here</t>
  </si>
  <si>
    <t>Hours per year</t>
  </si>
  <si>
    <t>h/a</t>
  </si>
  <si>
    <t>Plant lifetime, economic</t>
  </si>
  <si>
    <t>a</t>
  </si>
  <si>
    <t>Energy consumption per kWh lifetime electricity produced</t>
  </si>
  <si>
    <t>per kWh</t>
  </si>
  <si>
    <t>Rough installed capacity for drilling rig</t>
  </si>
  <si>
    <t>MW</t>
  </si>
  <si>
    <t>Load factor</t>
  </si>
  <si>
    <t>Energy use</t>
  </si>
  <si>
    <t>Assumption: Energy is not used the whole day</t>
  </si>
  <si>
    <t>d</t>
  </si>
  <si>
    <t>MWh</t>
  </si>
  <si>
    <t>kWh/m</t>
  </si>
  <si>
    <t>Lateral length</t>
  </si>
  <si>
    <t>Geothermal gradient</t>
  </si>
  <si>
    <t>°C/km</t>
  </si>
  <si>
    <t>Surface temperature</t>
  </si>
  <si>
    <t>Working fluid</t>
  </si>
  <si>
    <t>Flow rate</t>
  </si>
  <si>
    <t>kg/s</t>
  </si>
  <si>
    <t>°C</t>
  </si>
  <si>
    <t>Inner diameter well</t>
  </si>
  <si>
    <t>Outer diameter well</t>
  </si>
  <si>
    <t>Rock description</t>
  </si>
  <si>
    <t>S4</t>
  </si>
  <si>
    <t>Energy consumption per AGS [kWh/AGS]</t>
  </si>
  <si>
    <t>length_m</t>
  </si>
  <si>
    <t>Well scheme with well diameter, cement, casing</t>
  </si>
  <si>
    <t>Vcement = Vwell - Vcasing</t>
  </si>
  <si>
    <t>none</t>
  </si>
  <si>
    <t>Vpipe = Vcasing - V</t>
  </si>
  <si>
    <t>V = Volume of well diameter next section for the current section</t>
  </si>
  <si>
    <t>Steel density</t>
  </si>
  <si>
    <t>kg/m3</t>
  </si>
  <si>
    <t>Sources for steel density:
http://www.engineeringtoolbox.com/metal-alloys-densities-d_50.html
http://de.wikibooks.org/wiki/Tabellensammlung_Chemie/_Dichte_fester_Stoffe
http://de.wikipedia.org/wiki/Rostfreier_Stahl#Eigenschaften
All the sources give the same range or even the same value for the density of steel - 7800-7900kg/m3.</t>
  </si>
  <si>
    <t>Cement density, API Class G</t>
  </si>
  <si>
    <t>St. Gallen used cement of class G, which is the cement which is used for wells in general according to http://petrowiki.org/Cement_composition_and_classification. 
"Class G cement: Intended for use from surface to 8,000 feet as basic cement, as manufactured, or it can be modified with additives to cover a full range of well depths and temperatures. 
No additions other than calcium sulfate or water, or both, shall be interground or blended with the clinker during manufacture of Class G Cement. Class G cement is available in moderate and high sulfate-resistance types. (Normal density = 15.8 ppg) (http://cnx.org/content/m16444/latest/)"
Calculation ppg = lb/gal (US) = 119.826427kg/m3 (http://www.endmemo.com/sconvert/kg_m3lb_galus.php)
15.8ppg = 1893 kg/m3
http://www.slb.com/~/media/Files/cementing/catalogs/05_cementing_materials.pdf: Cement class G has a density of 16.2 lb/gal = 1941kg/m3
The density of the class G cement varies with the additives added to the cement, with a basic density of 1261kg/m3 (http://www.google.com/patents/WO2012118823A1?cl=en). Data found in the internet for actual working cement class G vary between 1700kg/m3 and 2000kg/m3. A value of 1900kg/m3 is chosen in order to represent rather a high value case. 
(http://www.google.com/patents/WO2012118823A1?cl=en: 1900kg/m3
etc.)</t>
  </si>
  <si>
    <t>kg/m</t>
  </si>
  <si>
    <t>Steel use per m</t>
  </si>
  <si>
    <t>Estimated wall thickness (inch)</t>
  </si>
  <si>
    <t>material</t>
  </si>
  <si>
    <t>Heavy wall</t>
  </si>
  <si>
    <t>API Casing Grade J55</t>
  </si>
  <si>
    <t>API Casing Grade N80</t>
  </si>
  <si>
    <t>API Casing Grade P110</t>
  </si>
  <si>
    <t>Casing inner diameter</t>
  </si>
  <si>
    <t>Total cement/steel [t/well]</t>
  </si>
  <si>
    <t>Energy consumption per AGS [kWh/m]</t>
  </si>
  <si>
    <t>Lifetime electricity generation in AGS plant_30a [Mwhe]</t>
  </si>
  <si>
    <t>Lifetime heat generation in AGS plant_30a [MWhth]</t>
  </si>
  <si>
    <t>Lifetime electricity generation in polygon_30a [Twhe]</t>
  </si>
  <si>
    <t>Lifetime heat generation in polygon_30a [TWhth]</t>
  </si>
  <si>
    <t>Energy consumption from drilling per kWh electricity produced [kWh/kWh]</t>
  </si>
  <si>
    <t>Activity</t>
  </si>
  <si>
    <t>production amount</t>
  </si>
  <si>
    <t>reference product</t>
  </si>
  <si>
    <t>unit</t>
  </si>
  <si>
    <t>kilogram</t>
  </si>
  <si>
    <t>location</t>
  </si>
  <si>
    <t>RER</t>
  </si>
  <si>
    <t>comment</t>
  </si>
  <si>
    <t>Exchanges</t>
  </si>
  <si>
    <t>name</t>
  </si>
  <si>
    <t>amount</t>
  </si>
  <si>
    <t>categories</t>
  </si>
  <si>
    <t>type</t>
  </si>
  <si>
    <t>Database</t>
  </si>
  <si>
    <t>production</t>
  </si>
  <si>
    <t>cubic meter</t>
  </si>
  <si>
    <t>technosphere</t>
  </si>
  <si>
    <t>ev391cutoff</t>
  </si>
  <si>
    <t>electricity, high voltage</t>
  </si>
  <si>
    <t>CH</t>
  </si>
  <si>
    <t>kilowatt hour</t>
  </si>
  <si>
    <t>megajoule</t>
  </si>
  <si>
    <t>biosphere</t>
  </si>
  <si>
    <t>biosphere3</t>
  </si>
  <si>
    <t>square meter</t>
  </si>
  <si>
    <t>ags</t>
  </si>
  <si>
    <t>database</t>
  </si>
  <si>
    <t>drilling rig, plasma pulse geothermal drilling</t>
  </si>
  <si>
    <t>electricity production, advanced geothermal system plant</t>
  </si>
  <si>
    <t>kg</t>
  </si>
  <si>
    <t>air</t>
  </si>
  <si>
    <t>m3</t>
  </si>
  <si>
    <t>CO2 density</t>
  </si>
  <si>
    <t>standard T and p</t>
  </si>
  <si>
    <t>https://www.engineeringtoolbox.com/carbon-dioxide-density-specific-weight-temperature-pressure-d_2018.html</t>
  </si>
  <si>
    <t>steel</t>
  </si>
  <si>
    <t>t/well</t>
  </si>
  <si>
    <t>Life Cycle Stages</t>
  </si>
  <si>
    <t>Exploration phase</t>
  </si>
  <si>
    <t>Exploring potential locations for their geothermal potential; planning the plant</t>
  </si>
  <si>
    <t>Construction phase</t>
  </si>
  <si>
    <t>Operation and Maintenance</t>
  </si>
  <si>
    <t>End of life</t>
  </si>
  <si>
    <t>Dismantling of the plant, closing the well(s)</t>
  </si>
  <si>
    <t>Maar_2023_Env Sust of deep geothermal heat plants</t>
  </si>
  <si>
    <t xml:space="preserve">Closing and backfilling of the well to prevent unwanted events and seal the borehole against fluids. </t>
  </si>
  <si>
    <t>Europe without Switzerland</t>
  </si>
  <si>
    <t>market for steel, chromium steel 18/8</t>
  </si>
  <si>
    <t>steel, chromium steel 18/8</t>
  </si>
  <si>
    <t>GLO</t>
  </si>
  <si>
    <t>market for metal working, average for chromium steel product manufacturing</t>
  </si>
  <si>
    <t>metal working, average for chromium steel product manufacturing</t>
  </si>
  <si>
    <t>Literature - Data extraction</t>
  </si>
  <si>
    <t>(1) production of AMP:</t>
  </si>
  <si>
    <t>Source:</t>
  </si>
  <si>
    <r>
      <rPr>
        <u/>
        <sz val="11"/>
        <color theme="8"/>
        <rFont val="Calibri"/>
        <family val="2"/>
        <scheme val="minor"/>
      </rPr>
      <t>Burger et al.</t>
    </r>
    <r>
      <rPr>
        <u/>
        <sz val="11"/>
        <color theme="10"/>
        <rFont val="Calibri"/>
        <family val="2"/>
        <scheme val="minor"/>
      </rPr>
      <t xml:space="preserve"> Environmental imacts of carbon capture, transport, and storage supply chains: Status and the way forward, https://doi.org/10.1016/j.ijggc.2023.104039</t>
    </r>
  </si>
  <si>
    <t>Technosphere product</t>
  </si>
  <si>
    <t>Activity name</t>
  </si>
  <si>
    <t>Location</t>
  </si>
  <si>
    <t>Amount</t>
  </si>
  <si>
    <t>Unit</t>
  </si>
  <si>
    <t>Reference</t>
  </si>
  <si>
    <t>Comment</t>
  </si>
  <si>
    <t>2-amino-2-methyl-1-propanol (AMP) production</t>
  </si>
  <si>
    <t>heat, from steam, in chemical industry</t>
  </si>
  <si>
    <t>steam production, as energy carrier, in chemical industry</t>
  </si>
  <si>
    <t>Ecoinvent</t>
  </si>
  <si>
    <t>electricity, medium voltage</t>
  </si>
  <si>
    <t>market group for electricity, medium voltage</t>
  </si>
  <si>
    <t>formaldehyde</t>
  </si>
  <si>
    <t>market for formaldehyde</t>
  </si>
  <si>
    <t>hydrogen, liquid</t>
  </si>
  <si>
    <t>market for hydrogen, liquid</t>
  </si>
  <si>
    <t>water, deionised</t>
  </si>
  <si>
    <t>market for water, deionised</t>
  </si>
  <si>
    <t>light fuel oil</t>
  </si>
  <si>
    <t>marked group for light fuel oil</t>
  </si>
  <si>
    <t>1-nitropropane, reaction of nitric acid and propane</t>
  </si>
  <si>
    <t>1-nitropropane | technology-specific dataset (simplified extension layer), reaction of nitric acid and propane</t>
  </si>
  <si>
    <t>EU-27</t>
  </si>
  <si>
    <t>CarbonMinds</t>
  </si>
  <si>
    <t>Biosphere flow</t>
  </si>
  <si>
    <t>Compartement</t>
  </si>
  <si>
    <t>hydrogen</t>
  </si>
  <si>
    <t>Biosphere3</t>
  </si>
  <si>
    <t>https://doi.org/10.1016/j.ijggc.2023.104039</t>
  </si>
  <si>
    <t>tap water</t>
  </si>
  <si>
    <t>market for tap water</t>
  </si>
  <si>
    <t>lubricating oil</t>
  </si>
  <si>
    <t>market for lubricating oil</t>
  </si>
  <si>
    <t>water pump, 22kW</t>
  </si>
  <si>
    <t>market for water pump, 22kW</t>
  </si>
  <si>
    <t>electricity, low voltage</t>
  </si>
  <si>
    <t>market for electricity, low voltage</t>
  </si>
  <si>
    <t>waste mineral oil</t>
  </si>
  <si>
    <t>market for waste mineral oil</t>
  </si>
  <si>
    <t>not sure why we use 'market for..' and not 'treatment for..'</t>
  </si>
  <si>
    <t>Cooling (with water)</t>
  </si>
  <si>
    <t>Water cooling</t>
  </si>
  <si>
    <t>Burger et al. Environmental imacts of carbon capture, transport, and storage supply chains: Status and the way forward, https://doi.org/10.1016/j.ijggc.2023.104039</t>
  </si>
  <si>
    <t>Comment:</t>
  </si>
  <si>
    <t>LCI of the CCTS chain from KVA Linth</t>
  </si>
  <si>
    <t>Technosphereproduct</t>
  </si>
  <si>
    <t>Activityname</t>
  </si>
  <si>
    <t>AMP</t>
  </si>
  <si>
    <t>Capture, Europe, AMP Production</t>
  </si>
  <si>
    <t>Table23</t>
  </si>
  <si>
    <t>water,deionised</t>
  </si>
  <si>
    <t>waterproduction, deionised</t>
  </si>
  <si>
    <t>piperazine</t>
  </si>
  <si>
    <t>piperazine|technology-specificdataset (extensionlayer), reaction of ethyleneoxide and ethylenedichloride</t>
  </si>
  <si>
    <t>concrete, normal strength</t>
  </si>
  <si>
    <t>market for concrete, normal strength</t>
  </si>
  <si>
    <t>steel, chromiumsteel18/8</t>
  </si>
  <si>
    <t>market for steel, chromiumsteel 18/8</t>
  </si>
  <si>
    <t>Capture Plant, Operation</t>
  </si>
  <si>
    <t>Capture, KVA Linth, Operation</t>
  </si>
  <si>
    <t>hour</t>
  </si>
  <si>
    <t>Table19</t>
  </si>
  <si>
    <t>scrap steel</t>
  </si>
  <si>
    <t>market for scrap steel</t>
  </si>
  <si>
    <t>spent solvent mixture</t>
  </si>
  <si>
    <t>market for spent solvent mixture</t>
  </si>
  <si>
    <t>waste concrete</t>
  </si>
  <si>
    <t>market for waste concrete</t>
  </si>
  <si>
    <t>Biosphereflow</t>
  </si>
  <si>
    <t>Occupation, industrial area</t>
  </si>
  <si>
    <t>natural resource - land</t>
  </si>
  <si>
    <t>square meter -year</t>
  </si>
  <si>
    <t>Transformation, to industrial area</t>
  </si>
  <si>
    <t>Carbondioxide, fossil</t>
  </si>
  <si>
    <t>operation of capture unit</t>
  </si>
  <si>
    <r>
      <t xml:space="preserve">LCI of the </t>
    </r>
    <r>
      <rPr>
        <sz val="11"/>
        <color rgb="FFFF0000"/>
        <rFont val="Calibri"/>
        <family val="2"/>
        <scheme val="minor"/>
      </rPr>
      <t>operation</t>
    </r>
    <r>
      <rPr>
        <sz val="11"/>
        <color theme="1"/>
        <rFont val="Calibri"/>
        <family val="2"/>
        <scheme val="minor"/>
      </rPr>
      <t xml:space="preserve"> of the capture unit at KVA Linth.</t>
    </r>
  </si>
  <si>
    <t>piperazine | technology-specific dataset (extension layer), reaction of ethylene oxide and ethylene dichloride</t>
  </si>
  <si>
    <t>water cooling</t>
  </si>
  <si>
    <t>Table24</t>
  </si>
  <si>
    <t>heat, district or industrial, natural gas</t>
  </si>
  <si>
    <t>heat and power co-generation, natural gas, 1MW electrical, lean burn</t>
  </si>
  <si>
    <t>refinery sludge</t>
  </si>
  <si>
    <t>treatment of refinery sludge, hazardous waste incineration</t>
  </si>
  <si>
    <t>wastewater, average</t>
  </si>
  <si>
    <t>market for wastewater, average</t>
  </si>
  <si>
    <t>Monoethanolamine</t>
  </si>
  <si>
    <t>Ammonia</t>
  </si>
  <si>
    <t>Formaldehyde</t>
  </si>
  <si>
    <t>Acetaldehyde</t>
  </si>
  <si>
    <t>Acetone</t>
  </si>
  <si>
    <t>Conditioning:</t>
  </si>
  <si>
    <t>LCI of the conditioning init at KVA Linth</t>
  </si>
  <si>
    <t>air compressor, screw-type compressor, 300kW</t>
  </si>
  <si>
    <t>air compressor production, screw-type compressor, 300kW</t>
  </si>
  <si>
    <t>refrigeration machine, carbon dioxide, liquid as refrigerant</t>
  </si>
  <si>
    <r>
      <t xml:space="preserve">refrigeration machine production, carbon dioxide, </t>
    </r>
    <r>
      <rPr>
        <sz val="11"/>
        <color rgb="FFFF0000"/>
        <rFont val="Calibri"/>
        <family val="2"/>
        <scheme val="minor"/>
      </rPr>
      <t>NH3</t>
    </r>
    <r>
      <rPr>
        <sz val="11"/>
        <color theme="1"/>
        <rFont val="Calibri"/>
        <family val="2"/>
        <scheme val="minor"/>
      </rPr>
      <t>, liquid as refrigerant</t>
    </r>
  </si>
  <si>
    <t>Adapted from activity “refrigeration machine production, carbon dioxide, liquid as refrigerant {GLO}”. The refrigerant carbon dioxide is replaced with ammonia (NH3)</t>
  </si>
  <si>
    <t>zeolite, powder</t>
  </si>
  <si>
    <t>market for zeolite, powder</t>
  </si>
  <si>
    <t>ammonia, anhydrous, liquid</t>
  </si>
  <si>
    <t>market for ammonia, anhydrous, liquid</t>
  </si>
  <si>
    <t>treatment of waste concrete, inert material landfill</t>
  </si>
  <si>
    <t>hazardous waste, for incineration</t>
  </si>
  <si>
    <t>treatment of hazardous waste, hazardous waste incineration</t>
  </si>
  <si>
    <t>waste zeolite</t>
  </si>
  <si>
    <t>market for waste zeolite</t>
  </si>
  <si>
    <t>square meter - year</t>
  </si>
  <si>
    <t>Carbon dioxide, fossil</t>
  </si>
  <si>
    <t>temporary storage</t>
  </si>
  <si>
    <t>LCI of the temporary storage at KVA Linth. Assumption: storage of liquefied CO2 in vertical pressure vessels with d=4m and height=20m. Total storage capacity of 5 d. Electricity demand approximated from similar process: filling CO2 bulk ships with liquid CO2.</t>
  </si>
  <si>
    <t>steel production, electric, chromium steel 18/8</t>
  </si>
  <si>
    <t>water pump operation, electric</t>
  </si>
  <si>
    <t>transport from KVA Linth</t>
  </si>
  <si>
    <t>LCI of the transport from KVA Linth. Foreground model = transport (one way full container and on return empty container) &amp; container construction. Truck backilogramround model with 'carculator truck' tool (generates LCI based on Ecoinvent). Trucks are modelled as common state of the art, heavy-duty lorries.</t>
  </si>
  <si>
    <t>transport, freight, lorry, EURO-VI</t>
  </si>
  <si>
    <t>transport, freight, lorry, diesel (regular diesel), 44t gross weight, 2020, EURO-VI, regional delivery</t>
  </si>
  <si>
    <t>ton - kilometer</t>
  </si>
  <si>
    <t>Carculator truck tool</t>
  </si>
  <si>
    <t>transport, freight, inland water ways, barge</t>
  </si>
  <si>
    <t>transport, freight, sea, containership</t>
  </si>
  <si>
    <t>transport, freight, sea, container ship</t>
  </si>
  <si>
    <t>transport, freight, lorry, diesel (regular diesel), 44 t gross weight, 2020, EURO-VI, regional delivery</t>
  </si>
  <si>
    <t>2-amino-2-methyl-1-propanol (AMP)</t>
  </si>
  <si>
    <t>Capture, KVA Linth</t>
  </si>
  <si>
    <t>captured CO2</t>
  </si>
  <si>
    <t>ton</t>
  </si>
  <si>
    <t>This capture unit uses a power-and-heat co-generation unit powered by natural gas to supply heat. Source: Burger et al. Environmental imacts of carbon capture, transport, and storage supply chains: Status and the way forward, https://doi.org/10.1016/j.ijggc.2023.104039</t>
  </si>
  <si>
    <t>LCI of the operation of the capture unit at KVA Linth. Source: Burger et al. Environmental imacts of carbon capture, transport, and storage supply chains: Status and the way forward, https://doi.org/10.1016/j.ijggc.2023.104039</t>
  </si>
  <si>
    <t>Calculation for NH3 and CO2 exchange:</t>
  </si>
  <si>
    <t>densities {kg/m3} :</t>
  </si>
  <si>
    <t>mass {kg}:</t>
  </si>
  <si>
    <t>volume {m3} :</t>
  </si>
  <si>
    <t>NH3</t>
  </si>
  <si>
    <t>original Transportaion box:</t>
  </si>
  <si>
    <t>Transport, KVA Linth</t>
  </si>
  <si>
    <t>transported CO2</t>
  </si>
  <si>
    <t>CarCulatorTruckTool</t>
  </si>
  <si>
    <t>general Data:</t>
  </si>
  <si>
    <t>[kg/m3]</t>
  </si>
  <si>
    <t>[kJ/(kg °C)] spec. heat</t>
  </si>
  <si>
    <t>[kg/kmol]</t>
  </si>
  <si>
    <t>H2O(liquid)</t>
  </si>
  <si>
    <t>CH4</t>
  </si>
  <si>
    <t>O2</t>
  </si>
  <si>
    <t>H2O(gas, steam)</t>
  </si>
  <si>
    <t>N2</t>
  </si>
  <si>
    <t>CO2 leakages</t>
  </si>
  <si>
    <t>[wt%]</t>
  </si>
  <si>
    <t>[wt%]/100</t>
  </si>
  <si>
    <t>CO2 remaining in container</t>
  </si>
  <si>
    <t>CO2 leak from conditioning</t>
  </si>
  <si>
    <t>good</t>
  </si>
  <si>
    <t>mid</t>
  </si>
  <si>
    <t>worst</t>
  </si>
  <si>
    <t>calculations for CO2 leakage</t>
  </si>
  <si>
    <t>[kg]</t>
  </si>
  <si>
    <t>leak [kg]</t>
  </si>
  <si>
    <t>input CO2</t>
  </si>
  <si>
    <t>calculation for CO2 input stream</t>
  </si>
  <si>
    <t>[vol%]</t>
  </si>
  <si>
    <t>[m3]</t>
  </si>
  <si>
    <t>wanted input</t>
  </si>
  <si>
    <t>off gas</t>
  </si>
  <si>
    <t>SUM</t>
  </si>
  <si>
    <t>The production process of 2-amino-2-methyl-1-propanol (AMP) is available in neither ev391cutoff nor CarbonMinds. Process is thus approximated with the reaction stochiometry, based on recommendations by Langhorst et al. Source: Burger et al. Environmental imacts of carbon capture, transport, and storage supply chains: Status and the way forward, https://doi.org/10.1016/j.ijggc.2023.104039. Supportive information excel spreadsheet, shhet "B.5 Auxiliary processes"</t>
  </si>
  <si>
    <t>Carbon capture capacity from KVA Linth</t>
  </si>
  <si>
    <t>Minimum</t>
  </si>
  <si>
    <t>t</t>
  </si>
  <si>
    <t>Maximum</t>
  </si>
  <si>
    <t>Gaseous, 298 K 1 atm</t>
  </si>
  <si>
    <t>Liquid, 298 K, 10 Mpa</t>
  </si>
  <si>
    <t>Supercritical, 350 K, 8 Mpa</t>
  </si>
  <si>
    <t>Supercritical, 305 K, 30 Mpa</t>
  </si>
  <si>
    <t>total number of wells in polygons</t>
  </si>
  <si>
    <t>Total amount of CO2 needed</t>
  </si>
  <si>
    <t>years</t>
  </si>
  <si>
    <t>days per vertical well</t>
  </si>
  <si>
    <t>Total number of plants/wells</t>
  </si>
  <si>
    <t>wells</t>
  </si>
  <si>
    <t>parallel well drillings needed if we want to drill this within 20 years (2030 to 2050)</t>
  </si>
  <si>
    <t xml:space="preserve">BAU </t>
  </si>
  <si>
    <t>CLI</t>
  </si>
  <si>
    <t xml:space="preserve">ANTI </t>
  </si>
  <si>
    <t>SECUR</t>
  </si>
  <si>
    <t>MARKETS</t>
  </si>
  <si>
    <t>INNOV</t>
  </si>
  <si>
    <t>LC</t>
  </si>
  <si>
    <t>CLI_NUC50</t>
  </si>
  <si>
    <t>CAGR %</t>
  </si>
  <si>
    <t>ECONOMIC AND DEMOGRAPHIC ASSUMPTIONS</t>
  </si>
  <si>
    <t>Population (million)</t>
  </si>
  <si>
    <r>
      <t>Gross Domestic Product (BCHF2010)</t>
    </r>
    <r>
      <rPr>
        <vertAlign val="superscript"/>
        <sz val="8"/>
        <color theme="1"/>
        <rFont val="Segoe UI"/>
        <family val="2"/>
      </rPr>
      <t>22</t>
    </r>
  </si>
  <si>
    <r>
      <t>Gross Value Added Industry (BCHF2010)</t>
    </r>
    <r>
      <rPr>
        <vertAlign val="superscript"/>
        <sz val="8"/>
        <color theme="1"/>
        <rFont val="Segoe UI"/>
        <family val="2"/>
      </rPr>
      <t>22</t>
    </r>
  </si>
  <si>
    <r>
      <t>Gross Value Added Services (BCHF2010)</t>
    </r>
    <r>
      <rPr>
        <vertAlign val="superscript"/>
        <sz val="8"/>
        <color theme="1"/>
        <rFont val="Segoe UI"/>
        <family val="2"/>
      </rPr>
      <t>22</t>
    </r>
  </si>
  <si>
    <r>
      <t>Energy Reference Area Industry</t>
    </r>
    <r>
      <rPr>
        <vertAlign val="superscript"/>
        <sz val="8"/>
        <color theme="1"/>
        <rFont val="Segoe UI"/>
        <family val="2"/>
      </rPr>
      <t>14</t>
    </r>
  </si>
  <si>
    <t>Energy Reference Area Services</t>
  </si>
  <si>
    <r>
      <t>Energy Reference Area Residential</t>
    </r>
    <r>
      <rPr>
        <vertAlign val="superscript"/>
        <sz val="8"/>
        <color theme="1"/>
        <rFont val="Segoe UI"/>
        <family val="2"/>
      </rPr>
      <t>15</t>
    </r>
  </si>
  <si>
    <t>UPSTREAM SECTOR</t>
  </si>
  <si>
    <t>Domestic Production (PJ/yr.)</t>
  </si>
  <si>
    <t>Woody biomass</t>
  </si>
  <si>
    <r>
      <t>Waste (incl. non renewable waste)</t>
    </r>
    <r>
      <rPr>
        <vertAlign val="superscript"/>
        <sz val="8"/>
        <color theme="1"/>
        <rFont val="Segoe UI"/>
        <family val="2"/>
      </rPr>
      <t>1</t>
    </r>
  </si>
  <si>
    <t>Manure</t>
  </si>
  <si>
    <t>-</t>
  </si>
  <si>
    <t>Hydro (incl. pump)</t>
  </si>
  <si>
    <t>Solar</t>
  </si>
  <si>
    <t>Wind</t>
  </si>
  <si>
    <t>Deep geothermal</t>
  </si>
  <si>
    <t>Environmental heat</t>
  </si>
  <si>
    <t>Net Imports (PJ/yr.)</t>
  </si>
  <si>
    <t>Coal</t>
  </si>
  <si>
    <r>
      <t>Crude oil and oil products</t>
    </r>
    <r>
      <rPr>
        <vertAlign val="superscript"/>
        <sz val="8"/>
        <color theme="1"/>
        <rFont val="Segoe UI"/>
        <family val="2"/>
      </rPr>
      <t>2</t>
    </r>
  </si>
  <si>
    <t>Natural gas</t>
  </si>
  <si>
    <t>Uranium</t>
  </si>
  <si>
    <t>Biofuels/e-fuels (liquids or gases)</t>
  </si>
  <si>
    <t>Hydrogen</t>
  </si>
  <si>
    <t>Primary energy consumption (PJ/yr.)</t>
  </si>
  <si>
    <t>Waste (incl. non renewable waste)</t>
  </si>
  <si>
    <r>
      <t>Manure</t>
    </r>
    <r>
      <rPr>
        <vertAlign val="superscript"/>
        <sz val="8"/>
        <color theme="1"/>
        <rFont val="Segoe UI"/>
        <family val="2"/>
      </rPr>
      <t>1</t>
    </r>
  </si>
  <si>
    <t>ENERGY CONVERSION SECTOR</t>
  </si>
  <si>
    <r>
      <t>Fuel input for electricity and CHPs (PJ/yr.)</t>
    </r>
    <r>
      <rPr>
        <b/>
        <vertAlign val="superscript"/>
        <sz val="8"/>
        <color theme="1"/>
        <rFont val="Segoe UI"/>
        <family val="2"/>
      </rPr>
      <t>3</t>
    </r>
  </si>
  <si>
    <t>Oil products (incl. bioliquids and synthetic liquids)</t>
  </si>
  <si>
    <r>
      <t>Gas (natural gas and biomethane)</t>
    </r>
    <r>
      <rPr>
        <vertAlign val="superscript"/>
        <sz val="8"/>
        <color theme="1"/>
        <rFont val="Segoe UI"/>
        <family val="2"/>
      </rPr>
      <t>4</t>
    </r>
  </si>
  <si>
    <t>Biogas</t>
  </si>
  <si>
    <t>Hydro (excluding pump storage)</t>
  </si>
  <si>
    <t>Electricity consumption in storages (TWh/yr.)</t>
  </si>
  <si>
    <t xml:space="preserve">Pump storage consumption </t>
  </si>
  <si>
    <t>Stationary Batteries and CAES</t>
  </si>
  <si>
    <r>
      <t>Fuel input in centralised heat plants</t>
    </r>
    <r>
      <rPr>
        <b/>
        <vertAlign val="superscript"/>
        <sz val="8"/>
        <color theme="1"/>
        <rFont val="Segoe UI"/>
        <family val="2"/>
      </rPr>
      <t>5</t>
    </r>
    <r>
      <rPr>
        <b/>
        <sz val="8"/>
        <color theme="1"/>
        <rFont val="Segoe UI"/>
        <family val="2"/>
      </rPr>
      <t xml:space="preserve"> (PJ/yr.)</t>
    </r>
  </si>
  <si>
    <t>Oil products</t>
  </si>
  <si>
    <t>Solar (thermal)</t>
  </si>
  <si>
    <t>Electricity (heat pumps)</t>
  </si>
  <si>
    <t>Fuel input for hydrogen production (PJ/yr.)</t>
  </si>
  <si>
    <r>
      <t>Fuel input for production of domestic biofuels and synfuels</t>
    </r>
    <r>
      <rPr>
        <b/>
        <vertAlign val="superscript"/>
        <sz val="8"/>
        <color theme="1"/>
        <rFont val="Segoe UI"/>
        <family val="2"/>
      </rPr>
      <t>7,8,20</t>
    </r>
    <r>
      <rPr>
        <b/>
        <sz val="8"/>
        <color theme="1"/>
        <rFont val="Segoe UI"/>
        <family val="2"/>
      </rPr>
      <t xml:space="preserve"> (PJ/yr.)</t>
    </r>
  </si>
  <si>
    <r>
      <t>Wastes</t>
    </r>
    <r>
      <rPr>
        <vertAlign val="superscript"/>
        <sz val="8"/>
        <color theme="1"/>
        <rFont val="Segoe UI"/>
        <family val="2"/>
      </rPr>
      <t>1</t>
    </r>
  </si>
  <si>
    <t>Fuel input in Direct Air Capture (PJ/yr.)</t>
  </si>
  <si>
    <r>
      <t>Domestic electricity production by source (TWh/yr.)</t>
    </r>
    <r>
      <rPr>
        <b/>
        <vertAlign val="superscript"/>
        <sz val="8"/>
        <color theme="1"/>
        <rFont val="Segoe UI"/>
        <family val="2"/>
      </rPr>
      <t>3</t>
    </r>
  </si>
  <si>
    <r>
      <t>Gas (natural gas and biomethane)</t>
    </r>
    <r>
      <rPr>
        <vertAlign val="superscript"/>
        <sz val="8"/>
        <color theme="1"/>
        <rFont val="Segoe UI"/>
        <family val="2"/>
      </rPr>
      <t>4</t>
    </r>
    <r>
      <rPr>
        <sz val="8"/>
        <color theme="1"/>
        <rFont val="Segoe UI"/>
        <family val="2"/>
      </rPr>
      <t xml:space="preserve"> with CCS</t>
    </r>
  </si>
  <si>
    <t>Nuclear power plants</t>
  </si>
  <si>
    <t>Woody biomass with CCS</t>
  </si>
  <si>
    <t>Waste with CCS</t>
  </si>
  <si>
    <t>Electricity production from storages (TWh/yr.)</t>
  </si>
  <si>
    <r>
      <t>Pump storage production</t>
    </r>
    <r>
      <rPr>
        <vertAlign val="superscript"/>
        <sz val="8"/>
        <color theme="1"/>
        <rFont val="Segoe UI"/>
        <family val="2"/>
      </rPr>
      <t>6</t>
    </r>
  </si>
  <si>
    <t>Electricity capacities by source (GW/yr.)</t>
  </si>
  <si>
    <t>Nuclear</t>
  </si>
  <si>
    <t>Electricity capacities in storages (GW/yr.)</t>
  </si>
  <si>
    <t>Pump storage</t>
  </si>
  <si>
    <t>Batteries and CAES</t>
  </si>
  <si>
    <t>District heating production (PJ/yr.)</t>
  </si>
  <si>
    <t>Nuclear heat</t>
  </si>
  <si>
    <t>Waste</t>
  </si>
  <si>
    <t>Domestic hydrogen production by source (PJ/yr.)</t>
  </si>
  <si>
    <r>
      <t>Domestic production of biofuels and synfuels (PJ/yr.)</t>
    </r>
    <r>
      <rPr>
        <b/>
        <vertAlign val="superscript"/>
        <sz val="8"/>
        <color theme="1"/>
        <rFont val="Segoe UI"/>
        <family val="2"/>
      </rPr>
      <t>21</t>
    </r>
  </si>
  <si>
    <t>Biogas (from wet biomass)</t>
  </si>
  <si>
    <t>Biomethane (from wood gasification)</t>
  </si>
  <si>
    <t>Bioliquids</t>
  </si>
  <si>
    <r>
      <t>e-gas</t>
    </r>
    <r>
      <rPr>
        <vertAlign val="superscript"/>
        <sz val="8"/>
        <color theme="1"/>
        <rFont val="Segoe UI"/>
        <family val="2"/>
      </rPr>
      <t>7</t>
    </r>
  </si>
  <si>
    <r>
      <t>e-liquids</t>
    </r>
    <r>
      <rPr>
        <vertAlign val="superscript"/>
        <sz val="8"/>
        <color theme="1"/>
        <rFont val="Segoe UI"/>
        <family val="2"/>
      </rPr>
      <t>8</t>
    </r>
  </si>
  <si>
    <t>Biomethane from biogas upgrade (PJ/yr.)</t>
  </si>
  <si>
    <t>END-USES</t>
  </si>
  <si>
    <r>
      <t>Total final energy consumption (PJ/yr.)</t>
    </r>
    <r>
      <rPr>
        <b/>
        <vertAlign val="superscript"/>
        <sz val="8"/>
        <color theme="1"/>
        <rFont val="Segoe UI"/>
        <family val="2"/>
      </rPr>
      <t>9</t>
    </r>
  </si>
  <si>
    <r>
      <t>Bioliquids/e-liquids</t>
    </r>
    <r>
      <rPr>
        <vertAlign val="superscript"/>
        <sz val="8"/>
        <color theme="1"/>
        <rFont val="Segoe UI"/>
        <family val="2"/>
      </rPr>
      <t>12</t>
    </r>
  </si>
  <si>
    <r>
      <t>Gas (natural gas and biomethane)</t>
    </r>
    <r>
      <rPr>
        <vertAlign val="superscript"/>
        <sz val="8"/>
        <color theme="1"/>
        <rFont val="Segoe UI"/>
        <family val="2"/>
      </rPr>
      <t>4,11</t>
    </r>
  </si>
  <si>
    <t>Wastes</t>
  </si>
  <si>
    <t>Heat (DH, or CHP)</t>
  </si>
  <si>
    <r>
      <t>Final energy consumption in Industry (PJ/yr.)</t>
    </r>
    <r>
      <rPr>
        <b/>
        <vertAlign val="superscript"/>
        <sz val="8"/>
        <color theme="1"/>
        <rFont val="Segoe UI"/>
        <family val="2"/>
      </rPr>
      <t>9</t>
    </r>
  </si>
  <si>
    <r>
      <t>Heat (DH, or CHP)</t>
    </r>
    <r>
      <rPr>
        <vertAlign val="superscript"/>
        <sz val="8"/>
        <color theme="1"/>
        <rFont val="Segoe UI"/>
        <family val="2"/>
      </rPr>
      <t>10</t>
    </r>
  </si>
  <si>
    <r>
      <t>Final energy consumption in Services and Agriculture (PJ/yr.)</t>
    </r>
    <r>
      <rPr>
        <b/>
        <vertAlign val="superscript"/>
        <sz val="8"/>
        <color theme="1"/>
        <rFont val="Segoe UI"/>
        <family val="2"/>
      </rPr>
      <t>9</t>
    </r>
  </si>
  <si>
    <r>
      <t>Final energy consumption in Residential (PJ/yr.)</t>
    </r>
    <r>
      <rPr>
        <b/>
        <vertAlign val="superscript"/>
        <sz val="8"/>
        <color theme="1"/>
        <rFont val="Segoe UI"/>
        <family val="2"/>
      </rPr>
      <t>9</t>
    </r>
  </si>
  <si>
    <t>Final energy consumption in Transport sector (PJ/yr.)</t>
  </si>
  <si>
    <t>Gasoline</t>
  </si>
  <si>
    <t>Diesel</t>
  </si>
  <si>
    <t>Kerosene</t>
  </si>
  <si>
    <t>Private cars (million vehicles)</t>
  </si>
  <si>
    <t xml:space="preserve">Internal combustion engine </t>
  </si>
  <si>
    <t>Conventional hybrids</t>
  </si>
  <si>
    <t>Plug-in and battery electric</t>
  </si>
  <si>
    <t>Fuel cell</t>
  </si>
  <si>
    <t>Goods vehicles - light and heavy duty (thousands vehicles)</t>
  </si>
  <si>
    <t>CO2 EMISSIONS AND CAPTURE FROM ENERGY SYSTEM AND INDUSTRIAL PROCESSES</t>
  </si>
  <si>
    <r>
      <t>CO2 emissions (Mt/yr.)</t>
    </r>
    <r>
      <rPr>
        <b/>
        <vertAlign val="superscript"/>
        <sz val="8"/>
        <color theme="1"/>
        <rFont val="Segoe UI"/>
        <family val="2"/>
      </rPr>
      <t>18</t>
    </r>
  </si>
  <si>
    <r>
      <t>Power generation</t>
    </r>
    <r>
      <rPr>
        <vertAlign val="superscript"/>
        <sz val="8"/>
        <color theme="1"/>
        <rFont val="Segoe UI"/>
        <family val="2"/>
      </rPr>
      <t>16</t>
    </r>
  </si>
  <si>
    <r>
      <t>Industry</t>
    </r>
    <r>
      <rPr>
        <vertAlign val="superscript"/>
        <sz val="8"/>
        <color theme="1"/>
        <rFont val="Segoe UI"/>
        <family val="2"/>
      </rPr>
      <t>17</t>
    </r>
  </si>
  <si>
    <r>
      <t>Services and agriculture</t>
    </r>
    <r>
      <rPr>
        <vertAlign val="superscript"/>
        <sz val="8"/>
        <color theme="1"/>
        <rFont val="Segoe UI"/>
        <family val="2"/>
      </rPr>
      <t>17</t>
    </r>
  </si>
  <si>
    <r>
      <t>Residential</t>
    </r>
    <r>
      <rPr>
        <vertAlign val="superscript"/>
        <sz val="8"/>
        <color theme="1"/>
        <rFont val="Segoe UI"/>
        <family val="2"/>
      </rPr>
      <t>17</t>
    </r>
  </si>
  <si>
    <t>Transport</t>
  </si>
  <si>
    <t>Domestic hydrogen production</t>
  </si>
  <si>
    <t>Domestic biofuel production</t>
  </si>
  <si>
    <t>Direct air capture</t>
  </si>
  <si>
    <t>CO2 captured (Mt/yr.)</t>
  </si>
  <si>
    <r>
      <t>DIFFERENCE IN TOTAL ENERGY SYSTEM COSTS FROM THE BAU SCENARIO</t>
    </r>
    <r>
      <rPr>
        <b/>
        <vertAlign val="superscript"/>
        <sz val="8"/>
        <color theme="1"/>
        <rFont val="Segoe UI"/>
        <family val="2"/>
      </rPr>
      <t>22</t>
    </r>
  </si>
  <si>
    <t>Difference in undiscounted energy system costs (BCHF2010)</t>
  </si>
  <si>
    <t>Invesmtent costs</t>
  </si>
  <si>
    <t>Operating costs (other than fuel cost)</t>
  </si>
  <si>
    <t>Fuel costs</t>
  </si>
  <si>
    <t>Difference in discounted energy system costs @2.5% social discount rate (BCHF2010)</t>
  </si>
  <si>
    <t>CAPEX</t>
  </si>
  <si>
    <t>OPEX (other than fuel cost)</t>
  </si>
  <si>
    <t xml:space="preserve">Difference in cumulative energy system costs undiscounted 2020-2050 (BCHF2010) </t>
  </si>
  <si>
    <t>Difference in cumulative energy system costs discounted @2.5% 2020-2050 (BCHF2010)</t>
  </si>
  <si>
    <t>Annual per capita energy system cost difference  (CHF2010/yr.)</t>
  </si>
  <si>
    <t>INDICATORS</t>
  </si>
  <si>
    <t>Primary energy consumption per capita (GJ/yr.)</t>
  </si>
  <si>
    <t>- Relative to 2000 (Index 2000=100)</t>
  </si>
  <si>
    <t>Final energy consumption per capita (GJ/yr.)</t>
  </si>
  <si>
    <t>Electricity consumption per capita (kWh/yr.)</t>
  </si>
  <si>
    <t>CO2 emissions per capita (t/yr.)</t>
  </si>
  <si>
    <t>- Relative to 1990 (Index 1990=100)</t>
  </si>
  <si>
    <t>Primary energy consumption per unit of GDP (MJ/CHF2010)</t>
  </si>
  <si>
    <t>Final energy consumption per unit of GDP (MJ/CHF2010)</t>
  </si>
  <si>
    <t>Electricity consumption per unit of GDP (MWh/MCHF2010)</t>
  </si>
  <si>
    <t>CO2 emissions per capita per unit of GDP (kt/MCHF2010)</t>
  </si>
  <si>
    <t>Import dependency</t>
  </si>
  <si>
    <t>SEASONAL BALANCING OF ELECTRICITY TWh/yr.</t>
  </si>
  <si>
    <t>Winter (01 Dec - 28 Feb)</t>
  </si>
  <si>
    <t>Hydropower (excluding pump hydro)</t>
  </si>
  <si>
    <t>Other thermal power plants (incl. CHPs , fuel cells and Geothermal)</t>
  </si>
  <si>
    <t>Wind Turbines and Solar PV</t>
  </si>
  <si>
    <t>Electric storages (including pump storage) (output minus input)</t>
  </si>
  <si>
    <t>Input to Electrolysis</t>
  </si>
  <si>
    <t>Net Imports of electricity</t>
  </si>
  <si>
    <t>Spring (01 Mar - 31 May)</t>
  </si>
  <si>
    <t>Summer (01 Jun - 31 Aug)</t>
  </si>
  <si>
    <t>Autumn (01 Sep - 30 Nov)</t>
  </si>
  <si>
    <t>Notes</t>
  </si>
  <si>
    <t>1 Waste consumption in 2019 is adjusted to include use of waste for biogas production which is not reported in statistics, in order to be compatible with STEM accounting</t>
  </si>
  <si>
    <t>2 Imports of oil products exclude those quantities that are consumed in international aviation</t>
  </si>
  <si>
    <t>3 Includes CHPs for district heating and on-site CHPs in industry, services and residential sectors</t>
  </si>
  <si>
    <t>4 In STEM natural gas and biomethane are blended into the gas grid</t>
  </si>
  <si>
    <t>5 Centralised boilers and heat pumps that are used for heat production in district heating networks</t>
  </si>
  <si>
    <t>6 Assumed 80% roundtrip efficiency in the future years</t>
  </si>
  <si>
    <t>7 e-gas refers to natural gas produced by hydrogen methanation</t>
  </si>
  <si>
    <t>8 e-liquids refers to gasoline and diesel produced by hydrogen Fischer Tropsch</t>
  </si>
  <si>
    <t>9  Excluding international aviation and fuel consumption in on-site CHPs in industry, services and residential sectors</t>
  </si>
  <si>
    <t>10 In projection years also includes on-site heat consumption from distributed CHPs in industry, services and residential sectors</t>
  </si>
  <si>
    <t>11 Excluding consumption of gas in pipeline compressors</t>
  </si>
  <si>
    <t>12 Refers to imported e-liquids which are considered of zero-carbon (domestic e-fuels are included in the consumption of natural gas and oil products)</t>
  </si>
  <si>
    <t>13 Does not consider waste consumption in on-site industrial CHP plants</t>
  </si>
  <si>
    <t>14 Values for 2019 are estimations; includes area for offices and production spaces and excludes non-used area</t>
  </si>
  <si>
    <t>15 Excludes buildings with partial residential use</t>
  </si>
  <si>
    <t>16 Excludes emissions from on-site distributed CHP plants in industry, residential and services sectors</t>
  </si>
  <si>
    <t>17 Includes emissions from on-site distributed CHP plants in industry, residential and services sectors</t>
  </si>
  <si>
    <t>18 CO2 emissions for 2019 is estimation</t>
  </si>
  <si>
    <t>19 For hydropower production utilisation rates STEM considers a 10-year average</t>
  </si>
  <si>
    <t>20 Excluding fuels for hydrogen production</t>
  </si>
  <si>
    <t>21 Excluding hydrogen production</t>
  </si>
  <si>
    <t>22 Exchange rate CHF2019/CHF2010=0.98</t>
  </si>
  <si>
    <t>Well construction</t>
  </si>
  <si>
    <t>Drilling equipment</t>
  </si>
  <si>
    <t>Capture</t>
  </si>
  <si>
    <t>Storage</t>
  </si>
  <si>
    <t>Conditioning</t>
  </si>
  <si>
    <t>Pumping</t>
  </si>
  <si>
    <t>Surface plant</t>
  </si>
  <si>
    <t>Maintenance</t>
  </si>
  <si>
    <t>Casing, steel</t>
  </si>
  <si>
    <t>Casing, cement</t>
  </si>
  <si>
    <t>Energy use, horizontal</t>
  </si>
  <si>
    <t>Energy use, vertical</t>
  </si>
  <si>
    <t>LCIA seed</t>
  </si>
  <si>
    <t>EoL</t>
  </si>
  <si>
    <t>Well sealing</t>
  </si>
  <si>
    <t>Freshwater and terrestrial acidification</t>
  </si>
  <si>
    <t>Ozone layer depletion</t>
  </si>
  <si>
    <t>Respiratory effects, inorganic</t>
  </si>
  <si>
    <t>Land use</t>
  </si>
  <si>
    <t>CC</t>
  </si>
  <si>
    <t>AF</t>
  </si>
  <si>
    <t>OD</t>
  </si>
  <si>
    <t>REI</t>
  </si>
  <si>
    <t>Land</t>
  </si>
  <si>
    <t>index</t>
  </si>
  <si>
    <t>ES</t>
  </si>
  <si>
    <t>electricity production, hydro, run-of-river</t>
  </si>
  <si>
    <t>electricity production, photovoltaic, 570kWp open ground installation, multi-Si</t>
  </si>
  <si>
    <t>market for electricity, high voltage</t>
  </si>
  <si>
    <t>Technical modelling</t>
  </si>
  <si>
    <t>Sedimentary/granite rock, not further specified</t>
  </si>
  <si>
    <t>Results per kWh of electricity produced</t>
  </si>
  <si>
    <r>
      <t>Impacts on climate change
[kg CO</t>
    </r>
    <r>
      <rPr>
        <sz val="11"/>
        <color theme="1"/>
        <rFont val="Times New Roman"/>
        <family val="1"/>
      </rPr>
      <t>₂</t>
    </r>
    <r>
      <rPr>
        <sz val="11"/>
        <color theme="1"/>
        <rFont val="Calibri"/>
        <family val="2"/>
      </rPr>
      <t xml:space="preserve"> -eq/kWh]</t>
    </r>
  </si>
  <si>
    <r>
      <t>CO</t>
    </r>
    <r>
      <rPr>
        <b/>
        <sz val="11"/>
        <color theme="1"/>
        <rFont val="Times New Roman"/>
        <family val="1"/>
      </rPr>
      <t>₂</t>
    </r>
  </si>
  <si>
    <t>Unit conversions</t>
  </si>
  <si>
    <t>Plant technical parametres</t>
  </si>
  <si>
    <t xml:space="preserve">Dichte von Gesteinen: </t>
  </si>
  <si>
    <t>Typ</t>
  </si>
  <si>
    <t>Gestein</t>
  </si>
  <si>
    <t>min</t>
  </si>
  <si>
    <t>Sedimentgesteine</t>
  </si>
  <si>
    <t>Sand</t>
  </si>
  <si>
    <t>Sandstein</t>
  </si>
  <si>
    <t>Kalkstein</t>
  </si>
  <si>
    <t>Mergelstein</t>
  </si>
  <si>
    <t>Allgemein</t>
  </si>
  <si>
    <t>Plutonische Gesteine</t>
  </si>
  <si>
    <t>Granit</t>
  </si>
  <si>
    <t>Dunit</t>
  </si>
  <si>
    <t>allgemein</t>
  </si>
  <si>
    <t>CASE EGS</t>
  </si>
  <si>
    <t>CASE HAT</t>
  </si>
  <si>
    <t>http://www.oberrheingraben.de/Geophysik/Dichte.htm</t>
  </si>
  <si>
    <t>http://www.cms.fu-berlin.de/geo/fb/e-learning/petrograph/tabellen/gesteinsdichte.html</t>
  </si>
  <si>
    <t>Cement bridges?</t>
  </si>
  <si>
    <t>2000-4000</t>
  </si>
  <si>
    <t>250-2000</t>
  </si>
  <si>
    <t>Between 0.5 and 0.8: 24h drilling time, but not always pumping</t>
  </si>
  <si>
    <t>Tubing</t>
  </si>
  <si>
    <t>7- 9 5/8</t>
  </si>
  <si>
    <t>Total vertical length</t>
  </si>
  <si>
    <t>days for injection and production well</t>
  </si>
  <si>
    <t>Total number of days for well completion</t>
  </si>
  <si>
    <t>days for horizontal loops (6 times 7 km)</t>
  </si>
  <si>
    <t>Tubing diameter (inches)</t>
  </si>
  <si>
    <t>100 - 250</t>
  </si>
  <si>
    <t>section horizontal</t>
  </si>
  <si>
    <t xml:space="preserve">Note ETH: ROP includes time for tripping, reaming, also mob and demob of drilling rig </t>
  </si>
  <si>
    <t>PPGD assumed to be factor 10 faster, but also with a function of depth due to tripping and reaming</t>
  </si>
  <si>
    <t>Information sources: E-Mail Dirk Alfermann, 08.11.2014 with corrections given in the file "Drilling-ROP_TK_20241107_ETH_DA.xslx"</t>
  </si>
  <si>
    <t>Duration PPGD</t>
  </si>
  <si>
    <t>horizontal</t>
  </si>
  <si>
    <t>vertical 
(injection/production)</t>
  </si>
  <si>
    <t>Depth from table left</t>
  </si>
  <si>
    <t>Total drilling length, injection&amp;production well</t>
  </si>
  <si>
    <t>Number of sections</t>
  </si>
  <si>
    <t>Total volume, injection &amp; production well</t>
  </si>
  <si>
    <t>Total volume, 1 vertical well</t>
  </si>
  <si>
    <t>Total volume, horizontal well</t>
  </si>
  <si>
    <t>Total well pipe inside volume (vertical, injection &amp; production well) + open hole horizontal well volume</t>
  </si>
  <si>
    <t>Supercritical, ca. 310 K, 8.2 Mpa</t>
  </si>
  <si>
    <t>37°C</t>
  </si>
  <si>
    <t>Supercritical, 310 K, 8 Mpa</t>
  </si>
  <si>
    <t>Additional backup, 15%</t>
  </si>
  <si>
    <t>Total amount of CO2 required per plant with specific well design</t>
  </si>
  <si>
    <t>well = injection&amp;production well + horizontal well</t>
  </si>
  <si>
    <t>Density of CO2 at injection point</t>
  </si>
  <si>
    <t>Co2 density as given by ETH, average in the finalised well</t>
  </si>
  <si>
    <t>Datasets which have been made by Bettina Eberle in metafuels project, based on the information above.</t>
  </si>
  <si>
    <t>Original datasets from the supporting information in Burger et al., namely the excel file "supportive information.xlsx" and the sheets "B.5 Auxiliary processes" (AMP and water cooling) and "B.4 KVA Linth" (all CO2 datasets).</t>
  </si>
  <si>
    <t>Datasets from Burger et al. modelling CO2 capture at KVA Linth, temporary storage, transport, and permanent storage</t>
  </si>
  <si>
    <t>Background databases</t>
  </si>
  <si>
    <t>ecoinvent v3.10 cut-off</t>
  </si>
  <si>
    <t>ecoinvent-3.10-cutoff</t>
  </si>
  <si>
    <t>ecoinvent-3.10-biosphere</t>
  </si>
  <si>
    <t>co2_kva</t>
  </si>
  <si>
    <t>water, cooled</t>
  </si>
  <si>
    <t>Process water cooling used in the operation of the capture units</t>
  </si>
  <si>
    <t>water production, deionised</t>
  </si>
  <si>
    <t>CO2 capture unit operation, waste incineration plant, Linth, Switzerland</t>
  </si>
  <si>
    <t>Transport, liquid CO2, truck</t>
  </si>
  <si>
    <t>CO2, liquid, transported by truck</t>
  </si>
  <si>
    <t>4 wt.% of CO2 is assumed to remain in container. The model includes the transport of the full container on one way and the transport of the empty container on the way back. Trucks are modelled as common state of the art, heavy-duty lorries. Source: Burger et al. Environmental imacts of carbon capture, transport, and storage supply chains: Status and the way forward, https://doi.org/10.1016/j.ijggc.2023.104039</t>
  </si>
  <si>
    <t>CO2_transport</t>
  </si>
  <si>
    <t>CO2, liquid, temporary storage, 5 days</t>
  </si>
  <si>
    <t>CO2, liquid, stored for 5 days</t>
  </si>
  <si>
    <t>biomass_digestion</t>
  </si>
  <si>
    <t>Flag comment: CO2 source</t>
  </si>
  <si>
    <t>transport, freight, lorry &gt;32 metric ton, EURO6</t>
  </si>
  <si>
    <t>ton kilometer</t>
  </si>
  <si>
    <t>Flag comment: transport_truck</t>
  </si>
  <si>
    <t>Carbon dioxide, non-fossil</t>
  </si>
  <si>
    <t>Emission caused by remaining CO2 in container</t>
  </si>
  <si>
    <t>LCI of the transport from KVA Linth. Foreground model = transport (one way full container and on return empty container) &amp; container construction. Truck background model with 'carculator truck' tool (generates LCI based on Ecoinvent). Trucks are modelled as common state of the art, heavy-duty lorries. Source: Burger et al. Environmental imacts of carbon capture, transport, and storage supply chains: Status and the way forward, https://doi.org/10.1016/j.ijggc.2023.104039</t>
  </si>
  <si>
    <t>conditioned CO2, medium leakage</t>
  </si>
  <si>
    <t>1-Nitropropane production</t>
  </si>
  <si>
    <t>https://patents.google.com/patent/WO2009129099A1/en</t>
  </si>
  <si>
    <t>Substance</t>
  </si>
  <si>
    <t>Propane</t>
  </si>
  <si>
    <t>Molar mass calculation</t>
  </si>
  <si>
    <t>Nitric Acid</t>
  </si>
  <si>
    <t>HNO3</t>
  </si>
  <si>
    <t>C3H8</t>
  </si>
  <si>
    <t>Structure</t>
  </si>
  <si>
    <t>H</t>
  </si>
  <si>
    <t>C</t>
  </si>
  <si>
    <t>N</t>
  </si>
  <si>
    <t>O</t>
  </si>
  <si>
    <t>g/mol</t>
  </si>
  <si>
    <t>Production of 1 kg 1-nitropropane, ChatGPT</t>
  </si>
  <si>
    <t>market for propane</t>
  </si>
  <si>
    <t>propane</t>
  </si>
  <si>
    <t>Proxy for production of 1.1 kg 1-nitropropane. The production of 1 kg is assumed to take 1.1 kg propane, 1.5 kg nitric acid, and 3 MJ heat. See sheet "literature_CO2_cond_transport for details.</t>
  </si>
  <si>
    <t>nitric acid, without water, in 50% solution state</t>
  </si>
  <si>
    <t>market for nitric acid, without water, in 50% solution state</t>
  </si>
  <si>
    <t>RER w/o RU</t>
  </si>
  <si>
    <t>market for heat, from steam, in chemical industry</t>
  </si>
  <si>
    <t>Piperazine production</t>
  </si>
  <si>
    <t>https://www.researchgate.net/publication/358196552_Methods_for_the_catalytic_synthesis_of_piperazine</t>
  </si>
  <si>
    <t>very ximplified proxy</t>
  </si>
  <si>
    <t>For a yield of 100% pp, case 12</t>
  </si>
  <si>
    <t>ethylene diamine</t>
  </si>
  <si>
    <t>EDA</t>
  </si>
  <si>
    <t>ethylene glycol</t>
  </si>
  <si>
    <t>EG</t>
  </si>
  <si>
    <t>yield</t>
  </si>
  <si>
    <t>Production of 1 kg pp</t>
  </si>
  <si>
    <t>market for ethylene glycol</t>
  </si>
  <si>
    <t>market for ethylene diamine</t>
  </si>
  <si>
    <t>Rough proxy for the use of piperazine. See sheet "literature_CO2_cond_transport" for details</t>
  </si>
  <si>
    <t>LCI of the operation of the capture unit at KVA Linth. An amine-based capture process is modelled using 2-amino-2-methyl-1-propanol (AMP) as solvent promoted with piperazine (PZ). This mixture has been proven to be more energy efficient than monoethanolamine. The carbon capture rate is assumed to be 90%.  Source: Burger et al. Environmental imacts of carbon capture, transport, and storage supply chains: Status and the way forward, https://doi.org/10.1016/j.ijggc.2023.104039</t>
  </si>
  <si>
    <t>LCI of the temporary storage at KVA Linth. Assumption: storage of liquefied CO2 in vertical pressure vessels with d=4m and height=20m. Total storage capacity of 5 d. Electricity demand approximated from similar process: filling CO2 bulk ships with liquid CO2. The storage takes conditioned liquid CO2 at 15 bar. Temporary storage is needed as discontinuous transport on the road is assumed for bringing the CO2 to the well sites in Switzerland.</t>
  </si>
  <si>
    <t>Transport distances</t>
  </si>
  <si>
    <t>From Niederurnen, Glarus, CH to…</t>
  </si>
  <si>
    <t>Genf</t>
  </si>
  <si>
    <t>https://www.distance.to</t>
  </si>
  <si>
    <t>Using open street map</t>
  </si>
  <si>
    <t>Kreuzlingen</t>
  </si>
  <si>
    <t>Basel</t>
  </si>
  <si>
    <t>Poschiavo</t>
  </si>
  <si>
    <t>Chiasso</t>
  </si>
  <si>
    <t>Visp</t>
  </si>
  <si>
    <t>kilometers</t>
  </si>
  <si>
    <t>default distance used</t>
  </si>
  <si>
    <t>La Chaux-De-Fonds</t>
  </si>
  <si>
    <t>km</t>
  </si>
  <si>
    <t>Assumption of average distance and counting both for the provision and return trip, as not other products will be transported in these dedicated trucks</t>
  </si>
  <si>
    <t>CO2 captured at capture unit, waste incineration plant, Linth, Switzerland</t>
  </si>
  <si>
    <t>CO2, conditioned, at 15 bar, waste incineration plant, Linth, Switzerland</t>
  </si>
  <si>
    <t>market for refrigeration machine, carbon dioxide, liquid as refrigerant</t>
  </si>
  <si>
    <t xml:space="preserve">Using refrigerant machine from ecoinvent, no adaptation to NH3 as refrigerant as in Burger et al. </t>
  </si>
  <si>
    <t>Assumption: 90 bar (ca. 80-150 bar depending on temperature)</t>
  </si>
  <si>
    <t>Assumption: using 0.1 kWh for compressing from 15 bar to 90 bar.</t>
  </si>
  <si>
    <t>Assumption: no leakage</t>
  </si>
  <si>
    <t>Pumping CO2 into well, per meter per kg</t>
  </si>
  <si>
    <t>Assumption: using 0.1 kWh for pumping 1 kg CO2 down 1 m.</t>
  </si>
  <si>
    <t>CO2 pumping</t>
  </si>
  <si>
    <t>Pumping energy consumption for fluids</t>
  </si>
  <si>
    <t>https://www.engineeringtoolbox.com/pumps-power-d_505.html</t>
  </si>
  <si>
    <t>well construction, plasma pulse geothermal drilling, advanced geothermal system, 12000 m vertical 42000 m horizontal, per m</t>
  </si>
  <si>
    <t>CO2 storage, temporary, 5 days, 15 bar, waste incineration plant, Linth, Switzerland</t>
  </si>
  <si>
    <t>CO2, stored, temporary, 5 days, 15 bar, waste incineration plant, Linth, Switzerland</t>
  </si>
  <si>
    <t>CO2 transport, liquid, 15 bar, from waste incineration plant, Linth, Switzerland</t>
  </si>
  <si>
    <t>CO2 transported, liquid, 15 bar, from waste incineration plant, Linth, Switzerland</t>
  </si>
  <si>
    <t>CO2 production, supercritical, 90 bar, for pumping into geothermal well</t>
  </si>
  <si>
    <t>CO2, supercritical, 90 bar, for pumping into geothermal well</t>
  </si>
  <si>
    <t>Bringing CO2 from liquid at 15 bar to supercritical state at ca. 90 bar and ambient temperature for a density of 600 kg/m3. This dataset neglects the infrastructure needed for this pressurising step.</t>
  </si>
  <si>
    <t>CO2 pumping, supercritical, into geothermal well, per meter</t>
  </si>
  <si>
    <t>CO2, supercritical, pumped into geothermal well, per meter</t>
  </si>
  <si>
    <t>Energy consumption for complete well</t>
  </si>
  <si>
    <t>Drilling time, horizontal</t>
  </si>
  <si>
    <t>4</t>
  </si>
  <si>
    <t>5</t>
  </si>
  <si>
    <t>4-5 MW (E-Mail Dirk 15.11.2023)</t>
  </si>
  <si>
    <t>Drilling time, drilling only (without completion/logging), vertical, two wells</t>
  </si>
  <si>
    <t>Energy consumption during drilling:</t>
  </si>
  <si>
    <t xml:space="preserve"> - Mud circulation system/pumping</t>
  </si>
  <si>
    <t xml:space="preserve"> - Hoisting system (raises and lowers the drill string using a drawworks system</t>
  </si>
  <si>
    <t xml:space="preserve"> - power generation (diesel generators to supply all rig systems</t>
  </si>
  <si>
    <t xml:space="preserve"> - (Rotary) drilling system</t>
  </si>
  <si>
    <t xml:space="preserve"> - Auxiliary systems</t>
  </si>
  <si>
    <t>Energy consumption during completion:</t>
  </si>
  <si>
    <t xml:space="preserve"> - Running casing into the well</t>
  </si>
  <si>
    <t xml:space="preserve"> - Cementing: Cement pumps, mixing/perparing cement slurry</t>
  </si>
  <si>
    <t>Energy consumption during logging: minimal</t>
  </si>
  <si>
    <t>Rough estimation of installed capacity for completion</t>
  </si>
  <si>
    <t>Estimation: 10% of drilling rig capacity needed</t>
  </si>
  <si>
    <t>Energy use for completion</t>
  </si>
  <si>
    <t>Energy use for logging</t>
  </si>
  <si>
    <t>neglected</t>
  </si>
  <si>
    <t>Fluid system takes most of the power (pumps) according to Dirk</t>
  </si>
  <si>
    <t>Estimation chatgpt: 10% of drilling rig capacity</t>
  </si>
  <si>
    <t>Completion time, vertical, two wells</t>
  </si>
  <si>
    <t>No completion needed for horizontal well (open hole)</t>
  </si>
  <si>
    <t>Distributing over the total length so that values can be summed up</t>
  </si>
  <si>
    <t>MJ/m</t>
  </si>
  <si>
    <t>vertical, two wells</t>
  </si>
  <si>
    <t>total</t>
  </si>
  <si>
    <t>market for electricity, medium voltage</t>
  </si>
  <si>
    <t>Reference product</t>
  </si>
  <si>
    <t>Activities</t>
  </si>
  <si>
    <t>well, constructed, plasma pulse geothermal drilling, advanced geothermal system, 12000 m vertical 42000 m horizontal, per m</t>
  </si>
  <si>
    <t>drilling rig construction, plasma pulse geothermal drilling</t>
  </si>
  <si>
    <t>well closure, advanced geothermal system, 12000 m vertical 42000 m horizontal, per m</t>
  </si>
  <si>
    <t>well, closed, advanced geothermal system, 12000 m vertical 42000 m horizontal, per m</t>
  </si>
  <si>
    <t>geothermal power plant, advanced geothermal system, CO2 working fluid, ca. 1.9 MW</t>
  </si>
  <si>
    <t>geothermal power plant construction, advanced geothermal system, CO2 working fluid, ca. 1.9 MW</t>
  </si>
  <si>
    <t>CO2 conditioning, at 15 bar, waste incineration plant, Linth, Switzerland</t>
  </si>
  <si>
    <t>CO2 supply chain</t>
  </si>
  <si>
    <t>Geothermal plant construction</t>
  </si>
  <si>
    <t xml:space="preserve">Electricity production </t>
  </si>
  <si>
    <t>meter</t>
  </si>
  <si>
    <t>Steel consumption for casing</t>
  </si>
  <si>
    <t>Mapping of materials/processes needed in the LCI model with datasets available in the ecoinvent or the premise database</t>
  </si>
  <si>
    <t>Well casing</t>
  </si>
  <si>
    <t>Cement class G</t>
  </si>
  <si>
    <t>"No additions other than calcium sulfate or water, or both, shall be interground or blended with the clinker during manufacture of Class G well cement."</t>
  </si>
  <si>
    <t>https://petrowiki.spe.org/Cement_composition_and_classification#Class_G</t>
  </si>
  <si>
    <t>"Almost all drilling cements are made of Portland cement, a calcined (burned) blend of limestone and clay."</t>
  </si>
  <si>
    <r>
      <t xml:space="preserve">CEM I is </t>
    </r>
    <r>
      <rPr>
        <b/>
        <sz val="11"/>
        <color theme="1"/>
        <rFont val="Calibri"/>
        <family val="2"/>
        <scheme val="minor"/>
      </rPr>
      <t>ordinary Portland cement</t>
    </r>
    <r>
      <rPr>
        <sz val="11"/>
        <color theme="1"/>
        <rFont val="Calibri"/>
        <family val="2"/>
        <scheme val="minor"/>
      </rPr>
      <t>, i.e. cement comprising at least 95% clinker.</t>
    </r>
  </si>
  <si>
    <t>https://www.vicat.com/faq/what-are-different-kinds-cement</t>
  </si>
  <si>
    <t>Cement class G is closest to Portland Cement (CEM I).</t>
  </si>
  <si>
    <t>Dataset chosen</t>
  </si>
  <si>
    <t>cement, Portland</t>
  </si>
  <si>
    <t>market for cement, Portland</t>
  </si>
  <si>
    <t>API classes</t>
  </si>
  <si>
    <t>nitrogen, liquid</t>
  </si>
  <si>
    <t>market for nitrogen, liquid</t>
  </si>
  <si>
    <t>dust collector, multicyclone</t>
  </si>
  <si>
    <t>dust collector production, multicyclone</t>
  </si>
  <si>
    <t>No estimate availabe, technology not yet described, first estimate, known data gap.  Gas flow to cool the plasma generation equipment and to help lifting the rock debris/gases out of the borehole</t>
  </si>
  <si>
    <t>No estimate availabe, technology not yet described, first estimate, known data gap. Cyclone separator for initial gas treatment/particulate removal: infrastructure to separate the solid particles from the gas stream. Gas and dust control infrastructure which includes the following: gas scrubber (wet or dry), gas analysis equipment, containment and storage systems</t>
  </si>
  <si>
    <t>No estimate availabe, technology not yet described, first estimate, known data gap. Energy use per m3 gas treated: depends on gas volume, composition, required treatment level</t>
  </si>
  <si>
    <t>diesel, burned in diesel-electric generating set, 10MW, for oil and gas extraction</t>
  </si>
  <si>
    <t xml:space="preserve">Diesel generator used as backup in case of electricity shortage. It is assumed that 2% of the total energy needs to come from the diesel generator. I assume an efficiency of 40% for the generator. </t>
  </si>
  <si>
    <t>Energy consumption for drilling, completion and logging. This is assumed to include cooling systems, pumping, drilling rig, etc. It is assumed that 98% of the energy need is covered by electricity, the rest from a backup diesel generator set.</t>
  </si>
  <si>
    <t>drilling waste</t>
  </si>
  <si>
    <t>market for drilling waste</t>
  </si>
  <si>
    <t>No estimation of the waste to be treated taken out from the well</t>
  </si>
  <si>
    <t>Occupation, construction site</t>
  </si>
  <si>
    <t>square meter-year</t>
  </si>
  <si>
    <t>natural resource::land</t>
  </si>
  <si>
    <t>Transformation, from unspecified</t>
  </si>
  <si>
    <t>Installation of the drilling place</t>
  </si>
  <si>
    <t>Area</t>
  </si>
  <si>
    <t>m2</t>
  </si>
  <si>
    <t>Weight of the drilling rig</t>
  </si>
  <si>
    <t>tons</t>
  </si>
  <si>
    <t>Volume to be paved</t>
  </si>
  <si>
    <t>Densities</t>
  </si>
  <si>
    <t>Cement slurry</t>
  </si>
  <si>
    <t xml:space="preserve">Usually, a cement slurry made from water and cement class G (and additives)  is applied into the well, not the pure cement. </t>
  </si>
  <si>
    <t>https://www.almoghera.com/OilfieldGlossary/Cement-Slurry-Well-Cementing.html</t>
  </si>
  <si>
    <t>"A cement slurry is a mixture of dry cement and water. In oil industry is used for the well-cementing process to creating fill the space between the casing and the hole, forming a solid barrier."</t>
  </si>
  <si>
    <t xml:space="preserve">The density varies heavily, depending on the actual composition of the cement slurry. </t>
  </si>
  <si>
    <t>https://glossary.slb.com/en/Terms/s/slurry_density.aspx</t>
  </si>
  <si>
    <t>Density chosen</t>
  </si>
  <si>
    <t>Assumption for the water:cement ratio (weight)</t>
  </si>
  <si>
    <t>Water use per m, for cement slurry</t>
  </si>
  <si>
    <t>Cement use per m, for cement slurry</t>
  </si>
  <si>
    <t>weight shares, 1 kg cement slurry</t>
  </si>
  <si>
    <t>Cement consumption for casing, cement slurry</t>
  </si>
  <si>
    <t>Pavement composition</t>
  </si>
  <si>
    <t xml:space="preserve">Cement CEM I (Portland cement) </t>
  </si>
  <si>
    <t>Assumption, but should be correct</t>
  </si>
  <si>
    <t>Reinforcing steel</t>
  </si>
  <si>
    <t>Water</t>
  </si>
  <si>
    <t>Water consumption for casing, cement slurry. Water can be potable water, or surface water/groundwater which is tested for minerals/pollutants before use. Not all drilling places may have access to surface/groundwater! I use tap water as a proxy to at least account for some transport/conditioning of the water.</t>
  </si>
  <si>
    <t>reinforcing steel</t>
  </si>
  <si>
    <t>market for reinforcing steel</t>
  </si>
  <si>
    <t>sand</t>
  </si>
  <si>
    <t>market for sand</t>
  </si>
  <si>
    <t xml:space="preserve">Conservative estimate only taking into account the actual drilling/completion/logging time, but neglecting any preparation and clean-up time. </t>
  </si>
  <si>
    <t xml:space="preserve">Construction of a complete well with plasma pulse geothermal drilling technology. The vertical depth is 6 km for 1 production well and 1 injection well each, and the horizontal loop length is 42 km. PPGD is assumed to not require drilling mud (and thus no additives like bentonite etc.), and is dry (i.e. does not require water). 
This dataset is based on little technological knowledge on PPGD as this is a technology which doesn't exist yet. It neglects the removal and eventual treatment of substances from the well drilling, e.g. CO2 from carbonate rocks, metal oxides, trace elements, solid residues; in case of wet scrubbers: slurry with dissolved minerals/suspended particles; radioactive materials; water use for cooling or dust suppression; dust collection/gas flow control. No assumptions on the exchange rate of the PPGD equipment in the borehole could be taken. </t>
  </si>
  <si>
    <t>Well closure</t>
  </si>
  <si>
    <t xml:space="preserve">A well closure ith cement bridges in the vertical well is assumed in the same was it was foreseen for the drilling in St. Gallen </t>
  </si>
  <si>
    <t>Neglected in the LCI</t>
  </si>
  <si>
    <t xml:space="preserve">Construction of the surface plant. Based on assumptions. Consists of the surface plant with turbines, generators, pumps, electricity infrastructure; the pipes, pumps, land occupation. Further, the well and the CO2 are included in this dataset. </t>
  </si>
  <si>
    <t>Plain estimate. The building area is ca. 500 m2. Assumed that the surroundings take an additional 500 m2.</t>
  </si>
  <si>
    <t>Reinjections of lost CO2. Assumed to be 5% of the total iniatial mass over the whole life.</t>
  </si>
  <si>
    <t xml:space="preserve">Electricity production with a hypothetical ags system. Maintenance and operation is neglected. </t>
  </si>
  <si>
    <t>Placeholder for pipes</t>
  </si>
  <si>
    <t>market group for light fuel oil</t>
  </si>
  <si>
    <t>hydrogen, gaseous, medium pressure, merchant</t>
  </si>
  <si>
    <t>market for hydrogen, gaseous, medium pressure, merchant</t>
  </si>
  <si>
    <t>heat and power co-generation unit, 1MWel, 6.4MWth</t>
  </si>
  <si>
    <t>heat and power co-generation unit construction, 1MWel, 6.4 MWth</t>
  </si>
  <si>
    <t>surface plant. Approximated with a CHP plant, organic rankine cycle, 1 Mwel 6.4 MWth. Built for modelling deep geothermal power plants.</t>
  </si>
  <si>
    <t>assumption no losses</t>
  </si>
  <si>
    <t>CO2 storage, temporary, 5 days, 15 bar, waste incineration plant, Linth, Switzerland, without CO2 input</t>
  </si>
  <si>
    <t>CO2, stored, temporary, 5 days, 15 bar, waste incineration plant, Linth, Switzerland, without CO2 input</t>
  </si>
  <si>
    <t>CO2 transport, liquid, 15 bar, from waste incineration plant, Linth, Switzerland, without CO2 input</t>
  </si>
  <si>
    <t>CO2, supercritical, 90 bar, for pumping into geothermal well, without CO2 input</t>
  </si>
  <si>
    <t>CO2 transported, liquid, 15 bar, from waste incineration plant, Linth, Switzerland, without CO2 input</t>
  </si>
  <si>
    <t>water pump operation, electric, CH mix</t>
  </si>
  <si>
    <t xml:space="preserve">Copy from ecoinvent process so that electricity source can be adjusted. </t>
  </si>
  <si>
    <t>t per hour</t>
  </si>
  <si>
    <t>suggested capacity (see tab "CO2)</t>
  </si>
  <si>
    <t>capturing capacity</t>
  </si>
  <si>
    <t>hours for this capacity</t>
  </si>
  <si>
    <t>capacity factor of capture plant</t>
  </si>
  <si>
    <t>could be higher</t>
  </si>
  <si>
    <t>CO2 captured at capture unit, waste incineration plant, Linth, Switzerland, without CO2 input</t>
  </si>
  <si>
    <t>CO2 conditioning, at 15 bar, waste incineration plant, Linth, Switzerland, without CO2 input and electricity</t>
  </si>
  <si>
    <t>CO2, conditioned, at 15 bar, waste incineration plant, Linth, Switzerland, without CO2 input and electricity</t>
  </si>
  <si>
    <t>CO2 storage, temporary, 5 days, 15 bar, waste incineration plant, Linth, Switzerland, without CO2 input and water pump</t>
  </si>
  <si>
    <t>CO2, stored, temporary, 5 days, 15 bar, waste incineration plant, Linth, Switzerland, without CO2 input and water pump</t>
  </si>
  <si>
    <t>CO2 production, supercritical, 90 bar, for pumping into geothermal well, without CO2 input and electricity</t>
  </si>
  <si>
    <t>CO2 pumping, supercritical, into geothermal well, per meter, without CO2 input and electricity</t>
  </si>
  <si>
    <t>CO2, supercritical, pumped into geothermal well, per meter, without CO2 input and electricity</t>
  </si>
  <si>
    <t>Note: left unchanged for future versions in the foreground adapted in the background</t>
  </si>
  <si>
    <t>EF v3.1 | climate change | global warming potential (GWP100)</t>
  </si>
  <si>
    <t>EF v3.1 | ecotoxicity: freshwater | comparative toxic unit for ecosystems (CTUe)</t>
  </si>
  <si>
    <t>EF v3.1 | land use | soil quality index</t>
  </si>
  <si>
    <t>EF v3.1 | material resources: metals/minerals | abiotic depletion potential (ADP): elements (ultimate reserves)</t>
  </si>
  <si>
    <t>EF v3.1 | ozone depletion | ozone depletion potential (ODP)</t>
  </si>
  <si>
    <t>EF v3.1 | particulate matter formation | impact on human health</t>
  </si>
  <si>
    <t>EF v3.1 | photochemical oxidant formation: human health | tropospheric ozone concentration increase</t>
  </si>
  <si>
    <t>CO2 capture unit operation, waste incineration plant, Linth, Switzerland | CO2 capture unit operation, waste incineration plant, Linth, Switzerland | CH | hour | co2_kva</t>
  </si>
  <si>
    <t>water, cooled | water cooling | CH | megajoule | co2_kva</t>
  </si>
  <si>
    <t>CO2 transported, liquid, 15 bar, from waste incineration plant, Linth, Switzerland | CO2 transport, liquid, 15 bar, from waste incineration plant, Linth, Switzerland | CH | kilogram | co2_kva</t>
  </si>
  <si>
    <t>CO2, supercritical, 90 bar, for pumping into geothermal well, without CO2 input | CO2 production, supercritical, 90 bar, for pumping into geothermal well, without CO2 input and electricity | CH | kilogram | co2_kva</t>
  </si>
  <si>
    <t>CO2, conditioned, at 15 bar, waste incineration plant, Linth, Switzerland, without CO2 input and electricity | CO2 conditioning, at 15 bar, waste incineration plant, Linth, Switzerland, without CO2 input and electricity | CH | kilogram | co2_kva</t>
  </si>
  <si>
    <t>CO2, stored, temporary, 5 days, 15 bar, waste incineration plant, Linth, Switzerland | CO2 storage, temporary, 5 days, 15 bar, waste incineration plant, Linth, Switzerland | CH | kilogram | co2_kva</t>
  </si>
  <si>
    <t>CO2 transported, liquid, 15 bar, from waste incineration plant, Linth, Switzerland, without CO2 input | CO2 transport, liquid, 15 bar, from waste incineration plant, Linth, Switzerland, without CO2 input | CH | kilogram | co2_kva</t>
  </si>
  <si>
    <t>CO2, supercritical, pumped into geothermal well, per meter, without CO2 input and electricity | CO2 pumping, supercritical, into geothermal well, per meter, without CO2 input and electricity | CH | kilogram | co2_kva</t>
  </si>
  <si>
    <t>CO2, supercritical, pumped into geothermal well, per meter | CO2 pumping, supercritical, into geothermal well, per meter | CH | kilogram | co2_kva</t>
  </si>
  <si>
    <t>CO2, stored, temporary, 5 days, 15 bar, waste incineration plant, Linth, Switzerland, without CO2 input and water pump | CO2 storage, temporary, 5 days, 15 bar, waste incineration plant, Linth, Switzerland, without CO2 input and water pump | CH | kilogram | co2_kva</t>
  </si>
  <si>
    <t>water pump operation, electric, CH mix | water pump operation, electric, CH mix | CH | megajoule | co2_kva</t>
  </si>
  <si>
    <t>CO2 captured at capture unit, waste incineration plant, Linth, Switzerland | CO2 captured at capture unit, waste incineration plant, Linth, Switzerland | CH | kilogram | co2_kva</t>
  </si>
  <si>
    <t>CO2, conditioned, at 15 bar, waste incineration plant, Linth, Switzerland | CO2 conditioning, at 15 bar, waste incineration plant, Linth, Switzerland | CH | kilogram | co2_kva</t>
  </si>
  <si>
    <t>CO2, supercritical, 90 bar, for pumping into geothermal well | CO2 production, supercritical, 90 bar, for pumping into geothermal well | CH | kilogram | co2_kva</t>
  </si>
  <si>
    <t>well, constructed, plasma pulse geothermal drilling, advanced geothermal system, 12000 m vertical 42000 m horizontal, per m, without electricity</t>
  </si>
  <si>
    <t>geothermal power plant construction, advanced geothermal system, CO2 working fluid, ca. 1.9 MW, without CO2 and well</t>
  </si>
  <si>
    <t>geothermal power plant, advanced geothermal system, CO2 working fluid, ca. 1.9 MW, without CO2 and well</t>
  </si>
  <si>
    <t>CH_electricity</t>
  </si>
  <si>
    <t>Future electricity mixes for use in the AEGIS project</t>
  </si>
  <si>
    <t>BAU</t>
  </si>
  <si>
    <t>Shares</t>
  </si>
  <si>
    <t>sumcheck</t>
  </si>
  <si>
    <t>sumcheck without storage</t>
  </si>
  <si>
    <t>Note: Although in this project a deployment of deep geothermal power would have been modelled, this has not happened anymore due to the closure of the project (and also due to the high projected cost of electricity from AGS this electricity would not be chosen by the model).</t>
  </si>
  <si>
    <t>This is a contradiction</t>
  </si>
  <si>
    <t>premise dataset</t>
  </si>
  <si>
    <t>hydro in today's shares</t>
  </si>
  <si>
    <t>PV roof-top/open field</t>
  </si>
  <si>
    <t>geothermal power plant, advanced geothermal system, CO2 working fluid, ca. 1.9 MW, without CO2 and well | geothermal power plant construction, advanced geothermal system, CO2 working fluid, ca. 1.9 MW, without CO2 and well | CH | unit | ags</t>
  </si>
  <si>
    <t>well, closed, advanced geothermal system, 12000 m vertical 42000 m horizontal, per m | well closure, advanced geothermal system, 12000 m vertical 42000 m horizontal, per m | CH | meter | ags</t>
  </si>
  <si>
    <t>well, constructed, plasma pulse geothermal drilling, advanced geothermal system, 12000 m vertical 42000 m horizontal, per m | well construction, plasma pulse geothermal drilling, advanced geothermal system, 12000 m vertical 42000 m horizontal, per m | CH | meter | ags</t>
  </si>
  <si>
    <t>drilling rig, plasma pulse geothermal drilling | drilling rig construction, plasma pulse geothermal drilling | CH | unit | ags</t>
  </si>
  <si>
    <t>electricity, high voltage | electricity production, advanced geothermal system plant | CH | kilowatt hour | ags</t>
  </si>
  <si>
    <t>electricity production, from hydrogen-fired one gigawatt gas turbine</t>
  </si>
  <si>
    <t>EUR</t>
  </si>
  <si>
    <t>municipal waste incineration, at incineration plant, with wet air pollution control, with flue gas condensation, with electricity and optimized heat recovery, with carbon capture and storage, energy allocation</t>
  </si>
  <si>
    <t>DE</t>
  </si>
  <si>
    <t>heat and power co-generation, natural gas, combined cycle power plant, 400MW electrical</t>
  </si>
  <si>
    <t>domestic electricity production, Switzerland, 2030, BAU scenario</t>
  </si>
  <si>
    <t>electricity production, at natural gas-fired combined cycle power plant, post, pipeline 200km, storage 1000m</t>
  </si>
  <si>
    <t>premise</t>
  </si>
  <si>
    <t>ecoinvent</t>
  </si>
  <si>
    <t>Kernkraftwerke der Schweiz - Erzeugung, Leistung und Arbeitsausnutzung</t>
  </si>
  <si>
    <t>Centrales nucléaires en Suisse - Production, puissance et taux d'utilisation</t>
  </si>
  <si>
    <t>Quelle: Bundesamt für Energie BFE, Schweizerische Elektrizitätsstatistik 2023 (Tab. 17); aktualisiert am 28.3.2024.</t>
  </si>
  <si>
    <t>Source: Office fédéral de l'énergie OFEN, Statistique suisse de l'électricité 2023 (tabl. 17); actualisé le 28.3.2024.</t>
  </si>
  <si>
    <t>Beznau I</t>
  </si>
  <si>
    <t>Beznau II</t>
  </si>
  <si>
    <t>Mühleberg</t>
  </si>
  <si>
    <t>Gösgen</t>
  </si>
  <si>
    <t>Leibstadt</t>
  </si>
  <si>
    <t>Total</t>
  </si>
  <si>
    <t>Jahr</t>
  </si>
  <si>
    <t>Erzeugung</t>
  </si>
  <si>
    <t>Leistung</t>
  </si>
  <si>
    <t>Arbeitsausnutzung</t>
  </si>
  <si>
    <t>Année</t>
  </si>
  <si>
    <t>Production</t>
  </si>
  <si>
    <t>Puissance</t>
  </si>
  <si>
    <t>Taux d'utilisation</t>
  </si>
  <si>
    <t>GWh</t>
  </si>
  <si>
    <t>MWe</t>
  </si>
  <si>
    <t>%</t>
  </si>
  <si>
    <t>max.</t>
  </si>
  <si>
    <t>https://www.bfe.admin.ch/bfe/de/home/versorgung/statistik-und-geodaten/energiestatistiken/elektrizitaetsstatistik.exturl.html/aHR0cHM6Ly9wdWJkYi5iZmUuYWRtaW4uY2gvZGUvcHVibGljYX/Rpb24vZG93bmxvYWQvOTYwNg==.html</t>
  </si>
  <si>
    <t>Beznau</t>
  </si>
  <si>
    <t>PWR</t>
  </si>
  <si>
    <t>BWR</t>
  </si>
  <si>
    <t>Electricity production 2023</t>
  </si>
  <si>
    <t>electricity production, nuclear, pressure water reactor</t>
  </si>
  <si>
    <t>electricity production, nuclear, boiling water reactor</t>
  </si>
  <si>
    <t>heat and power co-generation, wood chips, 6667 kW, state-of-the-art 2014</t>
  </si>
  <si>
    <t>electricity production, at co-generation wood-fired power plant, post, pipeline 200km, storage 1000m</t>
  </si>
  <si>
    <t>heat and power co-generation, biogas, gas engine</t>
  </si>
  <si>
    <t>electricity production, hydro, reservoir, alpine region</t>
  </si>
  <si>
    <t>electricity production, hydro, pumped storage</t>
  </si>
  <si>
    <t>Elektrizitätsproduktion der Schweiz - Wasserkraft nach Kraftwerkstyp - Jahreswerte (in GWh)</t>
  </si>
  <si>
    <t>Production d'électricité en Suisse - Hydroélectricité par type de centrale - Valeurs annuels (en GWh)</t>
  </si>
  <si>
    <t>Quelle: Bundesamt für Energie BFE, Schweizerische Elektrizitätsstatistik 2023 (Tab. 8); aktualisiert am 28.03.2024.</t>
  </si>
  <si>
    <t>Source: Office fédéral de l'énergie OFEN, Statistique suisse de l'électricité 2023 (tabl. 8); actualisé le 28.03.2024.</t>
  </si>
  <si>
    <t>Kalenderjahr</t>
  </si>
  <si>
    <t>Laufkraftwerke</t>
  </si>
  <si>
    <t>Speicherkraftwerke</t>
  </si>
  <si>
    <t>Laufkraftwerke&amp;Speicherkraftwerke</t>
  </si>
  <si>
    <t>Année civile</t>
  </si>
  <si>
    <t>Centrales au fil de l'eau</t>
  </si>
  <si>
    <t>Centrales à accumulation</t>
  </si>
  <si>
    <t>Centrales au fil de l'eau&amp;Centrales à accumulation</t>
  </si>
  <si>
    <t>https://www.bfe.admin.ch/bfe/de/home/versorgung/statistik-und-geodaten/energiestatistiken/elektrizitaetsstatistik.exturl.html/aHR0cHM6Ly9wdWJkYi5iZmUuYWRtaW4uY2gvZGUvcHVibGljYX/Rpb24vZG93bmxvYWQvOTYwNQ==.html</t>
  </si>
  <si>
    <t>electricity production, wind, &gt;3MW turbine, onshore</t>
  </si>
  <si>
    <t>electricity production, photovoltaic, 3kWp slanted-roof installation, multi-Si, panel, mounted</t>
  </si>
  <si>
    <t>Photovoltaics - shares roof-top vs. open ground installations</t>
  </si>
  <si>
    <t>Energiezukunft 2050</t>
  </si>
  <si>
    <t>open ground alpine only small share (2TWh by 2050. Ca. 1/10 of total solar)</t>
  </si>
  <si>
    <t>open ground</t>
  </si>
  <si>
    <t>roof-top</t>
  </si>
  <si>
    <t>Total, with storage</t>
  </si>
  <si>
    <t>market for electricity, medium voltage, for LiS battery</t>
  </si>
  <si>
    <t>ei_cutoff_3.10_remind_SSP2-PkBudg1150_2050 2024-11-21</t>
  </si>
  <si>
    <t>Reservoir</t>
  </si>
  <si>
    <t>Run-of-river</t>
  </si>
  <si>
    <t>domestic electricity production, Switzerland, 2019, BAU scenario</t>
  </si>
  <si>
    <t>AT</t>
  </si>
  <si>
    <t>municipal waste incineration, at incineration plant, with wet air pollution control, with flue gas condensation, with electricity and heat recovery, energy allocation</t>
  </si>
  <si>
    <t>Projected domestic electricity production in Switzerland, BAU scenario</t>
  </si>
  <si>
    <t>domestic electricity production, Switzerland, 2040, BAU scenario</t>
  </si>
  <si>
    <t>domestic electricity production, Switzerland, 2050, BAU scenario</t>
  </si>
  <si>
    <t>domestic electricity production, Switzerland, 2030, INNOV scenario</t>
  </si>
  <si>
    <t>domestic electricity production, Switzerland, 2040, INNOV scenario</t>
  </si>
  <si>
    <t>domestic electricity production, Switzerland, 2050, INNOV scenario</t>
  </si>
  <si>
    <t>ei_cutoff_3.10_remind_SSP2-Base_2025 2024-11-21</t>
  </si>
  <si>
    <t>ei_cutoff_3.10_remind_SSP2-Base_2035 2024-11-21</t>
  </si>
  <si>
    <t>ei_cutoff_3.10_remind_SSP2-Base_2050 2024-11-21</t>
  </si>
  <si>
    <t>ei_cutoff_3.10_remind_SSP2-PkBudg1150_2025 2024-11-21</t>
  </si>
  <si>
    <t>ei_cutoff_3.10_remind_SSP2-PkBudg1150_2035 2024-11-21</t>
  </si>
  <si>
    <t>premise_BAU_2050</t>
  </si>
  <si>
    <t>premise_1150_2050</t>
  </si>
  <si>
    <t xml:space="preserve">According to the supplementary information of the source article of these data, these are CHP plants, and only a small fraction is biomethane (most biomethane goes into industrial heat production). </t>
  </si>
  <si>
    <t>Total drilling depth [km]</t>
  </si>
  <si>
    <t>minimal depth</t>
  </si>
  <si>
    <t>maximal depth</t>
  </si>
  <si>
    <t>LOW</t>
  </si>
  <si>
    <t>6 km depth</t>
  </si>
  <si>
    <t>8 km depth</t>
  </si>
  <si>
    <t>kWh/m (generic) // kWh</t>
  </si>
  <si>
    <t>kg/m (generic) // kg</t>
  </si>
  <si>
    <t>Casing, water</t>
  </si>
  <si>
    <t>kg/well</t>
  </si>
  <si>
    <t>Ecoinvent, current</t>
  </si>
  <si>
    <t>Share of CO2 and/or electricity left away</t>
  </si>
  <si>
    <t>electricity, high voltage | domestic electricity production, Switzerland, 2030, BAU scenario | CH | kilowatt hour | CH_electricity</t>
  </si>
  <si>
    <t>electricity, low voltage | market for electricity, low voltage | CH | kilowatt hour | ecoinvent-3.10-cutoff</t>
  </si>
  <si>
    <t>electricity, high voltage | electricity, high voltage, production mix | CH | kilowatt hour | ecoinvent-3.10-cutoff</t>
  </si>
  <si>
    <t>electricity, high voltage, production mix</t>
  </si>
  <si>
    <t>electricity, medium voltage | market for electricity, medium voltage | CH | kilowatt hour | ecoinvent-3.10-cutoff</t>
  </si>
  <si>
    <t>electricity, high voltage | market for electricity, high voltage | CH | kilowatt hour | ecoinvent-3.10-cutoff</t>
  </si>
  <si>
    <t>electricity, high voltage | electricity production, hydro, run-of-river | CH | kilowatt hour | ecoinvent-3.10-cutoff</t>
  </si>
  <si>
    <t>ags datasets</t>
  </si>
  <si>
    <t>electricity datasets</t>
  </si>
  <si>
    <t>BAU 2030</t>
  </si>
  <si>
    <t>BAU 2040</t>
  </si>
  <si>
    <t>BAU 2050</t>
  </si>
  <si>
    <t>INNOV 2030</t>
  </si>
  <si>
    <t>INNOV 2040</t>
  </si>
  <si>
    <t>INNOV 2050</t>
  </si>
  <si>
    <t>ev production mix</t>
  </si>
  <si>
    <t>ev LV</t>
  </si>
  <si>
    <t>ev MV</t>
  </si>
  <si>
    <t>ev HV</t>
  </si>
  <si>
    <t>ev hydro, run-of-river</t>
  </si>
  <si>
    <t>SSP2-Base_2050</t>
  </si>
  <si>
    <t>SSP2-1_5_2030</t>
  </si>
  <si>
    <t>SSP2-1_5_2040</t>
  </si>
  <si>
    <t>SSP2-1_5_2050</t>
  </si>
  <si>
    <t>heat, district or industrial, other than natural gas</t>
  </si>
  <si>
    <t>heat, from municipal waste incineration to generic market for heat district or industrial, other than natural gas</t>
  </si>
  <si>
    <t>materials</t>
  </si>
  <si>
    <t>cement</t>
  </si>
  <si>
    <t>steel, chromium steel 18/8 | market for steel, chromium steel 18/8 | GLO | kilogram | ecoinvent-3.10-cutoff</t>
  </si>
  <si>
    <t>steel, chromium steel 18/8 | market for steel, chromium steel 18/8 | EUR | kilogram | ei_cutoff_3.10_remind_SSP2-Base_2025 2024-11-21</t>
  </si>
  <si>
    <t>steel, chromium steel 18/8 | market for steel, chromium steel 18/8 | EUR | kilogram | ei_cutoff_3.10_remind_SSP2-Base_2035 2024-11-21</t>
  </si>
  <si>
    <t>steel, chromium steel 18/8 | market for steel, chromium steel 18/8 | EUR | kilogram | ei_cutoff_3.10_remind_SSP2-Base_2050 2024-11-21</t>
  </si>
  <si>
    <t>steel, chromium steel 18/8 | market for steel, chromium steel 18/8 | EUR | kilogram | ei_cutoff_3.10_remind_SSP2-PkBudg1150_2025 2024-11-21</t>
  </si>
  <si>
    <t>steel, chromium steel 18/8 | market for steel, chromium steel 18/8 | EUR | kilogram | ei_cutoff_3.10_remind_SSP2-PkBudg1150_2035 2024-11-21</t>
  </si>
  <si>
    <t>steel, chromium steel 18/8 | market for steel, chromium steel 18/8 | EUR | kilogram | ei_cutoff_3.10_remind_SSP2-PkBudg1150_2050 2024-11-21</t>
  </si>
  <si>
    <t>cement, Portland | market for cement, Portland | Europe without Switzerland | kilogram | ecoinvent-3.10-cutoff</t>
  </si>
  <si>
    <t>cement, Portland | market for cement, Portland | CH | kilogram | ei_cutoff_3.10_remind_SSP2-Base_2025 2024-11-21</t>
  </si>
  <si>
    <t>cement, Portland | market for cement, Portland | CH | kilogram | ei_cutoff_3.10_remind_SSP2-Base_2035 2024-11-21</t>
  </si>
  <si>
    <t>cement, Portland | market for cement, Portland | CH | kilogram | ei_cutoff_3.10_remind_SSP2-Base_2050 2024-11-21</t>
  </si>
  <si>
    <t>cement, Portland | market for cement, Portland | CH | kilogram | ei_cutoff_3.10_remind_SSP2-PkBudg1150_2025 2024-11-21</t>
  </si>
  <si>
    <t>cement, Portland | market for cement, Portland | CH | kilogram | ei_cutoff_3.10_remind_SSP2-PkBudg1150_2035 2024-11-21</t>
  </si>
  <si>
    <t>cement, Portland | market for cement, Portland | CH | kilogram | ei_cutoff_3.10_remind_SSP2-PkBudg1150_2050 2024-11-21</t>
  </si>
  <si>
    <t>tap water | market for tap water | CH | kilogram | ecoinvent-3.10-cutoff</t>
  </si>
  <si>
    <t>tap water | market for tap water | CH | kilogram | ei_cutoff_3.10_remind_SSP2-Base_2025 2024-11-21</t>
  </si>
  <si>
    <t>tap water | market for tap water | CH | kilogram | ei_cutoff_3.10_remind_SSP2-Base_2035 2024-11-21</t>
  </si>
  <si>
    <t>tap water | market for tap water | CH | kilogram | ei_cutoff_3.10_remind_SSP2-Base_2050 2024-11-21</t>
  </si>
  <si>
    <t>tap water | market for tap water | CH | kilogram | ei_cutoff_3.10_remind_SSP2-PkBudg1150_2025 2024-11-21</t>
  </si>
  <si>
    <t>tap water | market for tap water | CH | kilogram | ei_cutoff_3.10_remind_SSP2-PkBudg1150_2035 2024-11-21</t>
  </si>
  <si>
    <t>tap water | market for tap water | CH | kilogram | ei_cutoff_3.10_remind_SSP2-PkBudg1150_2050 2024-11-21</t>
  </si>
  <si>
    <t>SSP2-Base_2030</t>
  </si>
  <si>
    <t>SSP2-Base_2040</t>
  </si>
  <si>
    <t>2-amino-2-methyl-1-propanol (AMP) | 2-amino-2-methyl-1-propanol (AMP) production | RER | kilogram | co2_kva</t>
  </si>
  <si>
    <t>LOW  2030</t>
  </si>
  <si>
    <t>LOW  2040</t>
  </si>
  <si>
    <t>LOW  2050</t>
  </si>
  <si>
    <t>maintenance - neglected</t>
  </si>
  <si>
    <t>Sohlplatte</t>
  </si>
  <si>
    <t>Assumptions based on eavor_hauptbetriebsplan_breitenbach_3.0_anlagen.pdf</t>
  </si>
  <si>
    <t>, pages 100-120</t>
  </si>
  <si>
    <t>pages 262ff</t>
  </si>
  <si>
    <t>Bohrplatz 2 only (without roads etc.) in Breitenbach is ca. 100m*50m = 5000m2</t>
  </si>
  <si>
    <t>Large oil rigs</t>
  </si>
  <si>
    <t>https://www.eng-tips.com/threads/weight-of-steel-in-a-drilling-rig.335951/</t>
  </si>
  <si>
    <t>https://www.comacchio.com/en/products/geotechnics-and-exploration/geotechnics/truck-mounted-drill-rigs/</t>
  </si>
  <si>
    <t>https://www.comacchio.com/en/products/geotechnics-and-exploration/geotechnics/truck-mounted-drill-rigs/geo-t-15-1424812141.html</t>
  </si>
  <si>
    <t>See "Statische Berechnung" and comacchio. Extrapolated from comacchio</t>
  </si>
  <si>
    <t>See truck mounted drilling rigs for EXPLORATION (will be smaller probably…)</t>
  </si>
  <si>
    <t>Largest one (15t)</t>
  </si>
  <si>
    <t>ei_cutoff_3.10_remind_SSP2-Base_2030 2024-12-02</t>
  </si>
  <si>
    <t>ei_cutoff_3.10_remind_SSP2-Base_2040 2024-12-02</t>
  </si>
  <si>
    <t>ei_cutoff_3.10_remind_SSP2-PkBudg1150_2030 2024-12-02</t>
  </si>
  <si>
    <t>ei_cutoff_3.10_remind_SSP2-PkBudg1150_2040 2024-12-02</t>
  </si>
  <si>
    <t>premise_BAU_2030</t>
  </si>
  <si>
    <t>premise_BAU_2040</t>
  </si>
  <si>
    <t>premise_1150_20230</t>
  </si>
  <si>
    <t>premise_1150_2040</t>
  </si>
  <si>
    <t>electricity, for reuse in municipal waste incineration only</t>
  </si>
  <si>
    <t>market for electricity, for reuse in municipal waste incineration only</t>
  </si>
  <si>
    <t>water pump operation, electric, electricity from waste incineration</t>
  </si>
  <si>
    <t>well construction, plasma pulse geothermal drilling, advanced geothermal system, 12000 m vertical 42000 m horizontal, per m, without electricity, steel, cement, water, drilling rig</t>
  </si>
  <si>
    <t>well, constructed, plasma pulse geothermal drilling, advanced geothermal system, 12000 m vertical 42000 m horizontal, per m, without electricity | well construction, plasma pulse geothermal drilling, advanced geothermal system, 12000 m vertical 42000 m horizontal, per m, without electricity, steel, cement, water, drilling rig | CH | meter | ags</t>
  </si>
  <si>
    <t>ags_bau_2030</t>
  </si>
  <si>
    <t>ags_bau_2040</t>
  </si>
  <si>
    <t>ags_bau_2050</t>
  </si>
  <si>
    <t>ags_low_2030</t>
  </si>
  <si>
    <t>ags_low_2040</t>
  </si>
  <si>
    <t>ags_low_2050</t>
  </si>
  <si>
    <t>geothermal power plant, advanced geothermal system, CO2 working fluid, ca. 1.9 MW, without CO2 and well | geothermal power plant construction, advanced geothermal system, CO2 working fluid, ca. 1.9 MW, without CO2 and well | CH | unit | ags_bau_2030</t>
  </si>
  <si>
    <t>geothermal power plant, advanced geothermal system, CO2 working fluid, ca. 1.9 MW, without CO2 and well | geothermal power plant construction, advanced geothermal system, CO2 working fluid, ca. 1.9 MW, without CO2 and well | CH | unit | ags_bau_2040</t>
  </si>
  <si>
    <t>geothermal power plant, advanced geothermal system, CO2 working fluid, ca. 1.9 MW, without CO2 and well | geothermal power plant construction, advanced geothermal system, CO2 working fluid, ca. 1.9 MW, without CO2 and well | CH | unit | ags_bau_2050</t>
  </si>
  <si>
    <t>geothermal power plant, advanced geothermal system, CO2 working fluid, ca. 1.9 MW, without CO2 and well | geothermal power plant construction, advanced geothermal system, CO2 working fluid, ca. 1.9 MW, without CO2 and well | CH | unit | ags_low_2030</t>
  </si>
  <si>
    <t>geothermal power plant, advanced geothermal system, CO2 working fluid, ca. 1.9 MW, without CO2 and well | geothermal power plant construction, advanced geothermal system, CO2 working fluid, ca. 1.9 MW, without CO2 and well | CH | unit | ags_low_2040</t>
  </si>
  <si>
    <t>geothermal power plant, advanced geothermal system, CO2 working fluid, ca. 1.9 MW, without CO2 and well | geothermal power plant construction, advanced geothermal system, CO2 working fluid, ca. 1.9 MW, without CO2 and well | CH | unit | ags_low_2050</t>
  </si>
  <si>
    <t>CO2, stored, temporary, 5 days, 15 bar, waste incineration plant, Linth, Switzerland, without CO2 input | CO2 storage, temporary, 5 days, 15 bar, waste incineration plant, Linth, Switzerland, without CO2 input | CH | kilogram | co2_kva</t>
  </si>
  <si>
    <t>water pump operation, electric, electricity from waste incineration | water pump operation, electric, electricity from waste incineration | CH | megajoule | co2_kva</t>
  </si>
  <si>
    <t>100a</t>
  </si>
  <si>
    <t>30a</t>
  </si>
  <si>
    <t>Well, energy</t>
  </si>
  <si>
    <t>Well, materials</t>
  </si>
  <si>
    <t>CO2 supply</t>
  </si>
  <si>
    <t>Drilling rig</t>
  </si>
  <si>
    <t>Lifetime variation, 2030 LOW</t>
  </si>
  <si>
    <t>Carbon dioxide, from soil or biomass stock</t>
  </si>
  <si>
    <t xml:space="preserve">Carbon capture efficiency is 90%. It is assumed that the remaining 10% emissions (0.111 kg per kg CO2 captured) are considered to be purely biogenic (KVA Linth says that 50% of the CO2 emissions are biogenic, see sheet "CO2".). The value is set to 0 as no CO2 uptake is modelled within the system boundaries. </t>
  </si>
  <si>
    <t>The drilling place in St. Gallen has an area of ca. 18000m2 (http://www.geothermie.stadt.sg.ch/projekt/vorarbeiten.html). Note: There is a difference between the area where the actual drilling infrastructure is built on and the total area of the drilling place, including e.g. tanks, collecting pond, parking lots, test equipment area, storage area for e.g. the steel, etc. . I have also found figures which are much below the 18'000m2 from St. Gallen, e.g. 5000m for Basel (in the UVB). This source (http://www.erdwerk.com/assets/Uploads/public/Publikationen/bbr_Bohrerfahrungen-bei-Deutschlands-groesstem-Geothermieprojekt.pdf) says that the total area of the drilling place is ca. 12'500m, whereas the actual central drilling area amounts to ca. 2'800m2.</t>
  </si>
  <si>
    <t>Preparation of drilling place - time, dimensions (incl. Thickness of drilling basis (Bohrplatte)), materials</t>
  </si>
  <si>
    <t>ROP</t>
  </si>
  <si>
    <t>Average speed at which the drill bit penetrates the formation.</t>
  </si>
  <si>
    <t xml:space="preserve">Tripping: </t>
  </si>
  <si>
    <t>Process of moving the drill string in or out of the wellbore (e.g. for replacement of the drilling bit, inspection, clearning obstructions, maintenance, logging.</t>
  </si>
  <si>
    <t>Reaming:</t>
  </si>
  <si>
    <t>Enlarging the wellbore/ensuring that it is clean (removing obstructions, smoothing out irregularities, ensuring proper hole diameter)</t>
  </si>
  <si>
    <t>Mobilisation (mob)</t>
  </si>
  <si>
    <t>Moving drilling equipment, personnel, materials to the drilling site</t>
  </si>
  <si>
    <t>demob</t>
  </si>
  <si>
    <t>Dismantling the rig &amp;other equipment</t>
  </si>
  <si>
    <t>Logging</t>
  </si>
  <si>
    <t>Collecting information on the geological formations/conditions in the wellbore. E.g. rock, fluids</t>
  </si>
  <si>
    <t>Measured depth [m]</t>
  </si>
  <si>
    <t>Start</t>
  </si>
  <si>
    <t>End</t>
  </si>
  <si>
    <t>Rate of penetration (ROP) [m/h]</t>
  </si>
  <si>
    <t>n.a.</t>
  </si>
  <si>
    <t>histogram</t>
  </si>
  <si>
    <t>max</t>
  </si>
  <si>
    <t>average</t>
  </si>
  <si>
    <t>total well depth</t>
  </si>
  <si>
    <t>6km</t>
  </si>
  <si>
    <t>4.5 km</t>
  </si>
  <si>
    <t>8 km</t>
  </si>
  <si>
    <t>simplified modelling!</t>
  </si>
  <si>
    <t>Wells with a depth of 8 km</t>
  </si>
  <si>
    <t>simplified modelling</t>
  </si>
  <si>
    <t>6 km</t>
  </si>
  <si>
    <t>4.39 to 5.59</t>
  </si>
  <si>
    <t>Sumcheck</t>
  </si>
  <si>
    <t>Wells with a depth between 4 and 5 km</t>
  </si>
  <si>
    <t>Wells with a depth between 5.01 and 7 km</t>
  </si>
  <si>
    <t>Wells with a depth above 7.01 km</t>
  </si>
  <si>
    <t>4.5 km (4-5 km bin)</t>
  </si>
  <si>
    <t>6 km (5-7 km bin)</t>
  </si>
  <si>
    <t>8 km (7-8 km bin)</t>
  </si>
  <si>
    <t>Total CO2 needed to fill the volume</t>
  </si>
  <si>
    <t>4.5 km depth</t>
  </si>
  <si>
    <t>Hydro drilling, 2030</t>
  </si>
  <si>
    <t>6 km, 30a</t>
  </si>
  <si>
    <t>6 km, 100a</t>
  </si>
  <si>
    <t>4.5 km, 30a</t>
  </si>
  <si>
    <t>4.5 km, 100a</t>
  </si>
  <si>
    <t>8 km, 30a</t>
  </si>
  <si>
    <t>8 km, 100a</t>
  </si>
  <si>
    <t>This spreadsheet models environmental impacts of Advanced Geothermal Systems.</t>
  </si>
  <si>
    <t xml:space="preserve">It is coupled with jupyter notebooks which allow the import of the inventories into Brightway and which were foreseen to calculate results per polygon. </t>
  </si>
  <si>
    <t>(prospective) Life Cycle Assessment is used as a method.</t>
  </si>
  <si>
    <t>Technical information on the AGS plant are provided by ETH Zürich.</t>
  </si>
  <si>
    <t>well, constructed, plasma pulse geothermal drilling, advanced geothermal system, 12000 m vertical 42000 m horizontal, per m, without electricity, steel, cement, water, drilling rig</t>
  </si>
  <si>
    <t>Approximation for the treatment of the drilling waste. The dataset has been created for onshore and offshore oil/gas wells, thus the type of rock to be treated is (partially) different from the rock extracted for an AGS. The market for waste models a transport of 3 km with an unspecified lorry and 25 km with a freight train. This seems very little, but is left unchanged and generic, as the drilling sites and treatment sites of the AGS wells are still unknown.</t>
  </si>
  <si>
    <t>Total estimated weight of the drilling rig including lorry</t>
  </si>
  <si>
    <t>(estimation 40 t lorry with 13 t lorry + 27 t rig, plus additional 10 t brought on place)</t>
  </si>
  <si>
    <t>Reinforced concrete/steel pad thickness</t>
  </si>
  <si>
    <t xml:space="preserve">Depends on the reinforcement ratio needed. Here I assumed 1.5%. See also another source https://oneclicklca.zendesk.com/hc/en-us/articles/360020943800-Average-Quantities-of-Reinforcement-in-Concrete </t>
  </si>
  <si>
    <t>See https://www.fhwa.dot.gov/pavement/concrete/pubs/hif16026.pdf for basics (but no specific values)</t>
  </si>
  <si>
    <t>Density of reinforced asphalt area is more than a normal road, and normal roads are ca. at 2.2-2.4 t/m3 (depends on the type)</t>
  </si>
  <si>
    <t>Reinforced concrete can be separated into cement/steel at the end of life. Assumption: 90% recycling rate for the reinforced steel.</t>
  </si>
  <si>
    <t>market for inert waste, for final disposal</t>
  </si>
  <si>
    <t>inert waste, for final disposal</t>
  </si>
  <si>
    <t>market for pig iron</t>
  </si>
  <si>
    <t>inert waste, for final disposal | market for inert waste, for final disposal | CH | kilogram | ecoinvent-3.10-cutoff</t>
  </si>
  <si>
    <t>steel, low-alloyed | steel production, electric, low-alloyed | CH | kilogram | ecoinvent-3.10-cutoff</t>
  </si>
  <si>
    <t>steel, low-alloyed</t>
  </si>
  <si>
    <t>steel production, electric, low-alloyed</t>
  </si>
  <si>
    <t>pig iron | market for pig iron | RER | kilogram | ecoinvent-3.10-cutoff</t>
  </si>
  <si>
    <t>pig iron</t>
  </si>
  <si>
    <t>scrap steel | market for scrap steel | CH | kilogram | ecoinvent-3.10-cutoff</t>
  </si>
  <si>
    <t>Total without drilling rig</t>
  </si>
  <si>
    <t>Swiss electricity climate change impacts</t>
  </si>
  <si>
    <t>Current</t>
  </si>
  <si>
    <t>Brutto ROP vs. net ROP</t>
  </si>
  <si>
    <t>Cement slurry, density range</t>
  </si>
  <si>
    <t>Land drilling rig</t>
  </si>
  <si>
    <t xml:space="preserve">400-500 </t>
  </si>
  <si>
    <t>t Hakenlast (max. hick huck load)</t>
  </si>
  <si>
    <t>casing, reserve</t>
  </si>
  <si>
    <t xml:space="preserve">Number of reuses </t>
  </si>
  <si>
    <t>only 50% is paved, rest is befahrbahr für LKW (gekiest)</t>
  </si>
  <si>
    <t>Grundfläche 10m*10m</t>
  </si>
  <si>
    <t>Gravel</t>
  </si>
  <si>
    <t>Lifetime</t>
  </si>
  <si>
    <t>Number of drillings per year</t>
  </si>
  <si>
    <t>Maintenenace rate</t>
  </si>
  <si>
    <t>Drilling rig, material ratio</t>
  </si>
  <si>
    <t>Steel</t>
  </si>
  <si>
    <t>Eher mehr für PPGD</t>
  </si>
  <si>
    <t>Tubing inner diameter</t>
  </si>
  <si>
    <t>6 km and 4.5 km diameters</t>
  </si>
  <si>
    <t>8 km diameters</t>
  </si>
  <si>
    <t>Well diameter</t>
  </si>
  <si>
    <t>Casing diameter</t>
  </si>
  <si>
    <t>6 km lengths</t>
  </si>
  <si>
    <t>Energy consumption of drilling bit itself (without any pumping etc.), as calculated by ETH</t>
  </si>
  <si>
    <t>DRILLING - vertical and horizontal</t>
  </si>
  <si>
    <t>COMPLETION (casing run &amp; cementing) (vertical wells only)</t>
  </si>
  <si>
    <t>LOGGING (vertical wells only)</t>
  </si>
  <si>
    <t>Estimation of time required for well drilling, completion, logging</t>
  </si>
  <si>
    <t>ROP estimate</t>
  </si>
  <si>
    <t>Rotary</t>
  </si>
  <si>
    <t>Visualisation</t>
  </si>
  <si>
    <t>Estimated number of reuses chosen</t>
  </si>
  <si>
    <t>Electronics</t>
  </si>
  <si>
    <t>electronics, for control units</t>
  </si>
  <si>
    <t>market for electronics, for control units</t>
  </si>
  <si>
    <t>Rough assumption. Assumption that the total drilling rig weight is 500 tons, and rough assumption that 70 weight% of it is made from steel, 30% from electronics. Assumption that the drilling rig can be reused for 50 drilling places.</t>
  </si>
  <si>
    <t>Rotary drilling</t>
  </si>
  <si>
    <t>economic</t>
  </si>
  <si>
    <t>extended</t>
  </si>
  <si>
    <t>long</t>
  </si>
  <si>
    <t>Vertical maximal depth</t>
  </si>
  <si>
    <t>Impacts on climate change per kWh</t>
  </si>
  <si>
    <t>LOW 2030</t>
  </si>
  <si>
    <t>LOW 2040</t>
  </si>
  <si>
    <t>LOW 2050</t>
  </si>
  <si>
    <t>electronics scrap from control units</t>
  </si>
  <si>
    <t>market for electronics scrap from control units</t>
  </si>
  <si>
    <t>Well closure: three cement bridges</t>
  </si>
  <si>
    <t>Bridge 1</t>
  </si>
  <si>
    <t>Bridge 3</t>
  </si>
  <si>
    <t>Bridge 2</t>
  </si>
  <si>
    <t>Diameter</t>
  </si>
  <si>
    <t>length</t>
  </si>
  <si>
    <t>Well diameter (hole size)</t>
  </si>
  <si>
    <t>Total volume</t>
  </si>
  <si>
    <t>volume [m3]</t>
  </si>
  <si>
    <t>Assumption based on the information from St. Gallen, BFE and TA Swiss project on EGS</t>
  </si>
  <si>
    <t>well closure, advanced geothermal system, 12000 m vertical 42000 m horizontal, per m, without cement</t>
  </si>
  <si>
    <t>well, closed, advanced geothermal system, 12000 m vertical 42000 m horizontal, per m, without cement</t>
  </si>
  <si>
    <t>kilogram cement</t>
  </si>
  <si>
    <t>drilling rig, plasma pulse geothermal drilling | drilling rig construction, plasma pulse geothermal drilling | CH | unit | ags_bau_2030</t>
  </si>
  <si>
    <t>drilling rig, plasma pulse geothermal drilling | drilling rig construction, plasma pulse geothermal drilling | CH | unit | ags_bau_2040</t>
  </si>
  <si>
    <t>drilling rig, plasma pulse geothermal drilling | drilling rig construction, plasma pulse geothermal drilling | CH | unit | ags_bau_2050</t>
  </si>
  <si>
    <t>drilling rig, plasma pulse geothermal drilling | drilling rig construction, plasma pulse geothermal drilling | CH | unit | ags_low_2030</t>
  </si>
  <si>
    <t>drilling rig, plasma pulse geothermal drilling | drilling rig construction, plasma pulse geothermal drilling | CH | unit | ags_low_2040</t>
  </si>
  <si>
    <t>drilling rig, plasma pulse geothermal drilling | drilling rig construction, plasma pulse geothermal drilling | CH | unit | ags_low_2050</t>
  </si>
  <si>
    <t>geothermal power plant, advanced geothermal system, CO2 working fluid, ca. 1.9 MW | geothermal power plant construction, advanced geothermal system, CO2 working fluid, ca. 1.9 MW | CH | unit | ags</t>
  </si>
  <si>
    <t>BAU, 4.5 km</t>
  </si>
  <si>
    <t>BAU, 8 km</t>
  </si>
  <si>
    <t>LOW, 4.5 km</t>
  </si>
  <si>
    <t>LOW, 8 km</t>
  </si>
  <si>
    <r>
      <t>Greenhouse gas emissions
[g CO</t>
    </r>
    <r>
      <rPr>
        <sz val="11"/>
        <color theme="1"/>
        <rFont val="Times New Roman"/>
        <family val="1"/>
      </rPr>
      <t>₂</t>
    </r>
    <r>
      <rPr>
        <sz val="11"/>
        <color theme="1"/>
        <rFont val="Calibri"/>
        <family val="2"/>
      </rPr>
      <t xml:space="preserve"> -eq/kWh]</t>
    </r>
  </si>
  <si>
    <t>Wall thickness</t>
  </si>
  <si>
    <t>Tubing diameter</t>
  </si>
  <si>
    <t>section length</t>
  </si>
  <si>
    <t>Section length</t>
  </si>
  <si>
    <t>Note that the estimated tubing wall thickness would theoretically have to be subtracted from the cement volume (currently double counting of this volume for both cement and steel, but this is neglected)</t>
  </si>
  <si>
    <t>well diameter</t>
  </si>
  <si>
    <t>casing inner diameter</t>
  </si>
  <si>
    <t>wall thickness</t>
  </si>
  <si>
    <t>production tubing</t>
  </si>
  <si>
    <t>casing outer diameter</t>
  </si>
  <si>
    <t>casing volume</t>
  </si>
  <si>
    <t>interfilling volume, well-casing section x</t>
  </si>
  <si>
    <t>interfilling volume, casing Sx - well Sx+1</t>
  </si>
  <si>
    <t>well volume</t>
  </si>
  <si>
    <t>Depth from surface</t>
  </si>
  <si>
    <t>Casing outer diameter</t>
  </si>
  <si>
    <t>Casing well volume, outer</t>
  </si>
  <si>
    <t>Interfilling volume, well Sx - casing Sx</t>
  </si>
  <si>
    <t>Casing volume</t>
  </si>
  <si>
    <t>Current 2019</t>
  </si>
  <si>
    <t>CO2 supply chain climate change impacts</t>
  </si>
  <si>
    <t>Supercritical</t>
  </si>
  <si>
    <t>Injection</t>
  </si>
  <si>
    <r>
      <t>CO</t>
    </r>
    <r>
      <rPr>
        <sz val="11"/>
        <color theme="1"/>
        <rFont val="Times New Roman"/>
        <family val="1"/>
      </rPr>
      <t>₂</t>
    </r>
    <r>
      <rPr>
        <sz val="11"/>
        <color theme="1"/>
        <rFont val="Calibri"/>
        <family val="2"/>
        <scheme val="minor"/>
      </rPr>
      <t xml:space="preserve"> capture </t>
    </r>
  </si>
  <si>
    <t>kg/kWh</t>
  </si>
  <si>
    <t>Well depth variation, 2030</t>
  </si>
  <si>
    <t>Distance drilled</t>
  </si>
  <si>
    <t>Well volume (volume extracted)</t>
  </si>
  <si>
    <t>Tubing volume, inside</t>
  </si>
  <si>
    <t>Tubing annulus volume</t>
  </si>
  <si>
    <t>Comparison to other electricity producing technologies in Switzerland</t>
  </si>
  <si>
    <t>Photovoltaics</t>
  </si>
  <si>
    <t>Hydropower, reservoir</t>
  </si>
  <si>
    <t>Hydropower, run-of-river</t>
  </si>
  <si>
    <t>AGS</t>
  </si>
  <si>
    <t>electricity, high voltage | electricity production, nuclear, boiling water reactor | CH | kilowatt hour | ecoinvent-3.10-cutoff</t>
  </si>
  <si>
    <t>electricity, high voltage | heat and power co-generation, wood chips, 6667 kW | CH | kilowatt hour | ecoinvent-3.10-cutoff</t>
  </si>
  <si>
    <t>electricity, high voltage | electricity production, wind, 1-3MW turbine, onshore | CH | kilowatt hour | ecoinvent-3.10-cutoff</t>
  </si>
  <si>
    <t>electricity, high voltage | electricity production, nuclear, pressure water reactor | CH | kilowatt hour | ecoinvent-3.10-cutoff</t>
  </si>
  <si>
    <t>electricity, high voltage | electricity production, hydro, reservoir, alpine region | CH | kilowatt hour | ecoinvent-3.10-cutoff</t>
  </si>
  <si>
    <t>electricity, high voltage | electricity production, wind, &gt;3MW turbine, onshore | CH | kilowatt hour | ecoinvent-3.10-cutoff</t>
  </si>
  <si>
    <t>electricity, low voltage | electricity production, photovoltaic, 3kWp slanted-roof installation, multi-Si, panel, mounted | CH | kilowatt hour | ecoinvent-3.10-cutoff</t>
  </si>
  <si>
    <t>g CO2-eq/kWh</t>
  </si>
  <si>
    <t>Question for Dirk: Mismatch sections here vs. sections for well design</t>
  </si>
  <si>
    <t>Total length, vertical</t>
  </si>
  <si>
    <t>Name</t>
  </si>
  <si>
    <t>Short name</t>
  </si>
  <si>
    <t>Lenght</t>
  </si>
  <si>
    <t>Energy</t>
  </si>
  <si>
    <t>Cement</t>
  </si>
  <si>
    <t>rotary
kWh/m</t>
  </si>
  <si>
    <t>PPGD
kWh/m</t>
  </si>
  <si>
    <t>Volume</t>
  </si>
  <si>
    <t>Drilled, m^3</t>
  </si>
  <si>
    <t>Well, complete, injection+production+horizontal</t>
  </si>
  <si>
    <t>t/well, complete</t>
  </si>
  <si>
    <t>Tubing + open hole inside, m^3</t>
  </si>
  <si>
    <t>kWh used/kWh produced</t>
  </si>
  <si>
    <t>Energy consumption for complete well, drilling + completion</t>
  </si>
  <si>
    <t>Energy consumption, PPGD</t>
  </si>
  <si>
    <t>ecoinvent-3.10.1-cutoff</t>
  </si>
  <si>
    <t>ecoinvent-3.10.1-biosphere</t>
  </si>
  <si>
    <t xml:space="preserve">Construction of the surface plant. Based on assumptions. Consists of the surface plant with HEX (geothermal fluid to working fluid of ORC system),  ORC system (evaporator HEX, turbine, generator, condenser, pump), cooling system; the pipes, pumps, land occupation. Further, the well and the CO2 are included in this dataset. </t>
  </si>
  <si>
    <t>Placeholder for pipes and pumps. Estimated lifetime: 50 years (corrosion, scaling, thermal stress - rather lower lifetime)</t>
  </si>
  <si>
    <t>Electricity generation</t>
  </si>
  <si>
    <t>PJ/yr.</t>
  </si>
  <si>
    <t>Electricity generation|Nuclear Fuel</t>
  </si>
  <si>
    <t>Electricity generation|Nuclear Fuel|Nuclear power plants</t>
  </si>
  <si>
    <t>Electricity generation|Hydro</t>
  </si>
  <si>
    <t>Electricity generation|Hydro|Hydro Large</t>
  </si>
  <si>
    <t>Electricity generation|Hydro|Hydro Run of River</t>
  </si>
  <si>
    <t>Electricity generation|Hydro|Pump storage</t>
  </si>
  <si>
    <t>Electricity generation|Oil</t>
  </si>
  <si>
    <t>Electricity generation|Oil|Peak devices</t>
  </si>
  <si>
    <t>Electricity generation|Oil|CHP Oil (for District Heating)</t>
  </si>
  <si>
    <t>Electricity generation|Oil|Industrial CHPs oil</t>
  </si>
  <si>
    <t>Electricity generation|Oil|Fossil liquids</t>
  </si>
  <si>
    <t>Electricity generation|Oil|Fossil liquids|Peak devices</t>
  </si>
  <si>
    <t>Electricity generation|Oil|Fossil liquids|CHP Oil (for District Heating)</t>
  </si>
  <si>
    <t>Electricity generation|Oil|Fossil liquids|Industrial CHPs oil</t>
  </si>
  <si>
    <t>Electricity generation|Oil|Synthetic liquids</t>
  </si>
  <si>
    <t>Electricity generation|Oil|Synthetic liquids|Peak devices</t>
  </si>
  <si>
    <t>Electricity generation|Oil|Synthetic liquids|CHP Oil (for District Heating)</t>
  </si>
  <si>
    <t>Electricity generation|Oil|Synthetic liquids|Industrial CHPs oil</t>
  </si>
  <si>
    <t>Electricity generation|Gas</t>
  </si>
  <si>
    <t>Electricity generation|Gas|Gas turbines combined cycle</t>
  </si>
  <si>
    <t>Electricity generation|Gas|Gas turbines open cycle</t>
  </si>
  <si>
    <t>Electricity generation|Gas|Gas turbines combined cycle CCS</t>
  </si>
  <si>
    <t>Electricity generation|Gas|CHP Gas (for District Heating)</t>
  </si>
  <si>
    <t>Electricity generation|Gas|CHP Fuel Cell Gas (for District Heating)</t>
  </si>
  <si>
    <t>Electricity generation|Gas|Industrial CHPs gas</t>
  </si>
  <si>
    <t>Electricity generation|Gas|Industrial CHPs gas (CCS)</t>
  </si>
  <si>
    <t>Electricity generation|Gas|Industrial CHPs fuel cells (gas reformer)</t>
  </si>
  <si>
    <t>Electricity generation|Gas|Residential single family CHPs gas</t>
  </si>
  <si>
    <t>Electricity generation|Gas|Residential single family CHPs fuel cells gas</t>
  </si>
  <si>
    <t>Electricity generation|Gas|Residential multi family CHPs gas</t>
  </si>
  <si>
    <t>Electricity generation|Gas|Residential multi family CHPs fuel cells gas</t>
  </si>
  <si>
    <t>Electricity generation|Gas|Services sectors CHPs (bio)gas</t>
  </si>
  <si>
    <t>Electricity generation|Gas|Services sectors CHPs gas</t>
  </si>
  <si>
    <t>Electricity generation|Gas|Services sectors CHPs fuel cells (gas reformer)</t>
  </si>
  <si>
    <t>Electricity generation|Gas|Fossil gases</t>
  </si>
  <si>
    <t>Electricity generation|Gas|Fossil gases|Gas turbines combined cycle</t>
  </si>
  <si>
    <t>Electricity generation|Gas|Fossil gases|Gas turbines open cycle</t>
  </si>
  <si>
    <t>Electricity generation|Gas|Fossil gases|Gas turbines combined cycle CCS</t>
  </si>
  <si>
    <t>Electricity generation|Gas|Fossil gases|CHP Gas (for District Heating)</t>
  </si>
  <si>
    <t>Electricity generation|Gas|Fossil gases|CHP Fuel Cell Gas (for District Heating)</t>
  </si>
  <si>
    <t>Electricity generation|Gas|Fossil gases|Industrial CHPs gas</t>
  </si>
  <si>
    <t>Electricity generation|Gas|Fossil gases|Industrial CHPs gas (CCS)</t>
  </si>
  <si>
    <t>Electricity generation|Gas|Fossil gases|Industrial CHPs fuel cells (gas reformer)</t>
  </si>
  <si>
    <t>Electricity generation|Gas|Fossil gases|Residential single family CHPs gas</t>
  </si>
  <si>
    <t>Electricity generation|Gas|Fossil gases|Residential single family CHPs fuel cells gas</t>
  </si>
  <si>
    <t>Electricity generation|Gas|Fossil gases|Residential multi family CHPs gas</t>
  </si>
  <si>
    <t>Electricity generation|Gas|Fossil gases|Residential multi family CHPs fuel cells gas</t>
  </si>
  <si>
    <t>Electricity generation|Gas|Fossil gases|Services sectors CHPs (bio)gas</t>
  </si>
  <si>
    <t>Electricity generation|Gas|Fossil gases|Services sectors CHPs gas</t>
  </si>
  <si>
    <t>Electricity generation|Gas|Fossil gases|Services sectors CHPs fuel cells (gas reformer)</t>
  </si>
  <si>
    <t>Electricity generation|Gas|Synthetic gases</t>
  </si>
  <si>
    <t>Electricity generation|Gas|Synthetic gases|Gas turbines combined cycle</t>
  </si>
  <si>
    <t>Electricity generation|Gas|Synthetic gases|Gas turbines open cycle</t>
  </si>
  <si>
    <t>Electricity generation|Gas|Synthetic gases|Gas turbines combined cycle CCS</t>
  </si>
  <si>
    <t>Electricity generation|Gas|Synthetic gases|CHP Gas (for District Heating)</t>
  </si>
  <si>
    <t>Electricity generation|Gas|Synthetic gases|CHP Fuel Cell Gas (for District Heating)</t>
  </si>
  <si>
    <t>Electricity generation|Gas|Synthetic gases|Industrial CHPs gas</t>
  </si>
  <si>
    <t>Electricity generation|Gas|Synthetic gases|Industrial CHPs gas (CCS)</t>
  </si>
  <si>
    <t>Electricity generation|Gas|Synthetic gases|Industrial CHPs fuel cells (gas reformer)</t>
  </si>
  <si>
    <t>Electricity generation|Gas|Synthetic gases|Residential single family CHPs gas</t>
  </si>
  <si>
    <t>Electricity generation|Gas|Synthetic gases|Residential single family CHPs fuel cells gas</t>
  </si>
  <si>
    <t>Electricity generation|Gas|Synthetic gases|Residential multi family CHPs gas</t>
  </si>
  <si>
    <t>Electricity generation|Gas|Synthetic gases|Residential multi family CHPs fuel cells gas</t>
  </si>
  <si>
    <t>Electricity generation|Gas|Synthetic gases|Services sectors CHPs (bio)gas</t>
  </si>
  <si>
    <t>Electricity generation|Gas|Synthetic gases|Services sectors CHPs gas</t>
  </si>
  <si>
    <t>Electricity generation|Gas|Synthetic gases|Services sectors CHPs fuel cells (gas reformer)</t>
  </si>
  <si>
    <t>Electricity generation|Wastes</t>
  </si>
  <si>
    <t>Electricity generation|Wastes|Wastes Incineration (electric only)</t>
  </si>
  <si>
    <t>Electricity generation|Wastes|Wastes Incineration (electric only) CCS</t>
  </si>
  <si>
    <t>Electricity generation|Wastes|CHP Wastes (for District Heating)</t>
  </si>
  <si>
    <t>Electricity generation|Wastes|CHP Wastes (for District Heating) CCS</t>
  </si>
  <si>
    <t>Electricity generation|Wastes|Industrial CHPs wastes</t>
  </si>
  <si>
    <t>Electricity generation|Wastes|Industrial CHPs wastes CCS</t>
  </si>
  <si>
    <t>Electricity generation|Wastes|Renewable|Total</t>
  </si>
  <si>
    <t>Electricity generation|Wastes|Renewable|Wastes Incineration (electric only)</t>
  </si>
  <si>
    <t>Electricity generation|Wastes|Renewable|Wastes Incineration (electric only) CCS</t>
  </si>
  <si>
    <t>Electricity generation|Wastes|Renewable|CHP Wastes (for District Heating)</t>
  </si>
  <si>
    <t>Electricity generation|Wastes|Renewable|CHP Wastes (for District Heating) CCS</t>
  </si>
  <si>
    <t>Electricity generation|Wastes|Renewable|Industrial CHPs wastes</t>
  </si>
  <si>
    <t>Electricity generation|Wastes|Renewable|Industrial CHPs wastes CCS</t>
  </si>
  <si>
    <t>Electricity generation|Wastes|Non Renewable</t>
  </si>
  <si>
    <t>Electricity generation|Wastes|Non Renewable|Wastes Incineration (electric only)</t>
  </si>
  <si>
    <t>Electricity generation|Wastes|Non Renewable|Wastes Incineration (electric only) CCS</t>
  </si>
  <si>
    <t>Electricity generation|Wastes|Non Renewable|CHP Wastes (for District Heating)</t>
  </si>
  <si>
    <t>Electricity generation|Wastes|Non Renewable|CHP Wastes (for District Heating) CCS</t>
  </si>
  <si>
    <t>Electricity generation|Wastes|Non Renewable|Industrial CHPs wastes</t>
  </si>
  <si>
    <t>Electricity generation|Wastes|Non Renewable|Industrial CHPs wastes CCS</t>
  </si>
  <si>
    <t>Electricity generation|Wood</t>
  </si>
  <si>
    <t>Electricity generation|Wood|CHP Wood (for District Heating)</t>
  </si>
  <si>
    <t>Electricity generation|Wood|Biomass with CCS (BECCS)</t>
  </si>
  <si>
    <t>Electricity generation|Wood|Industrial CHPs wood</t>
  </si>
  <si>
    <t>Electricity generation|Wood|Industrial CHPs wood (CCS)</t>
  </si>
  <si>
    <t>Electricity generation|Wood|Residential single family CHPs wood</t>
  </si>
  <si>
    <t>Electricity generation|Wood|Residential multi family CHPs wood</t>
  </si>
  <si>
    <t>Electricity generation|Wood|Services sectors CHPs wood</t>
  </si>
  <si>
    <t>Electricity generation|Wind</t>
  </si>
  <si>
    <t>Electricity generation|Wind|Wind turbines</t>
  </si>
  <si>
    <t>Electricity generation|Solar</t>
  </si>
  <si>
    <t>Electricity generation|Solar|Solar PV (large scale)</t>
  </si>
  <si>
    <t>Electricity generation|Solar|Solar PV (Industry)</t>
  </si>
  <si>
    <t>Electricity generation|Solar|Solar PV (Residential single family)</t>
  </si>
  <si>
    <t>Electricity generation|Solar|Solar PV (Residential multi family)</t>
  </si>
  <si>
    <t>Electricity generation|Solar|Solar PV (Services)</t>
  </si>
  <si>
    <t>Electricity generation|Geothermal</t>
  </si>
  <si>
    <t>Electricity generation|Geothermal|Deep geothermal</t>
  </si>
  <si>
    <t>Electricity generation|Hydrogen</t>
  </si>
  <si>
    <t>Electricity generation|Hydrogen|CHP Fuel Cell Hydrogen (for District Heating)</t>
  </si>
  <si>
    <t>Electricity generation|Hydrogen|Industrial CHPs fuel cells (hydrogen)</t>
  </si>
  <si>
    <t>Electricity generation|Hydrogen|Services sectors CHPs fuel cells (hydrogen)</t>
  </si>
  <si>
    <t>Electricity generation|Electricity storage (non hydro)</t>
  </si>
  <si>
    <t>Electricity generation|Electricity storage (non hydro)|CAES</t>
  </si>
  <si>
    <t>Electricity generation|Electricity storage (non hydro)|Battery storage large size centralised</t>
  </si>
  <si>
    <t>Electricity generation|Electricity storage (non hydro)|Battery storage medium size centralised</t>
  </si>
  <si>
    <t>Electricity generation|Electricity storage (non hydro)|Batteries in industry</t>
  </si>
  <si>
    <t>Electricity generation|Electricity storage (non hydro)|Batteries in residential single family houses</t>
  </si>
  <si>
    <t>Electricity generation|Electricity storage (non hydro)|Batteries in residential multi-family houses</t>
  </si>
  <si>
    <t>Electricity generation|Electricity storage (non hydro)|Batteries in Services sector</t>
  </si>
  <si>
    <t>AEGIS_LCA_20250225</t>
  </si>
  <si>
    <t>Scenario</t>
  </si>
  <si>
    <t>Region</t>
  </si>
  <si>
    <t>Variable</t>
  </si>
  <si>
    <t>Primary Production</t>
  </si>
  <si>
    <t>Primary Production|Wood</t>
  </si>
  <si>
    <t>Primary Production|Wood|Waste wood</t>
  </si>
  <si>
    <t>Primary Production|Wood|Wood residues</t>
  </si>
  <si>
    <t>Primary Production|Wood|Wood from landscape maintenance</t>
  </si>
  <si>
    <t>Primary Production|Wood|Wood from Forest (hard wood)</t>
  </si>
  <si>
    <t>Primary Production|Waste</t>
  </si>
  <si>
    <t>Primary Production|Waste|Non renewable waste</t>
  </si>
  <si>
    <t>Primary Production|Waste|Renewable waste</t>
  </si>
  <si>
    <t>Primary Production|Manure</t>
  </si>
  <si>
    <t>Primary Production|Hydro</t>
  </si>
  <si>
    <t>Primary Production|Hydro|Large hydro</t>
  </si>
  <si>
    <t>Primary Production|Hydro|Run-of-river hydro</t>
  </si>
  <si>
    <t>Primary Production|Hydro|Pump storage</t>
  </si>
  <si>
    <t>Primary Production|Solar</t>
  </si>
  <si>
    <t>Primary Production|Wind</t>
  </si>
  <si>
    <t>Primary Production|Ambient heat</t>
  </si>
  <si>
    <t>Primary Production|Geothermal</t>
  </si>
  <si>
    <t>Imports</t>
  </si>
  <si>
    <t>Imports|Coal</t>
  </si>
  <si>
    <t>Imports|Oil</t>
  </si>
  <si>
    <t>Imports|Oil|Fossil liquids</t>
  </si>
  <si>
    <t>Imports|Oil|Fossil liquids|Light fuel oil</t>
  </si>
  <si>
    <t>Imports|Oil|Fossil liquids|Heavy fuel oil</t>
  </si>
  <si>
    <t>Imports|Oil|Fossil liquids|Motor Diesel</t>
  </si>
  <si>
    <t>Imports|Oil|Fossil liquids|Motor Gasoline</t>
  </si>
  <si>
    <t>Imports|Oil|Fossil liquids|Kerosene (excl. international aviation)</t>
  </si>
  <si>
    <t>Imports|Oil|Synthetic liquids</t>
  </si>
  <si>
    <t>Imports|Oil|Synthetic liquids|Total|Motor diesel</t>
  </si>
  <si>
    <t>Imports|Oil|Synthetic liquids|Total|Motor Gasoline</t>
  </si>
  <si>
    <t>Imports|Oil|Synthetic liquids|Bioliquids|Total</t>
  </si>
  <si>
    <t>Imports|Oil|Synthetic liquids|Bioliquids|Biodiesel</t>
  </si>
  <si>
    <t>Imports|Oil|Synthetic liquids|Bioliquids|Ethanol</t>
  </si>
  <si>
    <t>Imports|Oil|Synthetic liquids|PtL</t>
  </si>
  <si>
    <t>Imports|Oil|Synthetic liquids|PtL|PtL Diesel</t>
  </si>
  <si>
    <t>Imports|Oil|Synthetic liquids|PtL|PtL Gasoline</t>
  </si>
  <si>
    <t>Imports|Oil|Synthetic liquids|PtL|PtL Kerosene</t>
  </si>
  <si>
    <t>Imports|Gas</t>
  </si>
  <si>
    <t>Imports|Gas|Fossil gases|Total</t>
  </si>
  <si>
    <t>Imports|Gas|Fossil gases|Natural gas</t>
  </si>
  <si>
    <t>Imports|Gas|Fossil gases|Liquified Natural Gas</t>
  </si>
  <si>
    <t>Imports|Gas|Synthetic gases</t>
  </si>
  <si>
    <t>Imports|Gas|Synthetic gases|Biogases</t>
  </si>
  <si>
    <t>Imports|Gas|Synthetic gases|Biogases|Biogas</t>
  </si>
  <si>
    <t>Imports|Gas|Synthetic gases|PtG</t>
  </si>
  <si>
    <t>Imports|Gas|Synthetic gases|PtG|PtG gas</t>
  </si>
  <si>
    <t>Imports|Nuclear fuel</t>
  </si>
  <si>
    <t>Imports|Electricity</t>
  </si>
  <si>
    <t>Imports|Electricity|Austria</t>
  </si>
  <si>
    <t>Imports|Electricity|France</t>
  </si>
  <si>
    <t>Imports|Electricity|Germany</t>
  </si>
  <si>
    <t>Imports|Electricity|Italy</t>
  </si>
  <si>
    <t>Imports|Hydrogen</t>
  </si>
  <si>
    <t>Exports</t>
  </si>
  <si>
    <t>Exports|Electricity</t>
  </si>
  <si>
    <t>Exports|Electricity|Austria</t>
  </si>
  <si>
    <t>Exports|Electricity|France</t>
  </si>
  <si>
    <t>Exports|Electricity|Germany</t>
  </si>
  <si>
    <t>Exports|Electricity|Italy</t>
  </si>
  <si>
    <t>STEM_to_PREMISE_AGS_1160</t>
  </si>
  <si>
    <t>SPS1</t>
  </si>
  <si>
    <t>Cement consumption for casing, cement slurry. No losses of cement slurry during the filling is accounted for, as it is assumed that the solid granite rock does not have significant geological empty spaces as it may occur in looser sedimentary rock.</t>
  </si>
  <si>
    <t>Water consumption for casing, cement slurry. Water can be potable water, or surface water/groundwater which is tested for minerals/pollutants before use. Not all drilling places may have access to surface/groundwater! I use tap water as a proxy to at least account for some transport/conditioning of the water. No losses of cement slurry during the filling is accounted for, as it is assumed that the solid granite rock does not have significant geological empty spaces as it may occur in looser sedimentary rock.</t>
  </si>
  <si>
    <t>Drilling fluid</t>
  </si>
  <si>
    <t>Water, well, in ground</t>
  </si>
  <si>
    <t>Bentonite, at processing/DE U</t>
  </si>
  <si>
    <t>Potassium carbonate, at plant/GLO U</t>
  </si>
  <si>
    <t>Cellulose fibre, inclusive blowing in, at plant</t>
  </si>
  <si>
    <t>Barite, at plant/RER U</t>
  </si>
  <si>
    <t>sodium hydroxide, 50% in H20, production mix, at plant</t>
  </si>
  <si>
    <t>Chemicals organic, at plant/GLO U</t>
  </si>
  <si>
    <t>Sodium chloride, powder {GLO}| market for | Alloc Rec, U</t>
  </si>
  <si>
    <t>COD, Chemical Oxygen Demand</t>
  </si>
  <si>
    <t>DOC, Dissolved Organic Carbon</t>
  </si>
  <si>
    <t>Potassium, ion</t>
  </si>
  <si>
    <t>Sodium, ion</t>
  </si>
  <si>
    <t>TOC, Total Organic Carbon</t>
  </si>
  <si>
    <t>Treatment, sewage, to wastewater treatment, class 3/CH U</t>
  </si>
  <si>
    <t>--&gt; compare with Bachelor Thesis Egli: 0.36m3 / m
--&gt; maybe apply a loss factor as for cement
This amount should also be a function of well depth (and diameter).</t>
  </si>
  <si>
    <t>Estimation based on Kaiser and Fäh 2004 and Egli 2013</t>
  </si>
  <si>
    <t>Loss circulation/weighting agent in the drilling fluid. Rough estimation based on Sonderegger (2013)</t>
  </si>
  <si>
    <t>Weighting agent in the drilling fluid. Rough Estimation based on Sonderegger (2013)</t>
  </si>
  <si>
    <t>Original entry: "Chloride". Sodium chloride is an assumption.</t>
  </si>
  <si>
    <t>No equivalent activity found, therefore not included in the LCIA calculation</t>
  </si>
  <si>
    <t>No dataset in SimaPro for this entry</t>
  </si>
  <si>
    <t xml:space="preserve">Assumption. It is assumed that the total volume of water used for the drilling fluid is treated (not considering any losses). An additional amount of meteoric water is estimated. The wastewater from the drilling place is partly first stored at place and used for laboratory testing. All wastewater goes to the public wastewater treatment plant. </t>
  </si>
  <si>
    <t xml:space="preserve">Basel </t>
  </si>
  <si>
    <t>Sources</t>
  </si>
  <si>
    <t>(Kaiser, M. and Fäs, M. 2004. Umweltverträglichkeitsbericht (Hauptuntersuchung). Deep Heat Mining, Basel. Geothermal Explorers Ltd. Basel)</t>
  </si>
  <si>
    <t>Egli, C. 2013. Ökobilanz von Strom aus Geothermie. Modellierung eines Geothermiekraftwerks für die Schweiz mit einem stimulierten geothermalen System (EGS). Departement für Umweltsystemwissenschaften. Eidgenössische Technische Hochschule, Zürich, Schweiz</t>
  </si>
  <si>
    <t>"Für die Spülung werden pro Bohrung rund 600m3 bis 1000m3 Wasser benötigt. "</t>
  </si>
  <si>
    <t>Länge Bohrung</t>
  </si>
  <si>
    <t>m (ca.)</t>
  </si>
  <si>
    <t>Wasserbedarf pro m</t>
  </si>
  <si>
    <t>m3/m</t>
  </si>
  <si>
    <t>Kochsalz</t>
  </si>
  <si>
    <t xml:space="preserve"> Erhöhung Dichte</t>
  </si>
  <si>
    <t>Stärke</t>
  </si>
  <si>
    <t>Erhöhung Viskosität</t>
  </si>
  <si>
    <t>Bentonit</t>
  </si>
  <si>
    <t>geringe Mengen Bakterizid</t>
  </si>
  <si>
    <t>Natriumcarboxylmethylcellulose</t>
  </si>
  <si>
    <t>Zellulose</t>
  </si>
  <si>
    <t>Natriumhydroxid</t>
  </si>
  <si>
    <t>Natronlauge</t>
  </si>
  <si>
    <t>Natriumchlorid</t>
  </si>
  <si>
    <t>sodium chlorate, powder, at plant</t>
  </si>
  <si>
    <t>Salz</t>
  </si>
  <si>
    <t>chemicals, organic, at plant</t>
  </si>
  <si>
    <t xml:space="preserve">Für alle weiteren organischen Zusatzmittel wurde der Kohlenstoffanteil berechnet und als chemical, organic in die Ökobilanz aufgenommen. Diese ergeben zusammen den Gehalt an "total organic carbon", welcher für die Abwasserbehandlung relevant ist. </t>
  </si>
  <si>
    <t>bentonite, at mine</t>
  </si>
  <si>
    <t>Wasser</t>
  </si>
  <si>
    <t>St. Gallen</t>
  </si>
  <si>
    <t>Personal communication M. Sonderegger, 27.10.2013</t>
  </si>
  <si>
    <t>Hauptbestandteile Spülungsmaterial St. Gallen:</t>
  </si>
  <si>
    <t>per m borehole</t>
  </si>
  <si>
    <t>Funktion</t>
  </si>
  <si>
    <t>Bentonite</t>
  </si>
  <si>
    <t>Baryt</t>
  </si>
  <si>
    <t>Weighting Agent</t>
  </si>
  <si>
    <t>Viscosifier</t>
  </si>
  <si>
    <t>Bikarbonat</t>
  </si>
  <si>
    <t>pH control</t>
  </si>
  <si>
    <t>Kalziumkarbonat</t>
  </si>
  <si>
    <t>Loss circulation / Weighting Agent</t>
  </si>
  <si>
    <t>Milpac</t>
  </si>
  <si>
    <t>Fluid loss/viscosifier</t>
  </si>
  <si>
    <t>caliumcarbonat?</t>
  </si>
  <si>
    <t>Kaliumkarbonat</t>
  </si>
  <si>
    <t>calziumcarbonat?</t>
  </si>
  <si>
    <t>Soda</t>
  </si>
  <si>
    <t>Xanplex D</t>
  </si>
  <si>
    <t xml:space="preserve"> - </t>
  </si>
  <si>
    <t>Verwendete Spülungen:</t>
  </si>
  <si>
    <t>Menge</t>
  </si>
  <si>
    <t>Länge Sektion (m)</t>
  </si>
  <si>
    <t>Spülung pro Bohrmeter:</t>
  </si>
  <si>
    <t>Sektion 1</t>
  </si>
  <si>
    <t>Bentonit-Polymer-Spülung</t>
  </si>
  <si>
    <t>Sektion 2+3</t>
  </si>
  <si>
    <t>Kaliumkarbonat-Polymer-Spülung</t>
  </si>
  <si>
    <t>Sektion 4</t>
  </si>
  <si>
    <t>Kreide-Polymer-Spülung</t>
  </si>
  <si>
    <t>Testingphase</t>
  </si>
  <si>
    <t>Salzwasser</t>
  </si>
  <si>
    <t>&gt;1000</t>
  </si>
  <si>
    <t>weighted average</t>
  </si>
  <si>
    <t>Assumption for LCI, based on BS and St. Gallen</t>
  </si>
  <si>
    <t>Approximation for drilling fluid used for rotary drilling</t>
  </si>
  <si>
    <t>bentonite</t>
  </si>
  <si>
    <t>market for bentonite</t>
  </si>
  <si>
    <t>cellulose fibre</t>
  </si>
  <si>
    <t>market for cellulose fibre</t>
  </si>
  <si>
    <t>barite</t>
  </si>
  <si>
    <t>market for barite</t>
  </si>
  <si>
    <t>potassium carbonate</t>
  </si>
  <si>
    <t>market for potassium carbonate</t>
  </si>
  <si>
    <t>sodium hydroxide, without water, in 50% solution state</t>
  </si>
  <si>
    <t>market for sodium hydroxide, without water, in 50% solution state</t>
  </si>
  <si>
    <t>chemical, organic</t>
  </si>
  <si>
    <t>market for chemical, organic</t>
  </si>
  <si>
    <t>sodium chloride, powder</t>
  </si>
  <si>
    <t>market for sodium chloride, powder</t>
  </si>
  <si>
    <t>Potassium I</t>
  </si>
  <si>
    <t>Sodium I</t>
  </si>
  <si>
    <t>water::ground-</t>
  </si>
  <si>
    <t>LCIA: Swiss electricity and benchmarking to other technologies</t>
  </si>
  <si>
    <t>LCIA: CO2 supply chain</t>
  </si>
  <si>
    <t>LCIA scores calculated in Activity Browser</t>
  </si>
  <si>
    <t>Climate change</t>
  </si>
  <si>
    <t>Metals/Minerals depletion</t>
  </si>
  <si>
    <t>ODP</t>
  </si>
  <si>
    <t>PM formation</t>
  </si>
  <si>
    <t>Photochemical oxidant formation</t>
  </si>
  <si>
    <t>STEEL</t>
  </si>
  <si>
    <t>CEMENT</t>
  </si>
  <si>
    <t>TAP WATER</t>
  </si>
  <si>
    <t>DRILLING RIG</t>
  </si>
  <si>
    <t>Ecotox</t>
  </si>
  <si>
    <t>60a</t>
  </si>
  <si>
    <t>electricity, high voltage | domestic electricity production, Switzerland, 2050, INNOV scenario | CH | kilowatt hour | CH_electricity</t>
  </si>
  <si>
    <t>electricity, high voltage | domestic electricity production, Switzerland, 2019, BAU scenario | CH | kilowatt hour | CH_electricity</t>
  </si>
  <si>
    <t>electricity, high voltage | domestic electricity production, Switzerland, 2030, INNOV scenario | CH | kilowatt hour | CH_electricity</t>
  </si>
  <si>
    <t>electricity, high voltage | domestic electricity production, Switzerland, 2040, BAU scenario | CH | kilowatt hour | CH_electricity</t>
  </si>
  <si>
    <t>electricity, high voltage | domestic electricity production, Switzerland, 2040, INNOV scenario | CH | kilowatt hour | CH_electricity</t>
  </si>
  <si>
    <t>electricity, high voltage | domestic electricity production, Switzerland, 2050, BAU scenario | CH | kilowatt hour | CH_electricity</t>
  </si>
  <si>
    <t>Material depletion</t>
  </si>
  <si>
    <t>STEM AGS evaluation</t>
  </si>
  <si>
    <t>Electricity supply by AGS in 2050 [TWh]</t>
  </si>
  <si>
    <t>AGS_1001</t>
  </si>
  <si>
    <t>AGS_1101</t>
  </si>
  <si>
    <t>AGS_1104</t>
  </si>
  <si>
    <t>AGS_1111</t>
  </si>
  <si>
    <t>AGS_1114</t>
  </si>
  <si>
    <t>AGS_1116</t>
  </si>
  <si>
    <t>AGS_1118</t>
  </si>
  <si>
    <t>BAU_AGS</t>
  </si>
  <si>
    <t>Minerals and metals depletion</t>
  </si>
  <si>
    <t>Ozone depletion</t>
  </si>
  <si>
    <t>Particulate matter formation</t>
  </si>
  <si>
    <t>Photochemical oxidant formation - human health</t>
  </si>
  <si>
    <t>Hydro</t>
  </si>
  <si>
    <t>Pump storage (net)</t>
  </si>
  <si>
    <t>Oil</t>
  </si>
  <si>
    <t>Gas (CC, OC)</t>
  </si>
  <si>
    <t>Gas (CHP)</t>
  </si>
  <si>
    <t>Biogas (CHP)</t>
  </si>
  <si>
    <t>Wood</t>
  </si>
  <si>
    <t>Geothermal</t>
  </si>
  <si>
    <t>Net Imports</t>
  </si>
  <si>
    <t>Batteries (net)</t>
  </si>
  <si>
    <t>CAES (net)</t>
  </si>
  <si>
    <t>Non-hydro RES-E (TWh)</t>
  </si>
  <si>
    <t>Hydro RES-E (TWh)</t>
  </si>
  <si>
    <t>Total RES-E(TWh)</t>
  </si>
  <si>
    <t>EF v3.1 | acidification | accumulated exceedance (AE)</t>
  </si>
  <si>
    <t>electricity, high voltage | electricity production, advanced geothermal system plant | CH | kilowatt hour | ags_low_2050</t>
  </si>
  <si>
    <t>electricity production, photovoltaic, at 560 kWp open ground, single-Si | electricity production, photovoltaic, at 560 kWp open ground, single-Si | CH | kilowatt hour | ei_cutoff_3.10_remind_SSP2-PkBudg1150_2050 2024-11-21</t>
  </si>
  <si>
    <t>electricity production, photovoltaic, at 560 kWp open ground, single-Si</t>
  </si>
  <si>
    <t>electricity, high voltage | electricity production, natural gas, combined cycle power plant | CH | kilowatt hour | ei_cutoff_3.10_remind_SSP2-PkBudg1150_2050 2024-11-21</t>
  </si>
  <si>
    <t>electricity production, natural gas, combined cycle power plant</t>
  </si>
  <si>
    <t>electricity, high voltage | electricity production, deep geothermal | CH | kilowatt hour | ei_cutoff_3.10_remind_SSP2-PkBudg1150_2050 2024-11-21</t>
  </si>
  <si>
    <t>electricity production, deep geothermal</t>
  </si>
  <si>
    <t>electricity, high voltage | electricity production, wind, &gt;3MW turbine, onshore | CH | kilowatt hour | ei_cutoff_3.10_remind_SSP2-PkBudg1150_2050 2024-11-21</t>
  </si>
  <si>
    <t>Large solar</t>
  </si>
  <si>
    <t>EGS</t>
  </si>
  <si>
    <t>Wind onshore &gt;3 MW</t>
  </si>
  <si>
    <t>Normalisation</t>
  </si>
  <si>
    <t>Climate Change</t>
  </si>
  <si>
    <t>ADP</t>
  </si>
  <si>
    <t>Acidification</t>
  </si>
  <si>
    <t>Ecotoxicity</t>
  </si>
  <si>
    <t>electricity production, at biomass-fired IGCC power plant, pre, pipeline 200km, storage 1000m</t>
  </si>
  <si>
    <t>ei_cutoff_3.10_image_SSP2-RCP26_2050_SPS1 2025-02-25</t>
  </si>
  <si>
    <t>electricity, from biowaste, municipal incineration, energy allocation</t>
  </si>
  <si>
    <t>electricity production, at co-generation biowaste-fired power plant, post, pipeline 200km, storage 1000m</t>
  </si>
  <si>
    <t>electricity production, at co-generation natural gas-fired power plant, post, pipeline 200km, storage 1000m</t>
  </si>
  <si>
    <t>electricity, from plastic waste mixture, municipal incineration, energy allocation</t>
  </si>
  <si>
    <t>electricity production, at co-generation plastic waste-fired power plant, post, pipeline 200km, storage 1000m</t>
  </si>
  <si>
    <t>electricity production, at co-generation plastic waste-fired power plant, post, pipeline 200km, storage 1000m_waste incineration, fossil (industrial, ccs)</t>
  </si>
  <si>
    <t>electricity production, compressed air energy storage</t>
  </si>
  <si>
    <t>electricity production, from biowaste, municipal incineration, energy allocation</t>
  </si>
  <si>
    <t>electricity production, from hydrogen fuel cell</t>
  </si>
  <si>
    <t>electricity production, from hydrogen fuel cell_hydrogen fuel cell (industrial chp)</t>
  </si>
  <si>
    <t>electricity production, from hydrogen fuel cell_hydrogen fuel cell (services chp)</t>
  </si>
  <si>
    <t>electricity, from incineration of plastic waste mixture, energy allocation</t>
  </si>
  <si>
    <t>electricity production, from incineration of plastic waste mixture, energy allocation</t>
  </si>
  <si>
    <t>electricity production, from incineration of plastic waste mixture, energy allocation_waste incineration, fossil (industrial)</t>
  </si>
  <si>
    <t>electricity production, from photovoltaic panels</t>
  </si>
  <si>
    <t>electricity production, from photovoltaic panels_pv (industry)</t>
  </si>
  <si>
    <t>electricity production, from photovoltaic panels_pv (services)</t>
  </si>
  <si>
    <t>electricity production, from photovoltaic panels_pv residential (multi family)</t>
  </si>
  <si>
    <t>electricity production, from photovoltaic panels_pv residential (single family)</t>
  </si>
  <si>
    <t>electricity production, natural gas, 10MW</t>
  </si>
  <si>
    <t>electricity production, oil</t>
  </si>
  <si>
    <t>electricity production, wind</t>
  </si>
  <si>
    <t>electricity supply, from stationary battery (CONT scenario)</t>
  </si>
  <si>
    <t>electricity supply, from stationary battery (cont scenario)_battery (industry)</t>
  </si>
  <si>
    <t>WEU</t>
  </si>
  <si>
    <t>electricity supply, from stationary battery (cont scenario)_battery (medium)</t>
  </si>
  <si>
    <t>electricity supply, from stationary battery (cont scenario)_battery (multi family)</t>
  </si>
  <si>
    <t>electricity supply, from stationary battery (cont scenario)_battery (services)</t>
  </si>
  <si>
    <t>electricity supply, from stationary battery (cont scenario)_battery (single family)</t>
  </si>
  <si>
    <t>heat and power co-generation, natural gas, 160kW electrical, Jakobsberg</t>
  </si>
  <si>
    <t>heat and power co-generation, natural gas, 160kw electrical, jakobsberg_gas (multi family chp fuel cell)</t>
  </si>
  <si>
    <t>heat and power co-generation, natural gas, 160kw electrical, jakobsberg_gas (multi family chp)</t>
  </si>
  <si>
    <t>heat and power co-generation, natural gas, 160kw electrical, jakobsberg_gas (services chp fuel cell)</t>
  </si>
  <si>
    <t>heat and power co-generation, natural gas, 160kw electrical, jakobsberg_gas (services chp)</t>
  </si>
  <si>
    <t>heat and power co-generation, natural gas, 160kw electrical, jakobsberg_gas (single family chp fuel cell)</t>
  </si>
  <si>
    <t>heat and power co-generation, natural gas, 1mw electrical, lean burn_gas (chp fuel cell reformer)</t>
  </si>
  <si>
    <t>heat and power co-generation, natural gas, 1mw electrical, lean burn_gas (chp industry)</t>
  </si>
  <si>
    <t>heat and power co-generation, natural gas, 1mw electrical, lean burn_gas (fuel cell dh)</t>
  </si>
  <si>
    <t>heat and power co-generation, oil</t>
  </si>
  <si>
    <t>RoW</t>
  </si>
  <si>
    <t>heat and power co-generation, oil_oil (industry chp)</t>
  </si>
  <si>
    <t>heat and power co-generation, wood chips, 2000 kW, state-of-the-art 2014</t>
  </si>
  <si>
    <t>kilometer</t>
  </si>
  <si>
    <t>transmission network, electricity, high voltage</t>
  </si>
  <si>
    <t>transmission network construction, electricity, high voltage</t>
  </si>
  <si>
    <t>Biomass</t>
  </si>
  <si>
    <t>Natural ga</t>
  </si>
  <si>
    <t>Battery</t>
  </si>
  <si>
    <t>Losses</t>
  </si>
  <si>
    <t>share</t>
  </si>
  <si>
    <t>Tag</t>
  </si>
  <si>
    <t>('market for electricity, low voltage (SPS)', 'CH', 'ei_cutoff_3.10_image_SSP2-Base_2030_AGS_1160 2025-02-14')</t>
  </si>
  <si>
    <t>('market for electricity, low voltage (SPS)', 'CH', 'ei_cutoff_3.10_image_SSP2-Base_2050_AGS_1160 2025-02-14')</t>
  </si>
  <si>
    <t>('market for electricity, low voltage (SPS)', 'CH', 'ei_cutoff_3.10_image_SSP2-RCP26_2030_AGS_1160 2025-02-14')</t>
  </si>
  <si>
    <t>('market for electricity, low voltage (SPS)', 'CH', 'ei_cutoff_3.10_image_SSP2-RCP26_2050_AGS_1160 2025-02-14')</t>
  </si>
  <si>
    <t>('market for electricity, low voltage (SPS)', 'CH', 'ei_cutoff_3.10_image_SSP2-Base_2030_SPS1 2025-02-25')</t>
  </si>
  <si>
    <t>('market for electricity, low voltage (SPS)', 'CH', 'ei_cutoff_3.10_image_SSP2-Base_2050_SPS1 2025-02-25')</t>
  </si>
  <si>
    <t>('market for electricity, low voltage (SPS)', 'CH', 'ei_cutoff_3.10_image_SSP2-RCP26_2030_SPS1 2025-02-25')</t>
  </si>
  <si>
    <t>('market for electricity, low voltage (SPS)', 'CH', 'ei_cutoff_3.10_image_SSP2-RCP26_2050_SPS1 2025-02-25')</t>
  </si>
  <si>
    <t>('IPCC 2021', 'climate change', 'global warming potential (GWP100)')</t>
  </si>
  <si>
    <t>('EF v3.1', 'acidification', 'accumulated exceedance (AE)')</t>
  </si>
  <si>
    <t>('EF v3.1', 'ecotoxicity: freshwater', 'comparative toxic unit for ecosystems (CTUe)')</t>
  </si>
  <si>
    <t>('EF v3.1', 'human toxicity: carcinogenic', 'comparative toxic unit for human (CTUh)')</t>
  </si>
  <si>
    <t>('EF v3.1', 'human toxicity: non-carcinogenic', 'comparative toxic unit for human (CTUh)')</t>
  </si>
  <si>
    <t>('EF v3.1', 'land use', 'soil quality index')</t>
  </si>
  <si>
    <t>('EF v3.1', 'material resources: metals/minerals', 'abiotic depletion potential (ADP): elements (ultimate reserves)')</t>
  </si>
  <si>
    <t>('EF v3.1', 'ozone depletion', 'ozone depletion potential (ODP)')</t>
  </si>
  <si>
    <t>('EF v3.1', 'particulate matter formation', 'impact on human health')</t>
  </si>
  <si>
    <t>('EF v3.1', 'photochemical oxidant formation: human health', 'tropospheric ozone concentration increase')</t>
  </si>
  <si>
    <t>electricity, high voltage | electricity production, hydro, run-of-river | CH | kilowatt hour | ei_cutoff_3.10_remind_SSP2-PkBudg1150_2050 2024-11-21</t>
  </si>
  <si>
    <t>electricity, high voltage | electricity production, hydro, reservoir, alpine region | CH | kilowatt hour | ei_cutoff_3.10_remind_SSP2-PkBudg1150_2050 2024-11-21</t>
  </si>
  <si>
    <t>Hydro, reservoir</t>
  </si>
  <si>
    <t>Hydro, run-of-river</t>
  </si>
  <si>
    <t>Wind onshore</t>
  </si>
  <si>
    <t>Export from AB</t>
  </si>
  <si>
    <t>Benchmarking technologies</t>
  </si>
  <si>
    <t>Mapping</t>
  </si>
  <si>
    <t>ADP:</t>
  </si>
  <si>
    <t>Inverter with copper</t>
  </si>
  <si>
    <t>Inverter with copper, open ground construction with zinc and steel</t>
  </si>
  <si>
    <t>Mixed</t>
  </si>
  <si>
    <t>POF</t>
  </si>
  <si>
    <t>Mixed, but 52% inverter with copper</t>
  </si>
  <si>
    <t>Mixed, but 24% copper</t>
  </si>
  <si>
    <t>Mixed (waste, concrete, copper…)</t>
  </si>
  <si>
    <t>Copper and steel</t>
  </si>
  <si>
    <t>Copper</t>
  </si>
  <si>
    <t>Chromium steel</t>
  </si>
  <si>
    <t>Interpretation</t>
  </si>
  <si>
    <t>electricity, high voltage | market for electricity, high voltage (SPS) | CH | kilowatt hour | ei_cutoff_3.10_remind_SSP2-Base_2050_AGS_1001 2025-05-01</t>
  </si>
  <si>
    <t>market for electricity, high voltage (SPS)</t>
  </si>
  <si>
    <t>ei_cutoff_3.10_remind_SSP2-Base_2050_AGS_1001 2025-05-01</t>
  </si>
  <si>
    <t>electricity, high voltage | market for electricity, high voltage (SPS) | CH | kilowatt hour | ei_cutoff_3.10_remind_SSP2-Base_2050_AGS_1101 2025-05-01</t>
  </si>
  <si>
    <t>ei_cutoff_3.10_remind_SSP2-Base_2050_AGS_1101 2025-05-01</t>
  </si>
  <si>
    <t>electricity, high voltage | market for electricity, high voltage (SPS) | CH | kilowatt hour | ei_cutoff_3.10_remind_SSP2-Base_2050_AGS_1104 2025-05-01</t>
  </si>
  <si>
    <t>ei_cutoff_3.10_remind_SSP2-Base_2050_AGS_1104 2025-05-01</t>
  </si>
  <si>
    <t>electricity, high voltage | market for electricity, high voltage (SPS) | CH | kilowatt hour | ei_cutoff_3.10_remind_SSP2-Base_2050_AGS_1111 2025-05-01</t>
  </si>
  <si>
    <t>ei_cutoff_3.10_remind_SSP2-Base_2050_AGS_1111 2025-05-01</t>
  </si>
  <si>
    <t>electricity, high voltage | market for electricity, high voltage (SPS) | CH | kilowatt hour | ei_cutoff_3.10_remind_SSP2-Base_2050_AGS_1114 2025-05-01</t>
  </si>
  <si>
    <t>ei_cutoff_3.10_remind_SSP2-Base_2050_AGS_1114 2025-05-01</t>
  </si>
  <si>
    <t>electricity, high voltage | market for electricity, high voltage (SPS) | CH | kilowatt hour | ei_cutoff_3.10_remind_SSP2-Base_2050_AGS_1116 2025-05-01</t>
  </si>
  <si>
    <t>ei_cutoff_3.10_remind_SSP2-Base_2050_AGS_1116 2025-05-01</t>
  </si>
  <si>
    <t>electricity, high voltage | market for electricity, high voltage (SPS) | CH | kilowatt hour | ei_cutoff_3.10_remind_SSP2-Base_2050_AGS_1118 2025-05-01</t>
  </si>
  <si>
    <t>ei_cutoff_3.10_remind_SSP2-Base_2050_AGS_1118 2025-05-01</t>
  </si>
  <si>
    <t>electricity, high voltage | market for electricity, high voltage (SPS) | CH | kilowatt hour | ei_cutoff_3.10_remind_SSP2-Base_2050_BAU_AGS 2025-05-01</t>
  </si>
  <si>
    <t>ei_cutoff_3.10_remind_SSP2-Base_2050_BAU_AGS 2025-05-01</t>
  </si>
  <si>
    <t>electricity, high voltage | market for electricity, high voltage (SPS) | CH | kilowatt hour | ei_cutoff_3.10_remind_SSP2-PkBudg1150_2050_AGS_1001 2025-05-01</t>
  </si>
  <si>
    <t>ei_cutoff_3.10_remind_SSP2-PkBudg1150_2050_AGS_1001 2025-05-01</t>
  </si>
  <si>
    <t>electricity, high voltage | market for electricity, high voltage (SPS) | CH | kilowatt hour | ei_cutoff_3.10_remind_SSP2-PkBudg1150_2050_AGS_1101 2025-05-01</t>
  </si>
  <si>
    <t>ei_cutoff_3.10_remind_SSP2-PkBudg1150_2050_AGS_1101 2025-05-01</t>
  </si>
  <si>
    <t>electricity, high voltage | market for electricity, high voltage (SPS) | CH | kilowatt hour | ei_cutoff_3.10_remind_SSP2-PkBudg1150_2050_AGS_1104 2025-05-01</t>
  </si>
  <si>
    <t>ei_cutoff_3.10_remind_SSP2-PkBudg1150_2050_AGS_1104 2025-05-01</t>
  </si>
  <si>
    <t>electricity, high voltage | market for electricity, high voltage (SPS) | CH | kilowatt hour | ei_cutoff_3.10_remind_SSP2-PkBudg1150_2050_AGS_1111 2025-05-01</t>
  </si>
  <si>
    <t>ei_cutoff_3.10_remind_SSP2-PkBudg1150_2050_AGS_1111 2025-05-01</t>
  </si>
  <si>
    <t>electricity, high voltage | market for electricity, high voltage (SPS) | CH | kilowatt hour | ei_cutoff_3.10_remind_SSP2-PkBudg1150_2050_AGS_1114 2025-05-01</t>
  </si>
  <si>
    <t>ei_cutoff_3.10_remind_SSP2-PkBudg1150_2050_AGS_1114 2025-05-01</t>
  </si>
  <si>
    <t>electricity, high voltage | market for electricity, high voltage (SPS) | CH | kilowatt hour | ei_cutoff_3.10_remind_SSP2-PkBudg1150_2050_AGS_1116 2025-05-01</t>
  </si>
  <si>
    <t>ei_cutoff_3.10_remind_SSP2-PkBudg1150_2050_AGS_1116 2025-05-01</t>
  </si>
  <si>
    <t>electricity, high voltage | market for electricity, high voltage (SPS) | CH | kilowatt hour | ei_cutoff_3.10_remind_SSP2-PkBudg1150_2050_AGS_1118 2025-05-01</t>
  </si>
  <si>
    <t>ei_cutoff_3.10_remind_SSP2-PkBudg1150_2050_AGS_1118 2025-05-01</t>
  </si>
  <si>
    <t>electricity, high voltage | market for electricity, high voltage (SPS) | CH | kilowatt hour | ei_cutoff_3.10_remind_SSP2-PkBudg1150_2050_BAU_AGS 2025-05-01</t>
  </si>
  <si>
    <t>ei_cutoff_3.10_remind_SSP2-PkBudg1150_2050_BAU_AGS 2025-05-01</t>
  </si>
  <si>
    <t>electricity, high voltage | electricity production, from combined cycle plant, synthetic natural gas, post, pipeline 200km, storage 1000m | RER | kilowatt hour | ei_cutoff_3.10_remind_SSP2-PkBudg1150_2050 2024-11-21</t>
  </si>
  <si>
    <t>electricity production, from combined cycle plant, synthetic natural gas, post, pipeline 200km, storage 1000m</t>
  </si>
  <si>
    <t>electricity, high voltage | electricity production, from combined cycle plant, synthetic natural gas | RER | kilowatt hour | ei_cutoff_3.10_remind_SSP2-PkBudg1150_2050 2024-11-21</t>
  </si>
  <si>
    <t>electricity production, from combined cycle plant, synthetic natural gas</t>
  </si>
  <si>
    <t>syngas with CCS</t>
  </si>
  <si>
    <t>syngas</t>
  </si>
  <si>
    <t>CAES, Battery, pumped</t>
  </si>
  <si>
    <r>
      <t>Impacts on climate change 
[kg CO</t>
    </r>
    <r>
      <rPr>
        <sz val="11"/>
        <color theme="1"/>
        <rFont val="Times New Roman"/>
        <family val="1"/>
      </rPr>
      <t>₂</t>
    </r>
    <r>
      <rPr>
        <sz val="7.7"/>
        <color theme="1"/>
        <rFont val="Calibri"/>
        <family val="2"/>
      </rPr>
      <t xml:space="preserve">- </t>
    </r>
    <r>
      <rPr>
        <sz val="11"/>
        <color theme="1"/>
        <rFont val="Calibri"/>
        <family val="2"/>
        <scheme val="minor"/>
      </rPr>
      <t>eq/kWh]</t>
    </r>
  </si>
  <si>
    <t>Mt</t>
  </si>
  <si>
    <t>t/plant</t>
  </si>
  <si>
    <t>tons stored with an AGS capacity of 2.1GW (AGS_1118)</t>
  </si>
  <si>
    <t>TWh needed to build 2 GW AGS plants (AGS_1118)</t>
  </si>
  <si>
    <t>GWh/well</t>
  </si>
  <si>
    <t>add diesel drilling! --&gt; calculation and also LCIA seed</t>
  </si>
  <si>
    <t>well, constructed, plasma pulse geothermal drilling, advanced geothermal system, 6000 m vertical, per m</t>
  </si>
  <si>
    <t>well construction, plasma pulse geothermal drilling, advanced geothermal system, 6000 m vertical, per m</t>
  </si>
  <si>
    <t>well construction, plasma pulse geothermal drilling, advanced geothermal system, 42000 m horizontal, per m</t>
  </si>
  <si>
    <t>well, constructed, plasma pulse geothermal drilling, advanced geothermal system, 42000 m horizontal, per m</t>
  </si>
  <si>
    <t>well construction, rotary drilling, advanced geothermal system, 6000 m vertical, per m</t>
  </si>
  <si>
    <t>well, constructed, rotary drilling, advanced geothermal system, 6000 m vertical, per m</t>
  </si>
  <si>
    <t>well construction, rotary drilling, advanced geothermal system, 42000 m horizontal, per m</t>
  </si>
  <si>
    <t>well, constructed, rotary drilling, advanced geothermal system, 42000 m horizontal, per m</t>
  </si>
  <si>
    <t>geothermal power plant construction, advanced geothermal system, CO2 working fluid, ca. 1.9 MW, rotary drilling</t>
  </si>
  <si>
    <t>geothermal power plant, advanced geothermal system, CO2 working fluid, ca. 1.9 MW, rotary drilling</t>
  </si>
  <si>
    <t>geothermal power plant construction, advanced geothermal system, CO2 working fluid, ca. 1.9 MW, plasma pulse drilling</t>
  </si>
  <si>
    <t>geothermal power plant, advanced geothermal system, CO2 working fluid, ca. 1.9 MW, plasma pulse drilling</t>
  </si>
  <si>
    <t>electricity production, advanced geothermal system plant, rotary drilling</t>
  </si>
  <si>
    <t>vertical, energy use</t>
  </si>
  <si>
    <t>horizontal, energy use</t>
  </si>
  <si>
    <t>diesel generator</t>
  </si>
  <si>
    <t>diesel, burned in diesel-electric generating set, 10MW, for oil and gas extraction | diesel, burned in diesel-electric generating set, 10MW, for oil and gas extraction | GLO | megajoule | ecoinvent-3.10.1-cutoff</t>
  </si>
  <si>
    <t>Diesel share of electricity supply</t>
  </si>
  <si>
    <t>drilling fluid production, rotary drilling</t>
  </si>
  <si>
    <t>drilling fluid, rotary drilling</t>
  </si>
  <si>
    <t xml:space="preserve">Construction of a vertical well with plasma pulse geothermal drilling technology. The vertical depth is 6 km for 1 production well and 1 injection well each, and the horizontal loop length is 42 km. PPGD is assumed to not require drilling mud (and thus no additives like bentonite etc.), and is dry (i.e. does not require water). 
This dataset is based on little technological knowledge on PPGD as this is a technology which doesn't exist yet. It neglects the removal and eventual treatment of substances from the well drilling, e.g. CO2 from carbonate rocks, metal oxides, trace elements, solid residues; in case of wet scrubbers: slurry with dissolved minerals/suspended particles; radioactive materials; water use for cooling or dust suppression; dust collection/gas flow control. No assumptions on the exchange rate of the PPGD equipment in the borehole could be taken. </t>
  </si>
  <si>
    <t xml:space="preserve">Construction of a horizontal well with plasma pulse geothermal drilling technology. The vertical depth is 6 km for 1 production well and 1 injection well each, and the horizontal loop length is 42 km. PPGD is assumed to not require drilling mud (and thus no additives like bentonite etc.), and is dry (i.e. does not require water). 
This dataset is based on little technological knowledge on PPGD as this is a technology which doesn't exist yet. It neglects the removal and eventual treatment of substances from the well drilling, e.g. CO2 from carbonate rocks, metal oxides, trace elements, solid residues; in case of wet scrubbers: slurry with dissolved minerals/suspended particles; radioactive materials; water use for cooling or dust suppression; dust collection/gas flow control. No assumptions on the exchange rate of the PPGD equipment in the borehole could be taken. </t>
  </si>
  <si>
    <t xml:space="preserve"> compare with Bachelor Thesis Egli: 0.36m3 / m
 maybe apply a loss factor as for cement
This amount should also be a function of well depth (and diameter).</t>
  </si>
  <si>
    <t>surface plant. Approximated very roughly with a CHP plant, organic rankine cycle, 1 Mwel 6.4 MWth. Built for modelling deep geothermal power plants. Assumed lifetime is 30 years, so exchanged once during 60 years plant lifetime</t>
  </si>
  <si>
    <t>open PV</t>
  </si>
  <si>
    <t>wind</t>
  </si>
  <si>
    <t>"LOW, no AGS" = Net zero</t>
  </si>
  <si>
    <t>"BAU, no AGS"</t>
  </si>
  <si>
    <t>"LOW, net zero flexibility" (maximum)</t>
  </si>
  <si>
    <t>Roof-top</t>
  </si>
  <si>
    <t>Well drilling - design</t>
  </si>
  <si>
    <t>('market for electricity, low voltage (SPS)', 'CH', 'ei_cutoff_3.10_remind_SSP2-Base_2050_AGS_1141 2025-05-12')</t>
  </si>
  <si>
    <t>('market for electricity, low voltage (SPS)', 'CH', 'ei_cutoff_3.10_remind_SSP2-Base_2050_AGS_1147 2025-05-12')</t>
  </si>
  <si>
    <t>('market for electricity, low voltage (SPS)', 'CH', 'ei_cutoff_3.10_remind_SSP2-Base_2050_AGS_1149 2025-05-12')</t>
  </si>
  <si>
    <t>('market for electricity, low voltage (SPS)', 'CH', 'ei_cutoff_3.10_remind_SSP2-Base_2050_AGS_1150 2025-05-12')</t>
  </si>
  <si>
    <t>('market for electricity, low voltage (SPS)', 'CH', 'ei_cutoff_3.10_remind_SSP2-Base_2050_AGS_1152 2025-05-12')</t>
  </si>
  <si>
    <t>('market for electricity, low voltage (SPS)', 'CH', 'ei_cutoff_3.10_remind_SSP2-Base_2050_AGS_1156 2025-05-12')</t>
  </si>
  <si>
    <t>('market for electricity, low voltage (SPS)', 'CH', 'ei_cutoff_3.10_remind_SSP2-Base_2050_AGS_1160 2025-05-12')</t>
  </si>
  <si>
    <t>('market for electricity, low voltage (SPS)', 'CH', 'ei_cutoff_3.10_remind_SSP2-Base_2050_BAU_AGS 2025-05-12')</t>
  </si>
  <si>
    <t>('market for electricity, low voltage (SPS)', 'CH', 'ei_cutoff_3.10_remind_SSP2-PkBudg1150_2050_AGS_1141 2025-05-12')</t>
  </si>
  <si>
    <t>('market for electricity, low voltage (SPS)', 'CH', 'ei_cutoff_3.10_remind_SSP2-PkBudg1150_2050_AGS_1147 2025-05-12')</t>
  </si>
  <si>
    <t>('market for electricity, low voltage (SPS)', 'CH', 'ei_cutoff_3.10_remind_SSP2-PkBudg1150_2050_AGS_1149 2025-05-12')</t>
  </si>
  <si>
    <t>('market for electricity, low voltage (SPS)', 'CH', 'ei_cutoff_3.10_remind_SSP2-PkBudg1150_2050_AGS_1150 2025-05-12')</t>
  </si>
  <si>
    <t>('market for electricity, low voltage (SPS)', 'CH', 'ei_cutoff_3.10_remind_SSP2-PkBudg1150_2050_AGS_1152 2025-05-12')</t>
  </si>
  <si>
    <t>('market for electricity, low voltage (SPS)', 'CH', 'ei_cutoff_3.10_remind_SSP2-PkBudg1150_2050_AGS_1156 2025-05-12')</t>
  </si>
  <si>
    <t>('market for electricity, low voltage (SPS)', 'CH', 'ei_cutoff_3.10_remind_SSP2-PkBudg1150_2050_AGS_1160 2025-05-12')</t>
  </si>
  <si>
    <t>('market for electricity, low voltage (SPS)', 'CH', 'ei_cutoff_3.10_remind_SSP2-PkBudg1150_2050_BAU_AGS 2025-05-12')</t>
  </si>
  <si>
    <t>AGS_1141</t>
  </si>
  <si>
    <t>AGS_1147</t>
  </si>
  <si>
    <t>AGS_1149</t>
  </si>
  <si>
    <t>AGS_1150</t>
  </si>
  <si>
    <t>AGS_1152</t>
  </si>
  <si>
    <t>AGS_1156</t>
  </si>
  <si>
    <t>AGS_1160</t>
  </si>
  <si>
    <t>Case</t>
  </si>
  <si>
    <t>Flexiblity</t>
  </si>
  <si>
    <t>2050</t>
  </si>
  <si>
    <t>Capital2050</t>
  </si>
  <si>
    <t>LifeTime</t>
  </si>
  <si>
    <t>Scenario no</t>
  </si>
  <si>
    <t>AGS flexiblity</t>
  </si>
  <si>
    <t>AGS type</t>
  </si>
  <si>
    <t>TWh</t>
  </si>
  <si>
    <t>Capital cost</t>
  </si>
  <si>
    <t>Life</t>
  </si>
  <si>
    <t>1053</t>
  </si>
  <si>
    <t>Low</t>
  </si>
  <si>
    <t>Baseload</t>
  </si>
  <si>
    <t>1055</t>
  </si>
  <si>
    <t>1056</t>
  </si>
  <si>
    <t>1057</t>
  </si>
  <si>
    <t>1058</t>
  </si>
  <si>
    <t>1059</t>
  </si>
  <si>
    <t>1060</t>
  </si>
  <si>
    <t>1044</t>
  </si>
  <si>
    <t>High</t>
  </si>
  <si>
    <t>Dispatchable</t>
  </si>
  <si>
    <t>1046</t>
  </si>
  <si>
    <t>1047</t>
  </si>
  <si>
    <t>1049</t>
  </si>
  <si>
    <t>1050</t>
  </si>
  <si>
    <t>1051</t>
  </si>
  <si>
    <t>1052</t>
  </si>
  <si>
    <t>1054</t>
  </si>
  <si>
    <t>1112</t>
  </si>
  <si>
    <t>1113</t>
  </si>
  <si>
    <t>1115</t>
  </si>
  <si>
    <t>1116</t>
  </si>
  <si>
    <t>1117</t>
  </si>
  <si>
    <t>1118</t>
  </si>
  <si>
    <t>1119</t>
  </si>
  <si>
    <t>1120</t>
  </si>
  <si>
    <t>1101</t>
  </si>
  <si>
    <t>1104</t>
  </si>
  <si>
    <t>1105</t>
  </si>
  <si>
    <t>1106</t>
  </si>
  <si>
    <t>1107</t>
  </si>
  <si>
    <t>1109</t>
  </si>
  <si>
    <t>1110</t>
  </si>
  <si>
    <t>1111</t>
  </si>
  <si>
    <t>1114</t>
  </si>
  <si>
    <t>1141</t>
  </si>
  <si>
    <t>Final LCA results</t>
  </si>
  <si>
    <t>Solar PV</t>
  </si>
  <si>
    <t>Battery storage</t>
  </si>
  <si>
    <t>1143</t>
  </si>
  <si>
    <t>case</t>
  </si>
  <si>
    <t>CHF/kW</t>
  </si>
  <si>
    <t>AGS TWh</t>
  </si>
  <si>
    <t>AGS (GW)</t>
  </si>
  <si>
    <t>GW</t>
  </si>
  <si>
    <t>GWH</t>
  </si>
  <si>
    <t>1144</t>
  </si>
  <si>
    <t>1145</t>
  </si>
  <si>
    <t>1146</t>
  </si>
  <si>
    <t>1147</t>
  </si>
  <si>
    <t>1148</t>
  </si>
  <si>
    <t>1149</t>
  </si>
  <si>
    <t>1150</t>
  </si>
  <si>
    <t>1151</t>
  </si>
  <si>
    <t>1152</t>
  </si>
  <si>
    <t>1153</t>
  </si>
  <si>
    <t>1154</t>
  </si>
  <si>
    <t>1155</t>
  </si>
  <si>
    <t>1156</t>
  </si>
  <si>
    <t>1159</t>
  </si>
  <si>
    <t>1160</t>
  </si>
  <si>
    <t>1157</t>
  </si>
  <si>
    <t>1158</t>
  </si>
  <si>
    <t>Electricity supply from AGS in 2050 [TWh]</t>
  </si>
  <si>
    <t>Capacity factor, 2030 LOW</t>
  </si>
  <si>
    <t>kg CO2-eq/kWh</t>
  </si>
  <si>
    <t>activity</t>
  </si>
  <si>
    <t>lcia_method</t>
  </si>
  <si>
    <t>level</t>
  </si>
  <si>
    <t>contribution share</t>
  </si>
  <si>
    <t>absolute score</t>
  </si>
  <si>
    <t>amount in dataset</t>
  </si>
  <si>
    <t>activity contributing</t>
  </si>
  <si>
    <t>location contributing</t>
  </si>
  <si>
    <t>IPCC 2021-climate change-global warming potential (GWP100)</t>
  </si>
  <si>
    <t>market for aluminium, cast alloy</t>
  </si>
  <si>
    <t>activities below cutoff</t>
  </si>
  <si>
    <t>aluminium ingot, primary, to aluminium, cast alloy market</t>
  </si>
  <si>
    <t>market for benzene</t>
  </si>
  <si>
    <t>BTX production, from pyrolysis gas, average</t>
  </si>
  <si>
    <t>building construction, hall</t>
  </si>
  <si>
    <t>building construction, hall, steel construction</t>
  </si>
  <si>
    <t>building construction, hall, wood construction</t>
  </si>
  <si>
    <t>market for concrete, 30MPa</t>
  </si>
  <si>
    <t>concrete production, 30MPa, for drilled piles, with cement, CEM II/A</t>
  </si>
  <si>
    <t>concrete production, 30MPa, for drilled piles, with cement, CEM II/B</t>
  </si>
  <si>
    <t>concrete production, 30MPa, for drilled piles, with cement, Portland</t>
  </si>
  <si>
    <t>market for copper, cathode</t>
  </si>
  <si>
    <t>copper production, cathode, solvent extraction and electrowinning process</t>
  </si>
  <si>
    <t>electrorefining of copper, anode</t>
  </si>
  <si>
    <t>market for polyethylene, high density, granulate</t>
  </si>
  <si>
    <t>polyethylene production, high density, granulate</t>
  </si>
  <si>
    <t>sheet rolling, steel</t>
  </si>
  <si>
    <t>market group for heat, district or industrial, natural gas</t>
  </si>
  <si>
    <t>market for steel, unalloyed</t>
  </si>
  <si>
    <t>market for steel, low-alloyed</t>
  </si>
  <si>
    <t>steel production, converter, low-alloyed</t>
  </si>
  <si>
    <t>IN</t>
  </si>
  <si>
    <t>Europe without Switzerland and Austria</t>
  </si>
  <si>
    <t>market group for transport, freight train</t>
  </si>
  <si>
    <t>market group for transport, freight, lorry, unspecified</t>
  </si>
  <si>
    <t>market for waste polyethylene/polypropylene product</t>
  </si>
  <si>
    <t>treatment of waste polyethylene/polypropylene product, collection for final disposal</t>
  </si>
  <si>
    <t>electricity voltage transformation from medium to low voltage</t>
  </si>
  <si>
    <t>electricity voltage transformation from high to medium voltage</t>
  </si>
  <si>
    <t>market for transmission network, electricity, medium voltage</t>
  </si>
  <si>
    <t>market group for transport, freight, inland waterways, barge</t>
  </si>
  <si>
    <t>market for transport, freight, sea, bulk carrier for dry goods</t>
  </si>
  <si>
    <t>cement production, Portland</t>
  </si>
  <si>
    <t>market for transport, freight train</t>
  </si>
  <si>
    <t>market for transport, freight, light commercial vehicle</t>
  </si>
  <si>
    <t>market for transport, freight, lorry, unspecified</t>
  </si>
  <si>
    <t>market group for diesel</t>
  </si>
  <si>
    <t>treatment of drilling waste, landfarming</t>
  </si>
  <si>
    <t>treatment of drilling waste, residual material landfill</t>
  </si>
  <si>
    <t>loss</t>
  </si>
  <si>
    <t>EF v3.1-acidification-accumulated exceedance (AE)</t>
  </si>
  <si>
    <t>platinum group metal mine operation, ore with high palladium content</t>
  </si>
  <si>
    <t>RU</t>
  </si>
  <si>
    <t>treatment of copper scrap by electrolytic refining</t>
  </si>
  <si>
    <t>market for sulfuric acid</t>
  </si>
  <si>
    <t>wire drawing, copper</t>
  </si>
  <si>
    <t>market for distribution network, electricity, low voltage</t>
  </si>
  <si>
    <t>market for diesel-electric generating set, 10MW</t>
  </si>
  <si>
    <t>EF v3.1-ecotoxicity: freshwater-comparative toxic unit for ecosystems (CTUe)</t>
  </si>
  <si>
    <t>EF v3.1-material resources: metals/minerals-abiotic depletion potential (ADP): elements (ultimate reserves)</t>
  </si>
  <si>
    <t>treatment of aluminium scrap, post-consumer, prepared for recycling, at refiner</t>
  </si>
  <si>
    <t>treatment of aluminium scrap, new, at refiner</t>
  </si>
  <si>
    <t>gold mine operation and refining</t>
  </si>
  <si>
    <t>SE</t>
  </si>
  <si>
    <t>EF v3.1-ozone depletion-ozone depletion potential (ODP)</t>
  </si>
  <si>
    <t>BTX production, from reformate, average</t>
  </si>
  <si>
    <t>treatment of scrap steel, inert material landfill</t>
  </si>
  <si>
    <t>treatment of scrap steel, municipal incineration FAE</t>
  </si>
  <si>
    <t>sheet rolling, aluminium</t>
  </si>
  <si>
    <t>sheet rolling, chromium steel</t>
  </si>
  <si>
    <t>EF v3.1-particulate matter formation-impact on human health</t>
  </si>
  <si>
    <t>EF v3.1-photochemical oxidant formation: human health-tropospheric ozone concentration increase</t>
  </si>
  <si>
    <t>electricity, from municipal waste incineration to generic market for electricity, medium voltage</t>
  </si>
  <si>
    <t>Contribution Analysis category</t>
  </si>
  <si>
    <t>Omit</t>
  </si>
  <si>
    <t>Level to stop</t>
  </si>
  <si>
    <t>Drilling waste</t>
  </si>
  <si>
    <t>('market for electricity, low voltage (SPS)', 'CH', 'ei_cutoff_3.10_remind_SSP2-Base_2050_AGS_1141 2025-05-13')</t>
  </si>
  <si>
    <t>('market for electricity, low voltage (SPS)', 'CH', 'ei_cutoff_3.10_remind_SSP2-Base_2050_AGS_1147 2025-05-13')</t>
  </si>
  <si>
    <t>('market for electricity, low voltage (SPS)', 'CH', 'ei_cutoff_3.10_remind_SSP2-Base_2050_AGS_1149 2025-05-13')</t>
  </si>
  <si>
    <t>('market for electricity, low voltage (SPS)', 'CH', 'ei_cutoff_3.10_remind_SSP2-Base_2050_AGS_1150 2025-05-13')</t>
  </si>
  <si>
    <t>('market for electricity, low voltage (SPS)', 'CH', 'ei_cutoff_3.10_remind_SSP2-Base_2050_AGS_1152 2025-05-13')</t>
  </si>
  <si>
    <t>('market for electricity, low voltage (SPS)', 'CH', 'ei_cutoff_3.10_remind_SSP2-Base_2050_AGS_1156 2025-05-13')</t>
  </si>
  <si>
    <t>('market for electricity, low voltage (SPS)', 'CH', 'ei_cutoff_3.10_remind_SSP2-Base_2050_AGS_1160 2025-05-13')</t>
  </si>
  <si>
    <t>('market for electricity, low voltage (SPS)', 'CH', 'ei_cutoff_3.10_remind_SSP2-Base_2050_BAU_AGS 2025-05-13')</t>
  </si>
  <si>
    <t>('market for electricity, low voltage (SPS)', 'CH', 'ei_cutoff_3.10_remind_SSP2-PkBudg1150_2050_AGS_1141 2025-05-13')</t>
  </si>
  <si>
    <t>('market for electricity, low voltage (SPS)', 'CH', 'ei_cutoff_3.10_remind_SSP2-PkBudg1150_2050_AGS_1147 2025-05-13')</t>
  </si>
  <si>
    <t>('market for electricity, low voltage (SPS)', 'CH', 'ei_cutoff_3.10_remind_SSP2-PkBudg1150_2050_AGS_1149 2025-05-13')</t>
  </si>
  <si>
    <t>('market for electricity, low voltage (SPS)', 'CH', 'ei_cutoff_3.10_remind_SSP2-PkBudg1150_2050_AGS_1150 2025-05-13')</t>
  </si>
  <si>
    <t>('market for electricity, low voltage (SPS)', 'CH', 'ei_cutoff_3.10_remind_SSP2-PkBudg1150_2050_AGS_1152 2025-05-13')</t>
  </si>
  <si>
    <t>('market for electricity, low voltage (SPS)', 'CH', 'ei_cutoff_3.10_remind_SSP2-PkBudg1150_2050_AGS_1156 2025-05-13')</t>
  </si>
  <si>
    <t>('market for electricity, low voltage (SPS)', 'CH', 'ei_cutoff_3.10_remind_SSP2-PkBudg1150_2050_AGS_1160 2025-05-13')</t>
  </si>
  <si>
    <t>('market for electricity, low voltage (SPS)', 'CH', 'ei_cutoff_3.10_remind_SSP2-PkBudg1150_2050_BAU_AGS 2025-05-13')</t>
  </si>
  <si>
    <t>copy from "ch_electricity_ags_low.xlsx"</t>
  </si>
  <si>
    <t>Sensitivity analysis: Calculation from 12.05.2025 with AGS plant modelled with 54000 m full casing = ca. 40 g CO2-eq/kWh</t>
  </si>
  <si>
    <t>('market for electricity, high voltage (SPS)', 'CH', 'ei_cutoff_3.10_remind_SSP2-Base_2050_AGS_1141 2025-05-13')</t>
  </si>
  <si>
    <t>('market for electricity, high voltage (SPS)', 'CH', 'ei_cutoff_3.10_remind_SSP2-Base_2050_AGS_1147 2025-05-13')</t>
  </si>
  <si>
    <t>('market for electricity, high voltage (SPS)', 'CH', 'ei_cutoff_3.10_remind_SSP2-Base_2050_AGS_1149 2025-05-13')</t>
  </si>
  <si>
    <t>('market for electricity, high voltage (SPS)', 'CH', 'ei_cutoff_3.10_remind_SSP2-Base_2050_AGS_1150 2025-05-13')</t>
  </si>
  <si>
    <t>('market for electricity, high voltage (SPS)', 'CH', 'ei_cutoff_3.10_remind_SSP2-Base_2050_AGS_1152 2025-05-13')</t>
  </si>
  <si>
    <t>('market for electricity, high voltage (SPS)', 'CH', 'ei_cutoff_3.10_remind_SSP2-Base_2050_AGS_1156 2025-05-13')</t>
  </si>
  <si>
    <t>('market for electricity, high voltage (SPS)', 'CH', 'ei_cutoff_3.10_remind_SSP2-Base_2050_AGS_1160 2025-05-13')</t>
  </si>
  <si>
    <t>('market for electricity, high voltage (SPS)', 'CH', 'ei_cutoff_3.10_remind_SSP2-Base_2050_BAU_AGS 2025-05-13')</t>
  </si>
  <si>
    <t>('market for electricity, high voltage (SPS)', 'CH', 'ei_cutoff_3.10_remind_SSP2-PkBudg1150_2050_AGS_1141 2025-05-13')</t>
  </si>
  <si>
    <t>('market for electricity, high voltage (SPS)', 'CH', 'ei_cutoff_3.10_remind_SSP2-PkBudg1150_2050_AGS_1147 2025-05-13')</t>
  </si>
  <si>
    <t>('market for electricity, high voltage (SPS)', 'CH', 'ei_cutoff_3.10_remind_SSP2-PkBudg1150_2050_AGS_1149 2025-05-13')</t>
  </si>
  <si>
    <t>('market for electricity, high voltage (SPS)', 'CH', 'ei_cutoff_3.10_remind_SSP2-PkBudg1150_2050_AGS_1150 2025-05-13')</t>
  </si>
  <si>
    <t>('market for electricity, high voltage (SPS)', 'CH', 'ei_cutoff_3.10_remind_SSP2-PkBudg1150_2050_AGS_1152 2025-05-13')</t>
  </si>
  <si>
    <t>('market for electricity, high voltage (SPS)', 'CH', 'ei_cutoff_3.10_remind_SSP2-PkBudg1150_2050_AGS_1156 2025-05-13')</t>
  </si>
  <si>
    <t>('market for electricity, high voltage (SPS)', 'CH', 'ei_cutoff_3.10_remind_SSP2-PkBudg1150_2050_AGS_1160 2025-05-13')</t>
  </si>
  <si>
    <t>('market for electricity, high voltage (SPS)', 'CH', 'ei_cutoff_3.10_remind_SSP2-PkBudg1150_2050_BAU_AGS 2025-05-13')</t>
  </si>
  <si>
    <t>High voltage market (scores without transformation and transmission losses)</t>
  </si>
  <si>
    <t>Ratio LV/HV</t>
  </si>
  <si>
    <t>Absolute difference LV-HV</t>
  </si>
  <si>
    <t>Ozone depletion
[kg CFC-11-eq/kWh]</t>
  </si>
  <si>
    <t>Minerals and metals depletion
[kg Sb-eq/kWh]</t>
  </si>
  <si>
    <t>Ecotoxicity
[CTUe/kWh]</t>
  </si>
  <si>
    <t>Acidification
[mol H+ eq/kWh]</t>
  </si>
  <si>
    <t>Particulate matter formation
[Disease incidence/kWh]</t>
  </si>
  <si>
    <t>Photochemical oxidant formation - human health
[kg NMVOC-eq/kWh]</t>
  </si>
  <si>
    <t>copy from "ch_electricity_ags_high.xlsx"</t>
  </si>
  <si>
    <t>Short names of scenarios</t>
  </si>
  <si>
    <t>ei_cutoff_3.10_remind_SSP2-Base_2050_AGS_1141 2025-05-13</t>
  </si>
  <si>
    <t>ei_cutoff_3.10_remind_SSP2-Base_2050_AGS_1147 2025-05-13</t>
  </si>
  <si>
    <t>ei_cutoff_3.10_remind_SSP2-Base_2050_AGS_1149 2025-05-13</t>
  </si>
  <si>
    <t>ei_cutoff_3.10_remind_SSP2-Base_2050_AGS_1150 2025-05-13</t>
  </si>
  <si>
    <t>ei_cutoff_3.10_remind_SSP2-Base_2050_AGS_1152 2025-05-13</t>
  </si>
  <si>
    <t>ei_cutoff_3.10_remind_SSP2-Base_2050_AGS_1156 2025-05-13</t>
  </si>
  <si>
    <t>ei_cutoff_3.10_remind_SSP2-Base_2050_AGS_1160 2025-05-13</t>
  </si>
  <si>
    <t>BAU_BAU_CH</t>
  </si>
  <si>
    <t>ei_cutoff_3.10_remind_SSP2-Base_2050_BAU_AGS 2025-05-13</t>
  </si>
  <si>
    <t>ei_cutoff_3.10_remind_SSP2-PkBudg1150_2050_AGS_1141 2025-05-13</t>
  </si>
  <si>
    <t>ei_cutoff_3.10_remind_SSP2-PkBudg1150_2050_AGS_1147 2025-05-13</t>
  </si>
  <si>
    <t>ei_cutoff_3.10_remind_SSP2-PkBudg1150_2050_AGS_1149 2025-05-13</t>
  </si>
  <si>
    <t>ei_cutoff_3.10_remind_SSP2-PkBudg1150_2050_AGS_1150 2025-05-13</t>
  </si>
  <si>
    <t>ei_cutoff_3.10_remind_SSP2-PkBudg1150_2050_AGS_1152 2025-05-13</t>
  </si>
  <si>
    <t>ei_cutoff_3.10_remind_SSP2-PkBudg1150_2050_AGS_1156 2025-05-13</t>
  </si>
  <si>
    <t>ei_cutoff_3.10_remind_SSP2-PkBudg1150_2050_AGS_1160 2025-05-13</t>
  </si>
  <si>
    <t>LOW_BAU_CH</t>
  </si>
  <si>
    <t>ei_cutoff_3.10_remind_SSP2-PkBudg1150_2050_BAU_AGS 2025-05-13</t>
  </si>
  <si>
    <t>Total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</si>
</sst>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
    <numFmt numFmtId="166" formatCode="#,##0.0"/>
    <numFmt numFmtId="167" formatCode="0.0%"/>
    <numFmt numFmtId="168" formatCode="0.0000"/>
    <numFmt numFmtId="169" formatCode="0.00000"/>
    <numFmt numFmtId="170" formatCode="_-* #,##0.00_-;\-* #,##0.00_-;_-* &quot;-&quot;??_-;_-@_-"/>
    <numFmt numFmtId="171" formatCode="_-* #,##0_-;\-* #,##0_-;_-* &quot;-&quot;??_-;_-@_-"/>
  </numFmts>
  <fonts count="62"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sz val="12"/>
      <color theme="1"/>
      <name val="Aptos"/>
      <family val="2"/>
    </font>
    <font>
      <sz val="12"/>
      <color theme="1"/>
      <name val="Symbol"/>
      <family val="1"/>
      <charset val="2"/>
    </font>
    <font>
      <sz val="7"/>
      <color theme="1"/>
      <name val="Times New Roman"/>
      <family val="1"/>
    </font>
    <font>
      <b/>
      <sz val="12"/>
      <color theme="1"/>
      <name val="Times New Roman"/>
      <family val="1"/>
    </font>
    <font>
      <sz val="12"/>
      <color theme="1"/>
      <name val="Times New Roman"/>
      <family val="1"/>
    </font>
    <font>
      <sz val="10.5"/>
      <color theme="1"/>
      <name val="Calibri"/>
      <family val="2"/>
      <scheme val="minor"/>
    </font>
    <font>
      <b/>
      <u/>
      <sz val="10.5"/>
      <color theme="1"/>
      <name val="Calibri"/>
      <family val="2"/>
      <scheme val="minor"/>
    </font>
    <font>
      <sz val="10"/>
      <color theme="1"/>
      <name val="Times New Roman"/>
      <family val="1"/>
    </font>
    <font>
      <i/>
      <sz val="11"/>
      <color theme="1"/>
      <name val="Calibri"/>
      <family val="2"/>
      <scheme val="minor"/>
    </font>
    <font>
      <sz val="12"/>
      <name val="Aptos"/>
      <family val="2"/>
    </font>
    <font>
      <sz val="11"/>
      <color rgb="FF000000"/>
      <name val="Consolas"/>
      <family val="3"/>
    </font>
    <font>
      <sz val="11"/>
      <color rgb="FFA31515"/>
      <name val="Consolas"/>
      <family val="3"/>
    </font>
    <font>
      <sz val="11"/>
      <color rgb="FFAF00DB"/>
      <name val="Consolas"/>
      <family val="3"/>
    </font>
    <font>
      <sz val="11"/>
      <color rgb="FF0000FF"/>
      <name val="Consolas"/>
      <family val="3"/>
    </font>
    <font>
      <sz val="11"/>
      <color rgb="FF795E26"/>
      <name val="Consolas"/>
      <family val="3"/>
    </font>
    <font>
      <sz val="11"/>
      <color rgb="FF001080"/>
      <name val="Consolas"/>
      <family val="3"/>
    </font>
    <font>
      <sz val="11"/>
      <color rgb="FF098658"/>
      <name val="Consolas"/>
      <family val="3"/>
    </font>
    <font>
      <sz val="11"/>
      <color rgb="FF008000"/>
      <name val="Consolas"/>
      <family val="3"/>
    </font>
    <font>
      <sz val="10"/>
      <color theme="1"/>
      <name val="Arial"/>
      <family val="2"/>
    </font>
    <font>
      <b/>
      <sz val="10"/>
      <name val="Arial"/>
      <family val="2"/>
    </font>
    <font>
      <b/>
      <sz val="10"/>
      <color theme="1"/>
      <name val="Arial"/>
      <family val="2"/>
    </font>
    <font>
      <i/>
      <sz val="12"/>
      <color theme="1"/>
      <name val="Calibri"/>
      <family val="2"/>
      <scheme val="minor"/>
    </font>
    <font>
      <sz val="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sz val="14"/>
      <color theme="1"/>
      <name val="Calibri"/>
      <family val="2"/>
      <scheme val="minor"/>
    </font>
    <font>
      <u/>
      <sz val="11"/>
      <color theme="8"/>
      <name val="Calibri"/>
      <family val="2"/>
      <scheme val="minor"/>
    </font>
    <font>
      <sz val="11"/>
      <name val="Calibri"/>
      <family val="2"/>
      <scheme val="minor"/>
    </font>
    <font>
      <b/>
      <i/>
      <sz val="11"/>
      <color theme="1"/>
      <name val="Calibri"/>
      <family val="2"/>
      <scheme val="minor"/>
    </font>
    <font>
      <sz val="8"/>
      <color theme="1"/>
      <name val="Segoe UI"/>
      <family val="2"/>
    </font>
    <font>
      <b/>
      <sz val="8"/>
      <color theme="1"/>
      <name val="Segoe UI"/>
      <family val="2"/>
    </font>
    <font>
      <vertAlign val="superscript"/>
      <sz val="8"/>
      <color theme="1"/>
      <name val="Segoe UI"/>
      <family val="2"/>
    </font>
    <font>
      <b/>
      <vertAlign val="superscript"/>
      <sz val="8"/>
      <color theme="1"/>
      <name val="Segoe UI"/>
      <family val="2"/>
    </font>
    <font>
      <sz val="11"/>
      <color theme="1"/>
      <name val="Times New Roman"/>
      <family val="1"/>
    </font>
    <font>
      <sz val="11"/>
      <color theme="1"/>
      <name val="Calibri"/>
      <family val="2"/>
    </font>
    <font>
      <b/>
      <sz val="11"/>
      <color theme="1"/>
      <name val="Times New Roman"/>
      <family val="1"/>
    </font>
    <font>
      <b/>
      <sz val="10"/>
      <name val="Verdana"/>
      <family val="2"/>
    </font>
    <font>
      <b/>
      <sz val="12"/>
      <name val="Arial"/>
      <family val="2"/>
    </font>
    <font>
      <sz val="8"/>
      <name val="Arial"/>
      <family val="2"/>
    </font>
    <font>
      <sz val="11"/>
      <name val="Arial"/>
      <family val="2"/>
    </font>
    <font>
      <sz val="12"/>
      <name val="Arial"/>
      <family val="2"/>
    </font>
    <font>
      <b/>
      <sz val="9"/>
      <name val="Arial"/>
      <family val="2"/>
    </font>
    <font>
      <sz val="10"/>
      <name val="Arial"/>
      <family val="2"/>
    </font>
    <font>
      <sz val="9"/>
      <color theme="1"/>
      <name val="Arial"/>
      <family val="2"/>
    </font>
    <font>
      <b/>
      <sz val="11"/>
      <color indexed="8"/>
      <name val="Calibri"/>
      <family val="2"/>
      <scheme val="minor"/>
    </font>
    <font>
      <b/>
      <i/>
      <sz val="11"/>
      <color indexed="8"/>
      <name val="Calibri"/>
      <family val="2"/>
      <scheme val="minor"/>
    </font>
    <font>
      <b/>
      <sz val="12"/>
      <color rgb="FF000000"/>
      <name val="Calibri"/>
      <family val="2"/>
      <scheme val="minor"/>
    </font>
    <font>
      <sz val="12"/>
      <color rgb="FF000000"/>
      <name val="Calibri"/>
      <family val="2"/>
      <scheme val="minor"/>
    </font>
    <font>
      <sz val="10"/>
      <name val="Verdana"/>
      <family val="2"/>
    </font>
    <font>
      <b/>
      <i/>
      <sz val="10"/>
      <name val="Verdana"/>
      <family val="2"/>
    </font>
    <font>
      <i/>
      <sz val="10"/>
      <name val="Verdana"/>
      <family val="2"/>
    </font>
    <font>
      <sz val="7.7"/>
      <color theme="1"/>
      <name val="Calibri"/>
      <family val="2"/>
    </font>
    <font>
      <b/>
      <sz val="8"/>
      <color theme="1"/>
      <name val="Arial"/>
      <family val="2"/>
    </font>
    <font>
      <i/>
      <sz val="8"/>
      <color theme="1"/>
      <name val="Arial"/>
      <family val="2"/>
    </font>
    <font>
      <b/>
      <i/>
      <sz val="8"/>
      <color theme="1"/>
      <name val="Arial"/>
      <family val="2"/>
    </font>
    <font>
      <sz val="11"/>
      <color indexed="8"/>
      <name val="Calibri"/>
      <family val="2"/>
      <scheme val="minor"/>
    </font>
    <font>
      <sz val="9"/>
      <color indexed="81"/>
      <name val="Tahoma"/>
      <family val="2"/>
    </font>
  </fonts>
  <fills count="28">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EFF1F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rgb="FF92D05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FFFFCC"/>
        <bgColor indexed="64"/>
      </patternFill>
    </fill>
    <fill>
      <patternFill patternType="solid">
        <fgColor rgb="FFFF5050"/>
        <bgColor indexed="64"/>
      </patternFill>
    </fill>
  </fills>
  <borders count="27">
    <border>
      <left/>
      <right/>
      <top/>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top/>
      <bottom style="thin">
        <color indexed="64"/>
      </bottom>
      <diagonal/>
    </border>
    <border>
      <left style="thin">
        <color indexed="64"/>
      </left>
      <right/>
      <top style="thin">
        <color indexed="64"/>
      </top>
      <bottom style="thin">
        <color theme="9" tint="0.39997558519241921"/>
      </bottom>
      <diagonal/>
    </border>
    <border>
      <left/>
      <right/>
      <top style="thin">
        <color indexed="64"/>
      </top>
      <bottom style="thin">
        <color theme="9" tint="0.39997558519241921"/>
      </bottom>
      <diagonal/>
    </border>
    <border>
      <left/>
      <right style="thin">
        <color theme="9" tint="0.39997558519241921"/>
      </right>
      <top style="thin">
        <color indexed="64"/>
      </top>
      <bottom style="thin">
        <color theme="9" tint="0.39997558519241921"/>
      </bottom>
      <diagonal/>
    </border>
    <border>
      <left/>
      <right style="thin">
        <color indexed="64"/>
      </right>
      <top style="thin">
        <color indexed="64"/>
      </top>
      <bottom/>
      <diagonal/>
    </border>
    <border>
      <left style="thin">
        <color indexed="64"/>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indexed="64"/>
      </right>
      <top/>
      <bottom/>
      <diagonal/>
    </border>
    <border>
      <left style="thin">
        <color indexed="64"/>
      </left>
      <right/>
      <top style="thin">
        <color theme="9" tint="0.39997558519241921"/>
      </top>
      <bottom style="thin">
        <color indexed="64"/>
      </bottom>
      <diagonal/>
    </border>
    <border>
      <left/>
      <right/>
      <top style="thin">
        <color theme="9" tint="0.39997558519241921"/>
      </top>
      <bottom style="thin">
        <color indexed="64"/>
      </bottom>
      <diagonal/>
    </border>
    <border>
      <left/>
      <right style="thin">
        <color theme="9" tint="0.39997558519241921"/>
      </right>
      <top style="thin">
        <color theme="9" tint="0.39997558519241921"/>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style="thin">
        <color indexed="64"/>
      </top>
      <bottom style="thin">
        <color indexed="64"/>
      </bottom>
      <diagonal/>
    </border>
    <border>
      <left style="medium">
        <color indexed="64"/>
      </left>
      <right style="medium">
        <color indexed="64"/>
      </right>
      <top/>
      <bottom/>
      <diagonal/>
    </border>
  </borders>
  <cellStyleXfs count="11">
    <xf numFmtId="0" fontId="0" fillId="0" borderId="0"/>
    <xf numFmtId="0" fontId="2" fillId="0" borderId="0"/>
    <xf numFmtId="0" fontId="29" fillId="0" borderId="0" applyNumberFormat="0" applyFill="0" applyBorder="0" applyAlignment="0" applyProtection="0"/>
    <xf numFmtId="9" fontId="27" fillId="0" borderId="0" applyFont="0" applyFill="0" applyBorder="0" applyAlignment="0" applyProtection="0"/>
    <xf numFmtId="0" fontId="29" fillId="0" borderId="0" applyNumberFormat="0" applyFill="0" applyBorder="0" applyAlignment="0" applyProtection="0"/>
    <xf numFmtId="9" fontId="27" fillId="0" borderId="0" applyFont="0" applyFill="0" applyBorder="0" applyAlignment="0" applyProtection="0"/>
    <xf numFmtId="0" fontId="22" fillId="0" borderId="0"/>
    <xf numFmtId="0" fontId="53" fillId="0" borderId="0"/>
    <xf numFmtId="0" fontId="60" fillId="0" borderId="0"/>
    <xf numFmtId="170" fontId="60" fillId="0" borderId="0" applyFont="0" applyFill="0" applyBorder="0" applyAlignment="0" applyProtection="0"/>
    <xf numFmtId="9" fontId="60" fillId="0" borderId="0" applyFont="0" applyFill="0" applyBorder="0" applyAlignment="0" applyProtection="0"/>
  </cellStyleXfs>
  <cellXfs count="571">
    <xf numFmtId="0" fontId="0" fillId="0" borderId="0" xfId="0"/>
    <xf numFmtId="0" fontId="2" fillId="0" borderId="0" xfId="1"/>
    <xf numFmtId="0" fontId="4" fillId="0" borderId="0" xfId="0" applyFont="1" applyAlignment="1">
      <alignment vertical="center"/>
    </xf>
    <xf numFmtId="0" fontId="5" fillId="0" borderId="0" xfId="0" applyFont="1" applyAlignment="1">
      <alignment horizontal="left" vertical="center" indent="5"/>
    </xf>
    <xf numFmtId="0" fontId="7" fillId="0" borderId="2" xfId="0" applyFont="1" applyBorder="1" applyAlignment="1">
      <alignment horizontal="center" vertical="center" wrapText="1"/>
    </xf>
    <xf numFmtId="0" fontId="8" fillId="0" borderId="2" xfId="0" applyFont="1" applyBorder="1" applyAlignment="1">
      <alignment vertical="center" wrapText="1"/>
    </xf>
    <xf numFmtId="0" fontId="4" fillId="0" borderId="0" xfId="0" applyFont="1" applyAlignment="1">
      <alignment horizontal="left" vertical="center" indent="5"/>
    </xf>
    <xf numFmtId="0" fontId="5" fillId="3" borderId="0" xfId="0" applyFont="1" applyFill="1" applyAlignment="1">
      <alignment horizontal="left" vertical="center" indent="5"/>
    </xf>
    <xf numFmtId="0" fontId="5" fillId="0" borderId="0" xfId="0" applyFont="1" applyFill="1" applyAlignment="1">
      <alignment horizontal="left" vertical="center" indent="5"/>
    </xf>
    <xf numFmtId="0" fontId="1" fillId="0" borderId="0" xfId="0" applyFont="1"/>
    <xf numFmtId="0" fontId="9" fillId="0" borderId="0" xfId="0" applyFont="1" applyAlignment="1">
      <alignment horizontal="left" vertical="center" indent="5"/>
    </xf>
    <xf numFmtId="0" fontId="9" fillId="0" borderId="0" xfId="0" applyFont="1" applyAlignment="1">
      <alignment horizontal="left" vertical="center" indent="8"/>
    </xf>
    <xf numFmtId="0" fontId="2" fillId="0" borderId="0" xfId="0" applyFont="1" applyAlignment="1">
      <alignment vertical="center"/>
    </xf>
    <xf numFmtId="0" fontId="9" fillId="0" borderId="0" xfId="0" applyFont="1" applyAlignment="1">
      <alignment vertical="center"/>
    </xf>
    <xf numFmtId="0" fontId="11" fillId="0" borderId="0" xfId="0" applyFont="1" applyAlignment="1">
      <alignment vertical="center"/>
    </xf>
    <xf numFmtId="0" fontId="12" fillId="0" borderId="0" xfId="0" applyFont="1"/>
    <xf numFmtId="0" fontId="2" fillId="4" borderId="0" xfId="1" applyFill="1"/>
    <xf numFmtId="164" fontId="2" fillId="4" borderId="0" xfId="1" applyNumberFormat="1" applyFill="1"/>
    <xf numFmtId="1" fontId="2" fillId="4" borderId="0" xfId="1" applyNumberFormat="1" applyFill="1"/>
    <xf numFmtId="0" fontId="2" fillId="4" borderId="1" xfId="1" applyFill="1" applyBorder="1"/>
    <xf numFmtId="0" fontId="2" fillId="5" borderId="0" xfId="1" applyFill="1"/>
    <xf numFmtId="9" fontId="2" fillId="5" borderId="0" xfId="1" applyNumberFormat="1" applyFill="1" applyAlignment="1">
      <alignment horizontal="center"/>
    </xf>
    <xf numFmtId="0" fontId="1" fillId="4" borderId="0" xfId="0" applyFont="1" applyFill="1"/>
    <xf numFmtId="1" fontId="0" fillId="4" borderId="0" xfId="0" applyNumberFormat="1" applyFill="1"/>
    <xf numFmtId="0" fontId="0" fillId="4" borderId="0" xfId="0" applyFill="1"/>
    <xf numFmtId="0" fontId="15" fillId="0" borderId="0" xfId="0" applyFont="1" applyAlignment="1">
      <alignment vertical="center"/>
    </xf>
    <xf numFmtId="0" fontId="0" fillId="6" borderId="0" xfId="0" applyFill="1" applyAlignment="1">
      <alignment vertical="center"/>
    </xf>
    <xf numFmtId="0" fontId="16" fillId="0" borderId="0" xfId="0" applyFont="1" applyAlignment="1">
      <alignment vertical="center"/>
    </xf>
    <xf numFmtId="0" fontId="17" fillId="0" borderId="0" xfId="0" applyFont="1" applyAlignment="1">
      <alignment vertical="center"/>
    </xf>
    <xf numFmtId="0" fontId="14" fillId="0" borderId="0" xfId="0" applyFont="1" applyAlignment="1">
      <alignment vertical="center"/>
    </xf>
    <xf numFmtId="0" fontId="21" fillId="0" borderId="0" xfId="0" applyFont="1" applyAlignment="1">
      <alignment vertical="center"/>
    </xf>
    <xf numFmtId="0" fontId="0" fillId="3" borderId="0" xfId="0" applyFill="1"/>
    <xf numFmtId="0" fontId="1" fillId="0" borderId="0" xfId="0" applyFont="1" applyFill="1"/>
    <xf numFmtId="2" fontId="22" fillId="0" borderId="0" xfId="0" applyNumberFormat="1" applyFont="1"/>
    <xf numFmtId="0" fontId="23" fillId="0" borderId="3" xfId="0" applyFont="1" applyBorder="1" applyAlignment="1">
      <alignment horizontal="center" vertical="top"/>
    </xf>
    <xf numFmtId="1" fontId="23" fillId="0" borderId="3" xfId="0" applyNumberFormat="1" applyFont="1" applyBorder="1" applyAlignment="1">
      <alignment horizontal="center" vertical="top"/>
    </xf>
    <xf numFmtId="2" fontId="23" fillId="0" borderId="3" xfId="0" applyNumberFormat="1" applyFont="1" applyBorder="1" applyAlignment="1">
      <alignment horizontal="center" vertical="top"/>
    </xf>
    <xf numFmtId="2" fontId="24" fillId="0" borderId="4" xfId="0" applyNumberFormat="1" applyFont="1" applyBorder="1"/>
    <xf numFmtId="2" fontId="24" fillId="7" borderId="1" xfId="0" applyNumberFormat="1" applyFont="1" applyFill="1" applyBorder="1"/>
    <xf numFmtId="2" fontId="24" fillId="0" borderId="1" xfId="0" applyNumberFormat="1" applyFont="1" applyBorder="1"/>
    <xf numFmtId="0" fontId="22" fillId="0" borderId="0" xfId="0" applyFont="1"/>
    <xf numFmtId="1" fontId="22" fillId="7" borderId="0" xfId="0" applyNumberFormat="1" applyFont="1" applyFill="1"/>
    <xf numFmtId="2" fontId="22" fillId="7" borderId="0" xfId="0" applyNumberFormat="1" applyFont="1" applyFill="1"/>
    <xf numFmtId="1" fontId="23" fillId="3" borderId="3" xfId="0" applyNumberFormat="1" applyFont="1" applyFill="1" applyBorder="1" applyAlignment="1">
      <alignment horizontal="center" vertical="top"/>
    </xf>
    <xf numFmtId="2" fontId="23" fillId="3" borderId="3" xfId="0" applyNumberFormat="1" applyFont="1" applyFill="1" applyBorder="1" applyAlignment="1">
      <alignment horizontal="center" vertical="top"/>
    </xf>
    <xf numFmtId="2" fontId="23" fillId="5" borderId="3" xfId="0" applyNumberFormat="1" applyFont="1" applyFill="1" applyBorder="1" applyAlignment="1">
      <alignment horizontal="center" vertical="top"/>
    </xf>
    <xf numFmtId="2" fontId="22" fillId="5" borderId="0" xfId="0" applyNumberFormat="1" applyFont="1" applyFill="1"/>
    <xf numFmtId="2" fontId="24" fillId="5" borderId="1" xfId="0" applyNumberFormat="1" applyFont="1" applyFill="1" applyBorder="1"/>
    <xf numFmtId="2" fontId="22" fillId="3" borderId="0" xfId="0" applyNumberFormat="1" applyFont="1" applyFill="1"/>
    <xf numFmtId="0" fontId="25" fillId="0" borderId="0" xfId="1" applyFont="1"/>
    <xf numFmtId="0" fontId="0" fillId="5" borderId="0" xfId="0" applyFill="1"/>
    <xf numFmtId="0" fontId="3" fillId="0" borderId="0" xfId="1" applyFont="1"/>
    <xf numFmtId="2" fontId="0" fillId="0" borderId="0" xfId="0" applyNumberFormat="1"/>
    <xf numFmtId="1" fontId="0" fillId="0" borderId="0" xfId="0" applyNumberFormat="1"/>
    <xf numFmtId="0" fontId="0" fillId="3" borderId="0" xfId="0" applyFont="1" applyFill="1"/>
    <xf numFmtId="0" fontId="0" fillId="8" borderId="0" xfId="0" applyFill="1"/>
    <xf numFmtId="1" fontId="0" fillId="8" borderId="0" xfId="0" applyNumberFormat="1" applyFill="1"/>
    <xf numFmtId="1" fontId="1" fillId="4" borderId="0" xfId="0" applyNumberFormat="1" applyFont="1" applyFill="1"/>
    <xf numFmtId="16" fontId="0" fillId="0" borderId="0" xfId="0" quotePrefix="1" applyNumberFormat="1"/>
    <xf numFmtId="0" fontId="1" fillId="2" borderId="0" xfId="0" applyFont="1" applyFill="1"/>
    <xf numFmtId="1" fontId="1" fillId="2" borderId="0" xfId="0" applyNumberFormat="1" applyFont="1" applyFill="1"/>
    <xf numFmtId="0" fontId="1" fillId="4" borderId="0" xfId="0" applyFont="1" applyFill="1" applyAlignment="1">
      <alignment wrapText="1"/>
    </xf>
    <xf numFmtId="0" fontId="1" fillId="0" borderId="0" xfId="1" applyFont="1"/>
    <xf numFmtId="0" fontId="27" fillId="0" borderId="0" xfId="0" applyFont="1"/>
    <xf numFmtId="0" fontId="27" fillId="0" borderId="0" xfId="1" applyFont="1"/>
    <xf numFmtId="0" fontId="0" fillId="0" borderId="0" xfId="0" applyFont="1"/>
    <xf numFmtId="1" fontId="27" fillId="0" borderId="0" xfId="0" applyNumberFormat="1" applyFont="1"/>
    <xf numFmtId="0" fontId="30" fillId="0" borderId="0" xfId="0" applyFont="1"/>
    <xf numFmtId="0" fontId="29" fillId="0" borderId="0" xfId="2"/>
    <xf numFmtId="0" fontId="0" fillId="10" borderId="0" xfId="0" applyFill="1"/>
    <xf numFmtId="11" fontId="0" fillId="0" borderId="0" xfId="0" applyNumberFormat="1"/>
    <xf numFmtId="0" fontId="0" fillId="9" borderId="0" xfId="0" applyFill="1"/>
    <xf numFmtId="11" fontId="0" fillId="9" borderId="0" xfId="0" applyNumberFormat="1" applyFill="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2" fillId="0" borderId="0" xfId="0" applyFont="1"/>
    <xf numFmtId="0" fontId="0" fillId="0" borderId="13" xfId="0" applyBorder="1"/>
    <xf numFmtId="0" fontId="0" fillId="0" borderId="14" xfId="0" applyBorder="1"/>
    <xf numFmtId="0" fontId="0" fillId="0" borderId="15" xfId="0" applyBorder="1"/>
    <xf numFmtId="0" fontId="0" fillId="0" borderId="16" xfId="0" applyBorder="1"/>
    <xf numFmtId="0" fontId="3" fillId="4" borderId="17" xfId="0" applyFont="1" applyFill="1" applyBorder="1"/>
    <xf numFmtId="0" fontId="3" fillId="4" borderId="18" xfId="0" applyFont="1" applyFill="1" applyBorder="1"/>
    <xf numFmtId="0" fontId="0" fillId="4" borderId="18" xfId="0" applyFill="1" applyBorder="1"/>
    <xf numFmtId="0" fontId="0" fillId="4" borderId="8" xfId="0" applyFill="1" applyBorder="1"/>
    <xf numFmtId="0" fontId="0" fillId="0" borderId="19" xfId="0" applyBorder="1"/>
    <xf numFmtId="0" fontId="2" fillId="0" borderId="0" xfId="0" applyFont="1"/>
    <xf numFmtId="0" fontId="3" fillId="0" borderId="19" xfId="0" applyFont="1" applyBorder="1"/>
    <xf numFmtId="0" fontId="1" fillId="0" borderId="19" xfId="0" applyFont="1" applyBorder="1"/>
    <xf numFmtId="0" fontId="1" fillId="0" borderId="12" xfId="0" applyFont="1" applyBorder="1"/>
    <xf numFmtId="0" fontId="0" fillId="0" borderId="4" xfId="0" applyBorder="1"/>
    <xf numFmtId="0" fontId="0" fillId="0" borderId="1" xfId="0" applyBorder="1"/>
    <xf numFmtId="0" fontId="3" fillId="0" borderId="17" xfId="0" applyFont="1" applyBorder="1"/>
    <xf numFmtId="0" fontId="1" fillId="0" borderId="18" xfId="0" applyFont="1" applyBorder="1"/>
    <xf numFmtId="0" fontId="0" fillId="0" borderId="18" xfId="0" applyBorder="1"/>
    <xf numFmtId="0" fontId="0" fillId="0" borderId="8" xfId="0" applyBorder="1"/>
    <xf numFmtId="0" fontId="0" fillId="4" borderId="19" xfId="0" applyFill="1" applyBorder="1"/>
    <xf numFmtId="0" fontId="0" fillId="4" borderId="12" xfId="0" applyFill="1" applyBorder="1"/>
    <xf numFmtId="0" fontId="0" fillId="5" borderId="19" xfId="0" applyFill="1" applyBorder="1"/>
    <xf numFmtId="0" fontId="0" fillId="5" borderId="12" xfId="0" applyFill="1" applyBorder="1"/>
    <xf numFmtId="0" fontId="3" fillId="5" borderId="17" xfId="0" applyFont="1" applyFill="1" applyBorder="1"/>
    <xf numFmtId="0" fontId="1" fillId="5" borderId="18" xfId="0" applyFont="1" applyFill="1" applyBorder="1"/>
    <xf numFmtId="0" fontId="0" fillId="5" borderId="18" xfId="0" applyFill="1" applyBorder="1"/>
    <xf numFmtId="0" fontId="0" fillId="5" borderId="8" xfId="0" applyFill="1" applyBorder="1"/>
    <xf numFmtId="0" fontId="0" fillId="11" borderId="19" xfId="0" applyFill="1" applyBorder="1"/>
    <xf numFmtId="0" fontId="0" fillId="11" borderId="0" xfId="0" applyFill="1"/>
    <xf numFmtId="0" fontId="0" fillId="11" borderId="12" xfId="0" applyFill="1" applyBorder="1"/>
    <xf numFmtId="0" fontId="0" fillId="12" borderId="0" xfId="0" applyFill="1"/>
    <xf numFmtId="0" fontId="0" fillId="12" borderId="17" xfId="0" applyFill="1" applyBorder="1"/>
    <xf numFmtId="0" fontId="0" fillId="12" borderId="18" xfId="0" applyFill="1" applyBorder="1"/>
    <xf numFmtId="0" fontId="0" fillId="12" borderId="8" xfId="0" applyFill="1" applyBorder="1"/>
    <xf numFmtId="0" fontId="0" fillId="12" borderId="19" xfId="0" applyFill="1" applyBorder="1"/>
    <xf numFmtId="0" fontId="0" fillId="12" borderId="12" xfId="0" applyFill="1" applyBorder="1"/>
    <xf numFmtId="0" fontId="0" fillId="12" borderId="4" xfId="0" applyFill="1" applyBorder="1"/>
    <xf numFmtId="0" fontId="0" fillId="12" borderId="1" xfId="0" applyFill="1" applyBorder="1"/>
    <xf numFmtId="0" fontId="0" fillId="12" borderId="16" xfId="0" applyFill="1" applyBorder="1"/>
    <xf numFmtId="0" fontId="0" fillId="0" borderId="20" xfId="0" applyBorder="1"/>
    <xf numFmtId="0" fontId="0" fillId="0" borderId="21" xfId="0" applyBorder="1"/>
    <xf numFmtId="0" fontId="0" fillId="0" borderId="22" xfId="0" applyBorder="1"/>
    <xf numFmtId="0" fontId="0" fillId="0" borderId="3" xfId="0" applyBorder="1"/>
    <xf numFmtId="0" fontId="0" fillId="0" borderId="23" xfId="0" applyBorder="1"/>
    <xf numFmtId="0" fontId="0" fillId="0" borderId="24" xfId="0" applyBorder="1"/>
    <xf numFmtId="0" fontId="0" fillId="0" borderId="17" xfId="0" applyBorder="1"/>
    <xf numFmtId="1" fontId="1" fillId="0" borderId="0" xfId="0" applyNumberFormat="1" applyFont="1"/>
    <xf numFmtId="1" fontId="2" fillId="0" borderId="0" xfId="1" applyNumberFormat="1"/>
    <xf numFmtId="0" fontId="3" fillId="5" borderId="0" xfId="1" applyFont="1" applyFill="1" applyAlignment="1">
      <alignment horizontal="center"/>
    </xf>
    <xf numFmtId="0" fontId="34" fillId="13" borderId="0" xfId="0" applyFont="1" applyFill="1"/>
    <xf numFmtId="0" fontId="35" fillId="14" borderId="12" xfId="0" applyFont="1" applyFill="1" applyBorder="1"/>
    <xf numFmtId="0" fontId="34" fillId="0" borderId="0" xfId="0" applyFont="1"/>
    <xf numFmtId="0" fontId="34" fillId="13" borderId="1" xfId="0" applyFont="1" applyFill="1" applyBorder="1"/>
    <xf numFmtId="0" fontId="35" fillId="14" borderId="1" xfId="0" applyFont="1" applyFill="1" applyBorder="1"/>
    <xf numFmtId="0" fontId="35" fillId="7" borderId="4" xfId="0" applyFont="1" applyFill="1" applyBorder="1"/>
    <xf numFmtId="0" fontId="35" fillId="7" borderId="1" xfId="0" applyFont="1" applyFill="1" applyBorder="1"/>
    <xf numFmtId="0" fontId="35" fillId="7" borderId="0" xfId="0" applyFont="1" applyFill="1"/>
    <xf numFmtId="0" fontId="35" fillId="7" borderId="12" xfId="0" applyFont="1" applyFill="1" applyBorder="1" applyAlignment="1">
      <alignment horizontal="center"/>
    </xf>
    <xf numFmtId="0" fontId="35" fillId="15" borderId="4" xfId="0" applyFont="1" applyFill="1" applyBorder="1"/>
    <xf numFmtId="0" fontId="35" fillId="15" borderId="1" xfId="0" applyFont="1" applyFill="1" applyBorder="1"/>
    <xf numFmtId="0" fontId="35" fillId="15" borderId="0" xfId="0" applyFont="1" applyFill="1"/>
    <xf numFmtId="0" fontId="35" fillId="15" borderId="12" xfId="0" applyFont="1" applyFill="1" applyBorder="1" applyAlignment="1">
      <alignment horizontal="center"/>
    </xf>
    <xf numFmtId="0" fontId="35" fillId="13" borderId="4" xfId="0" applyFont="1" applyFill="1" applyBorder="1"/>
    <xf numFmtId="0" fontId="35" fillId="13" borderId="1" xfId="0" applyFont="1" applyFill="1" applyBorder="1"/>
    <xf numFmtId="0" fontId="35" fillId="13" borderId="0" xfId="0" applyFont="1" applyFill="1"/>
    <xf numFmtId="0" fontId="35" fillId="13" borderId="12" xfId="0" applyFont="1" applyFill="1" applyBorder="1" applyAlignment="1">
      <alignment horizontal="center"/>
    </xf>
    <xf numFmtId="0" fontId="35" fillId="13" borderId="23" xfId="0" applyFont="1" applyFill="1" applyBorder="1"/>
    <xf numFmtId="166" fontId="34" fillId="14" borderId="23" xfId="0" applyNumberFormat="1" applyFont="1" applyFill="1" applyBorder="1"/>
    <xf numFmtId="166" fontId="34" fillId="7" borderId="25" xfId="0" applyNumberFormat="1" applyFont="1" applyFill="1" applyBorder="1"/>
    <xf numFmtId="166" fontId="34" fillId="7" borderId="23" xfId="0" applyNumberFormat="1" applyFont="1" applyFill="1" applyBorder="1"/>
    <xf numFmtId="167" fontId="34" fillId="7" borderId="24" xfId="3" applyNumberFormat="1" applyFont="1" applyFill="1" applyBorder="1" applyAlignment="1">
      <alignment horizontal="center"/>
    </xf>
    <xf numFmtId="166" fontId="34" fillId="15" borderId="25" xfId="0" applyNumberFormat="1" applyFont="1" applyFill="1" applyBorder="1"/>
    <xf numFmtId="166" fontId="34" fillId="15" borderId="23" xfId="0" applyNumberFormat="1" applyFont="1" applyFill="1" applyBorder="1"/>
    <xf numFmtId="167" fontId="34" fillId="15" borderId="24" xfId="3" applyNumberFormat="1" applyFont="1" applyFill="1" applyBorder="1" applyAlignment="1">
      <alignment horizontal="center"/>
    </xf>
    <xf numFmtId="166" fontId="34" fillId="13" borderId="25" xfId="0" applyNumberFormat="1" applyFont="1" applyFill="1" applyBorder="1"/>
    <xf numFmtId="166" fontId="34" fillId="13" borderId="23" xfId="0" applyNumberFormat="1" applyFont="1" applyFill="1" applyBorder="1"/>
    <xf numFmtId="167" fontId="34" fillId="13" borderId="24" xfId="3" applyNumberFormat="1" applyFont="1" applyFill="1" applyBorder="1" applyAlignment="1">
      <alignment horizontal="center"/>
    </xf>
    <xf numFmtId="2" fontId="34" fillId="14" borderId="0" xfId="0" applyNumberFormat="1" applyFont="1" applyFill="1"/>
    <xf numFmtId="2" fontId="34" fillId="7" borderId="19" xfId="0" applyNumberFormat="1" applyFont="1" applyFill="1" applyBorder="1"/>
    <xf numFmtId="2" fontId="34" fillId="7" borderId="0" xfId="0" applyNumberFormat="1" applyFont="1" applyFill="1"/>
    <xf numFmtId="167" fontId="34" fillId="7" borderId="12" xfId="3" applyNumberFormat="1" applyFont="1" applyFill="1" applyBorder="1" applyAlignment="1">
      <alignment horizontal="center"/>
    </xf>
    <xf numFmtId="2" fontId="34" fillId="15" borderId="19" xfId="0" applyNumberFormat="1" applyFont="1" applyFill="1" applyBorder="1"/>
    <xf numFmtId="2" fontId="34" fillId="15" borderId="0" xfId="0" applyNumberFormat="1" applyFont="1" applyFill="1"/>
    <xf numFmtId="167" fontId="34" fillId="15" borderId="12" xfId="3" applyNumberFormat="1" applyFont="1" applyFill="1" applyBorder="1" applyAlignment="1">
      <alignment horizontal="center"/>
    </xf>
    <xf numFmtId="2" fontId="34" fillId="13" borderId="19" xfId="0" applyNumberFormat="1" applyFont="1" applyFill="1" applyBorder="1"/>
    <xf numFmtId="2" fontId="34" fillId="13" borderId="0" xfId="0" applyNumberFormat="1" applyFont="1" applyFill="1"/>
    <xf numFmtId="167" fontId="34" fillId="13" borderId="12" xfId="3" applyNumberFormat="1" applyFont="1" applyFill="1" applyBorder="1" applyAlignment="1">
      <alignment horizontal="center"/>
    </xf>
    <xf numFmtId="1" fontId="34" fillId="14" borderId="0" xfId="0" applyNumberFormat="1" applyFont="1" applyFill="1"/>
    <xf numFmtId="1" fontId="34" fillId="7" borderId="19" xfId="0" applyNumberFormat="1" applyFont="1" applyFill="1" applyBorder="1"/>
    <xf numFmtId="1" fontId="34" fillId="7" borderId="0" xfId="0" applyNumberFormat="1" applyFont="1" applyFill="1"/>
    <xf numFmtId="1" fontId="34" fillId="15" borderId="19" xfId="0" applyNumberFormat="1" applyFont="1" applyFill="1" applyBorder="1"/>
    <xf numFmtId="1" fontId="34" fillId="15" borderId="0" xfId="0" applyNumberFormat="1" applyFont="1" applyFill="1"/>
    <xf numFmtId="1" fontId="34" fillId="13" borderId="19" xfId="0" applyNumberFormat="1" applyFont="1" applyFill="1" applyBorder="1"/>
    <xf numFmtId="1" fontId="34" fillId="13" borderId="0" xfId="0" applyNumberFormat="1" applyFont="1" applyFill="1"/>
    <xf numFmtId="3" fontId="34" fillId="14" borderId="0" xfId="0" applyNumberFormat="1" applyFont="1" applyFill="1"/>
    <xf numFmtId="164" fontId="35" fillId="14" borderId="0" xfId="0" applyNumberFormat="1" applyFont="1" applyFill="1"/>
    <xf numFmtId="164" fontId="35" fillId="7" borderId="19" xfId="0" applyNumberFormat="1" applyFont="1" applyFill="1" applyBorder="1"/>
    <xf numFmtId="164" fontId="35" fillId="7" borderId="0" xfId="0" applyNumberFormat="1" applyFont="1" applyFill="1"/>
    <xf numFmtId="164" fontId="35" fillId="7" borderId="18" xfId="0" applyNumberFormat="1" applyFont="1" applyFill="1" applyBorder="1"/>
    <xf numFmtId="167" fontId="35" fillId="7" borderId="8" xfId="3" applyNumberFormat="1" applyFont="1" applyFill="1" applyBorder="1" applyAlignment="1">
      <alignment horizontal="center"/>
    </xf>
    <xf numFmtId="164" fontId="35" fillId="15" borderId="19" xfId="0" applyNumberFormat="1" applyFont="1" applyFill="1" applyBorder="1"/>
    <xf numFmtId="164" fontId="35" fillId="15" borderId="0" xfId="0" applyNumberFormat="1" applyFont="1" applyFill="1"/>
    <xf numFmtId="164" fontId="35" fillId="15" borderId="18" xfId="0" applyNumberFormat="1" applyFont="1" applyFill="1" applyBorder="1"/>
    <xf numFmtId="167" fontId="35" fillId="15" borderId="8" xfId="3" applyNumberFormat="1" applyFont="1" applyFill="1" applyBorder="1" applyAlignment="1">
      <alignment horizontal="center"/>
    </xf>
    <xf numFmtId="164" fontId="35" fillId="13" borderId="19" xfId="0" applyNumberFormat="1" applyFont="1" applyFill="1" applyBorder="1"/>
    <xf numFmtId="164" fontId="35" fillId="13" borderId="0" xfId="0" applyNumberFormat="1" applyFont="1" applyFill="1"/>
    <xf numFmtId="164" fontId="35" fillId="13" borderId="18" xfId="0" applyNumberFormat="1" applyFont="1" applyFill="1" applyBorder="1"/>
    <xf numFmtId="167" fontId="35" fillId="13" borderId="8" xfId="3" applyNumberFormat="1" applyFont="1" applyFill="1" applyBorder="1" applyAlignment="1">
      <alignment horizontal="center"/>
    </xf>
    <xf numFmtId="164" fontId="34" fillId="14" borderId="0" xfId="0" applyNumberFormat="1" applyFont="1" applyFill="1"/>
    <xf numFmtId="164" fontId="34" fillId="7" borderId="19" xfId="0" applyNumberFormat="1" applyFont="1" applyFill="1" applyBorder="1"/>
    <xf numFmtId="164" fontId="34" fillId="7" borderId="0" xfId="0" applyNumberFormat="1" applyFont="1" applyFill="1"/>
    <xf numFmtId="164" fontId="34" fillId="15" borderId="19" xfId="0" applyNumberFormat="1" applyFont="1" applyFill="1" applyBorder="1"/>
    <xf numFmtId="164" fontId="34" fillId="15" borderId="0" xfId="0" applyNumberFormat="1" applyFont="1" applyFill="1"/>
    <xf numFmtId="164" fontId="34" fillId="13" borderId="19" xfId="0" applyNumberFormat="1" applyFont="1" applyFill="1" applyBorder="1"/>
    <xf numFmtId="164" fontId="34" fillId="13" borderId="0" xfId="0" applyNumberFormat="1" applyFont="1" applyFill="1"/>
    <xf numFmtId="164" fontId="34" fillId="14" borderId="1" xfId="0" applyNumberFormat="1" applyFont="1" applyFill="1" applyBorder="1"/>
    <xf numFmtId="164" fontId="34" fillId="7" borderId="4" xfId="0" applyNumberFormat="1" applyFont="1" applyFill="1" applyBorder="1"/>
    <xf numFmtId="164" fontId="34" fillId="7" borderId="1" xfId="0" applyNumberFormat="1" applyFont="1" applyFill="1" applyBorder="1"/>
    <xf numFmtId="164" fontId="34" fillId="15" borderId="4" xfId="0" applyNumberFormat="1" applyFont="1" applyFill="1" applyBorder="1"/>
    <xf numFmtId="164" fontId="34" fillId="15" borderId="1" xfId="0" applyNumberFormat="1" applyFont="1" applyFill="1" applyBorder="1"/>
    <xf numFmtId="164" fontId="34" fillId="13" borderId="4" xfId="0" applyNumberFormat="1" applyFont="1" applyFill="1" applyBorder="1"/>
    <xf numFmtId="164" fontId="34" fillId="13" borderId="1" xfId="0" applyNumberFormat="1" applyFont="1" applyFill="1" applyBorder="1"/>
    <xf numFmtId="166" fontId="35" fillId="14" borderId="0" xfId="0" applyNumberFormat="1" applyFont="1" applyFill="1"/>
    <xf numFmtId="166" fontId="35" fillId="7" borderId="19" xfId="0" applyNumberFormat="1" applyFont="1" applyFill="1" applyBorder="1"/>
    <xf numFmtId="166" fontId="35" fillId="7" borderId="0" xfId="0" applyNumberFormat="1" applyFont="1" applyFill="1"/>
    <xf numFmtId="166" fontId="35" fillId="7" borderId="18" xfId="0" applyNumberFormat="1" applyFont="1" applyFill="1" applyBorder="1"/>
    <xf numFmtId="166" fontId="35" fillId="15" borderId="19" xfId="0" applyNumberFormat="1" applyFont="1" applyFill="1" applyBorder="1"/>
    <xf numFmtId="166" fontId="35" fillId="15" borderId="0" xfId="0" applyNumberFormat="1" applyFont="1" applyFill="1"/>
    <xf numFmtId="166" fontId="35" fillId="15" borderId="18" xfId="0" applyNumberFormat="1" applyFont="1" applyFill="1" applyBorder="1"/>
    <xf numFmtId="166" fontId="35" fillId="13" borderId="19" xfId="0" applyNumberFormat="1" applyFont="1" applyFill="1" applyBorder="1"/>
    <xf numFmtId="166" fontId="35" fillId="13" borderId="0" xfId="0" applyNumberFormat="1" applyFont="1" applyFill="1"/>
    <xf numFmtId="166" fontId="35" fillId="13" borderId="18" xfId="0" applyNumberFormat="1" applyFont="1" applyFill="1" applyBorder="1"/>
    <xf numFmtId="166" fontId="34" fillId="14" borderId="0" xfId="0" applyNumberFormat="1" applyFont="1" applyFill="1"/>
    <xf numFmtId="166" fontId="34" fillId="14" borderId="1" xfId="0" applyNumberFormat="1" applyFont="1" applyFill="1" applyBorder="1"/>
    <xf numFmtId="167" fontId="34" fillId="7" borderId="16" xfId="3" applyNumberFormat="1" applyFont="1" applyFill="1" applyBorder="1" applyAlignment="1">
      <alignment horizontal="center"/>
    </xf>
    <xf numFmtId="167" fontId="34" fillId="15" borderId="16" xfId="3" applyNumberFormat="1" applyFont="1" applyFill="1" applyBorder="1" applyAlignment="1">
      <alignment horizontal="center"/>
    </xf>
    <xf numFmtId="167" fontId="34" fillId="13" borderId="16" xfId="3" applyNumberFormat="1" applyFont="1" applyFill="1" applyBorder="1" applyAlignment="1">
      <alignment horizontal="center"/>
    </xf>
    <xf numFmtId="166" fontId="34" fillId="7" borderId="19" xfId="0" applyNumberFormat="1" applyFont="1" applyFill="1" applyBorder="1"/>
    <xf numFmtId="166" fontId="34" fillId="7" borderId="0" xfId="0" applyNumberFormat="1" applyFont="1" applyFill="1"/>
    <xf numFmtId="166" fontId="34" fillId="15" borderId="19" xfId="0" applyNumberFormat="1" applyFont="1" applyFill="1" applyBorder="1"/>
    <xf numFmtId="166" fontId="34" fillId="15" borderId="0" xfId="0" applyNumberFormat="1" applyFont="1" applyFill="1"/>
    <xf numFmtId="166" fontId="34" fillId="13" borderId="19" xfId="0" applyNumberFormat="1" applyFont="1" applyFill="1" applyBorder="1"/>
    <xf numFmtId="166" fontId="34" fillId="13" borderId="0" xfId="0" applyNumberFormat="1" applyFont="1" applyFill="1"/>
    <xf numFmtId="0" fontId="34" fillId="14" borderId="0" xfId="0" applyFont="1" applyFill="1"/>
    <xf numFmtId="166" fontId="34" fillId="7" borderId="4" xfId="0" applyNumberFormat="1" applyFont="1" applyFill="1" applyBorder="1"/>
    <xf numFmtId="166" fontId="34" fillId="7" borderId="1" xfId="0" applyNumberFormat="1" applyFont="1" applyFill="1" applyBorder="1"/>
    <xf numFmtId="166" fontId="34" fillId="15" borderId="4" xfId="0" applyNumberFormat="1" applyFont="1" applyFill="1" applyBorder="1"/>
    <xf numFmtId="166" fontId="34" fillId="15" borderId="1" xfId="0" applyNumberFormat="1" applyFont="1" applyFill="1" applyBorder="1"/>
    <xf numFmtId="166" fontId="34" fillId="13" borderId="4" xfId="0" applyNumberFormat="1" applyFont="1" applyFill="1" applyBorder="1"/>
    <xf numFmtId="166" fontId="34" fillId="13" borderId="1" xfId="0" applyNumberFormat="1" applyFont="1" applyFill="1" applyBorder="1"/>
    <xf numFmtId="167" fontId="35" fillId="7" borderId="12" xfId="3" applyNumberFormat="1" applyFont="1" applyFill="1" applyBorder="1" applyAlignment="1">
      <alignment horizontal="center"/>
    </xf>
    <xf numFmtId="167" fontId="35" fillId="15" borderId="12" xfId="3" applyNumberFormat="1" applyFont="1" applyFill="1" applyBorder="1" applyAlignment="1">
      <alignment horizontal="center"/>
    </xf>
    <xf numFmtId="167" fontId="35" fillId="13" borderId="12" xfId="3" applyNumberFormat="1" applyFont="1" applyFill="1" applyBorder="1" applyAlignment="1">
      <alignment horizontal="center"/>
    </xf>
    <xf numFmtId="0" fontId="35" fillId="13" borderId="18" xfId="0" applyFont="1" applyFill="1" applyBorder="1"/>
    <xf numFmtId="164" fontId="35" fillId="14" borderId="18" xfId="0" applyNumberFormat="1" applyFont="1" applyFill="1" applyBorder="1"/>
    <xf numFmtId="164" fontId="35" fillId="7" borderId="17" xfId="0" applyNumberFormat="1" applyFont="1" applyFill="1" applyBorder="1"/>
    <xf numFmtId="164" fontId="35" fillId="15" borderId="17" xfId="0" applyNumberFormat="1" applyFont="1" applyFill="1" applyBorder="1"/>
    <xf numFmtId="164" fontId="35" fillId="13" borderId="17" xfId="0" applyNumberFormat="1" applyFont="1" applyFill="1" applyBorder="1"/>
    <xf numFmtId="0" fontId="34" fillId="7" borderId="12" xfId="0" applyFont="1" applyFill="1" applyBorder="1" applyAlignment="1">
      <alignment horizontal="center"/>
    </xf>
    <xf numFmtId="0" fontId="34" fillId="15" borderId="12" xfId="0" applyFont="1" applyFill="1" applyBorder="1" applyAlignment="1">
      <alignment horizontal="center"/>
    </xf>
    <xf numFmtId="0" fontId="34" fillId="13" borderId="12" xfId="0" applyFont="1" applyFill="1" applyBorder="1" applyAlignment="1">
      <alignment horizontal="center"/>
    </xf>
    <xf numFmtId="0" fontId="34" fillId="7" borderId="16" xfId="0" applyFont="1" applyFill="1" applyBorder="1" applyAlignment="1">
      <alignment horizontal="center"/>
    </xf>
    <xf numFmtId="0" fontId="34" fillId="15" borderId="16" xfId="0" applyFont="1" applyFill="1" applyBorder="1" applyAlignment="1">
      <alignment horizontal="center"/>
    </xf>
    <xf numFmtId="0" fontId="34" fillId="13" borderId="16" xfId="0" applyFont="1" applyFill="1" applyBorder="1" applyAlignment="1">
      <alignment horizontal="center"/>
    </xf>
    <xf numFmtId="166" fontId="34" fillId="7" borderId="12" xfId="3" applyNumberFormat="1" applyFont="1" applyFill="1" applyBorder="1" applyAlignment="1">
      <alignment horizontal="center"/>
    </xf>
    <xf numFmtId="166" fontId="34" fillId="15" borderId="12" xfId="3" applyNumberFormat="1" applyFont="1" applyFill="1" applyBorder="1" applyAlignment="1">
      <alignment horizontal="center"/>
    </xf>
    <xf numFmtId="166" fontId="34" fillId="13" borderId="12" xfId="3" applyNumberFormat="1" applyFont="1" applyFill="1" applyBorder="1" applyAlignment="1">
      <alignment horizontal="center"/>
    </xf>
    <xf numFmtId="0" fontId="34" fillId="13" borderId="23" xfId="0" applyFont="1" applyFill="1" applyBorder="1"/>
    <xf numFmtId="0" fontId="34" fillId="14" borderId="23" xfId="0" applyFont="1" applyFill="1" applyBorder="1"/>
    <xf numFmtId="164" fontId="34" fillId="7" borderId="25" xfId="0" applyNumberFormat="1" applyFont="1" applyFill="1" applyBorder="1"/>
    <xf numFmtId="164" fontId="34" fillId="7" borderId="23" xfId="0" applyNumberFormat="1" applyFont="1" applyFill="1" applyBorder="1"/>
    <xf numFmtId="164" fontId="34" fillId="15" borderId="25" xfId="0" applyNumberFormat="1" applyFont="1" applyFill="1" applyBorder="1"/>
    <xf numFmtId="164" fontId="34" fillId="15" borderId="23" xfId="0" applyNumberFormat="1" applyFont="1" applyFill="1" applyBorder="1"/>
    <xf numFmtId="164" fontId="34" fillId="13" borderId="25" xfId="0" applyNumberFormat="1" applyFont="1" applyFill="1" applyBorder="1"/>
    <xf numFmtId="164" fontId="34" fillId="13" borderId="23" xfId="0" applyNumberFormat="1" applyFont="1" applyFill="1" applyBorder="1"/>
    <xf numFmtId="164" fontId="34" fillId="14" borderId="16" xfId="0" applyNumberFormat="1" applyFont="1" applyFill="1" applyBorder="1"/>
    <xf numFmtId="166" fontId="34" fillId="14" borderId="24" xfId="0" applyNumberFormat="1" applyFont="1" applyFill="1" applyBorder="1"/>
    <xf numFmtId="164" fontId="35" fillId="14" borderId="12" xfId="0" applyNumberFormat="1" applyFont="1" applyFill="1" applyBorder="1"/>
    <xf numFmtId="167" fontId="35" fillId="7" borderId="18" xfId="3" applyNumberFormat="1" applyFont="1" applyFill="1" applyBorder="1" applyAlignment="1">
      <alignment horizontal="center"/>
    </xf>
    <xf numFmtId="164" fontId="34" fillId="14" borderId="12" xfId="0" applyNumberFormat="1" applyFont="1" applyFill="1" applyBorder="1"/>
    <xf numFmtId="167" fontId="34" fillId="7" borderId="0" xfId="3" applyNumberFormat="1" applyFont="1" applyFill="1" applyAlignment="1">
      <alignment horizontal="center"/>
    </xf>
    <xf numFmtId="167" fontId="34" fillId="7" borderId="1" xfId="3" applyNumberFormat="1" applyFont="1" applyFill="1" applyBorder="1" applyAlignment="1">
      <alignment horizontal="center"/>
    </xf>
    <xf numFmtId="0" fontId="34" fillId="13" borderId="18" xfId="0" applyFont="1" applyFill="1" applyBorder="1"/>
    <xf numFmtId="164" fontId="34" fillId="14" borderId="8" xfId="0" applyNumberFormat="1" applyFont="1" applyFill="1" applyBorder="1"/>
    <xf numFmtId="164" fontId="34" fillId="7" borderId="18" xfId="0" applyNumberFormat="1" applyFont="1" applyFill="1" applyBorder="1"/>
    <xf numFmtId="167" fontId="34" fillId="7" borderId="18" xfId="3" applyNumberFormat="1" applyFont="1" applyFill="1" applyBorder="1" applyAlignment="1">
      <alignment horizontal="center"/>
    </xf>
    <xf numFmtId="167" fontId="34" fillId="7" borderId="8" xfId="3" applyNumberFormat="1" applyFont="1" applyFill="1" applyBorder="1" applyAlignment="1">
      <alignment horizontal="center"/>
    </xf>
    <xf numFmtId="0" fontId="35" fillId="0" borderId="0" xfId="0" applyFont="1"/>
    <xf numFmtId="167" fontId="34" fillId="7" borderId="0" xfId="3" applyNumberFormat="1" applyFont="1" applyFill="1" applyBorder="1" applyAlignment="1">
      <alignment horizontal="center"/>
    </xf>
    <xf numFmtId="3" fontId="35" fillId="14" borderId="8" xfId="0" applyNumberFormat="1" applyFont="1" applyFill="1" applyBorder="1"/>
    <xf numFmtId="3" fontId="35" fillId="7" borderId="18" xfId="0" applyNumberFormat="1" applyFont="1" applyFill="1" applyBorder="1"/>
    <xf numFmtId="3" fontId="35" fillId="15" borderId="18" xfId="0" applyNumberFormat="1" applyFont="1" applyFill="1" applyBorder="1"/>
    <xf numFmtId="3" fontId="35" fillId="13" borderId="18" xfId="0" applyNumberFormat="1" applyFont="1" applyFill="1" applyBorder="1"/>
    <xf numFmtId="0" fontId="34" fillId="13" borderId="0" xfId="0" quotePrefix="1" applyFont="1" applyFill="1"/>
    <xf numFmtId="3" fontId="34" fillId="14" borderId="12" xfId="0" applyNumberFormat="1" applyFont="1" applyFill="1" applyBorder="1"/>
    <xf numFmtId="3" fontId="34" fillId="7" borderId="0" xfId="0" applyNumberFormat="1" applyFont="1" applyFill="1"/>
    <xf numFmtId="3" fontId="34" fillId="15" borderId="0" xfId="0" applyNumberFormat="1" applyFont="1" applyFill="1"/>
    <xf numFmtId="3" fontId="34" fillId="13" borderId="0" xfId="0" applyNumberFormat="1" applyFont="1" applyFill="1"/>
    <xf numFmtId="3" fontId="35" fillId="14" borderId="12" xfId="0" applyNumberFormat="1" applyFont="1" applyFill="1" applyBorder="1"/>
    <xf numFmtId="3" fontId="35" fillId="7" borderId="0" xfId="0" applyNumberFormat="1" applyFont="1" applyFill="1"/>
    <xf numFmtId="3" fontId="35" fillId="15" borderId="0" xfId="0" applyNumberFormat="1" applyFont="1" applyFill="1"/>
    <xf numFmtId="3" fontId="35" fillId="13" borderId="0" xfId="0" applyNumberFormat="1" applyFont="1" applyFill="1"/>
    <xf numFmtId="166" fontId="35" fillId="14" borderId="12" xfId="0" applyNumberFormat="1" applyFont="1" applyFill="1" applyBorder="1"/>
    <xf numFmtId="3" fontId="34" fillId="15" borderId="19" xfId="0" applyNumberFormat="1" applyFont="1" applyFill="1" applyBorder="1"/>
    <xf numFmtId="3" fontId="34" fillId="13" borderId="19" xfId="0" applyNumberFormat="1" applyFont="1" applyFill="1" applyBorder="1"/>
    <xf numFmtId="9" fontId="35" fillId="14" borderId="16" xfId="3" applyFont="1" applyFill="1" applyBorder="1"/>
    <xf numFmtId="9" fontId="35" fillId="7" borderId="1" xfId="3" applyFont="1" applyFill="1" applyBorder="1"/>
    <xf numFmtId="9" fontId="35" fillId="15" borderId="1" xfId="3" applyFont="1" applyFill="1" applyBorder="1"/>
    <xf numFmtId="9" fontId="35" fillId="15" borderId="4" xfId="3" applyFont="1" applyFill="1" applyBorder="1"/>
    <xf numFmtId="9" fontId="35" fillId="13" borderId="4" xfId="3" applyFont="1" applyFill="1" applyBorder="1"/>
    <xf numFmtId="9" fontId="35" fillId="13" borderId="1" xfId="3" applyFont="1" applyFill="1" applyBorder="1"/>
    <xf numFmtId="166" fontId="35" fillId="14" borderId="8" xfId="0" applyNumberFormat="1" applyFont="1" applyFill="1" applyBorder="1"/>
    <xf numFmtId="166" fontId="35" fillId="7" borderId="17" xfId="0" applyNumberFormat="1" applyFont="1" applyFill="1" applyBorder="1"/>
    <xf numFmtId="166" fontId="35" fillId="15" borderId="17" xfId="0" applyNumberFormat="1" applyFont="1" applyFill="1" applyBorder="1"/>
    <xf numFmtId="0" fontId="34" fillId="13" borderId="0" xfId="0" applyFont="1" applyFill="1" applyAlignment="1">
      <alignment horizontal="left" indent="2"/>
    </xf>
    <xf numFmtId="166" fontId="34" fillId="14" borderId="12" xfId="0" applyNumberFormat="1" applyFont="1" applyFill="1" applyBorder="1"/>
    <xf numFmtId="0" fontId="34" fillId="13" borderId="1" xfId="0" applyFont="1" applyFill="1" applyBorder="1" applyAlignment="1">
      <alignment horizontal="left" indent="2"/>
    </xf>
    <xf numFmtId="166" fontId="34" fillId="14" borderId="16" xfId="0" applyNumberFormat="1" applyFont="1" applyFill="1" applyBorder="1"/>
    <xf numFmtId="0" fontId="0" fillId="0" borderId="0" xfId="0" applyAlignment="1">
      <alignment wrapText="1"/>
    </xf>
    <xf numFmtId="0" fontId="1" fillId="8" borderId="0" xfId="0" applyFont="1" applyFill="1"/>
    <xf numFmtId="2" fontId="0" fillId="8" borderId="0" xfId="0" applyNumberFormat="1" applyFill="1"/>
    <xf numFmtId="0" fontId="1" fillId="16" borderId="0" xfId="0" applyFont="1" applyFill="1"/>
    <xf numFmtId="0" fontId="0" fillId="16" borderId="0" xfId="0" applyFill="1"/>
    <xf numFmtId="2" fontId="0" fillId="16" borderId="0" xfId="0" applyNumberFormat="1" applyFill="1"/>
    <xf numFmtId="1" fontId="0" fillId="16" borderId="0" xfId="0" applyNumberFormat="1" applyFill="1"/>
    <xf numFmtId="0" fontId="0" fillId="17" borderId="0" xfId="0" applyFill="1"/>
    <xf numFmtId="0" fontId="0" fillId="18" borderId="0" xfId="0" applyFill="1"/>
    <xf numFmtId="0" fontId="0" fillId="19" borderId="0" xfId="0" applyFill="1"/>
    <xf numFmtId="2" fontId="24" fillId="0" borderId="0" xfId="0" applyNumberFormat="1" applyFont="1"/>
    <xf numFmtId="0" fontId="41" fillId="7" borderId="0" xfId="0" applyFont="1" applyFill="1"/>
    <xf numFmtId="0" fontId="0" fillId="7" borderId="0" xfId="0" applyFill="1"/>
    <xf numFmtId="0" fontId="1" fillId="20" borderId="0" xfId="0" applyFont="1" applyFill="1"/>
    <xf numFmtId="0" fontId="8" fillId="0" borderId="26" xfId="0" applyFont="1" applyFill="1" applyBorder="1" applyAlignment="1">
      <alignment vertical="center" wrapText="1"/>
    </xf>
    <xf numFmtId="0" fontId="2" fillId="0" borderId="0" xfId="1" applyFill="1"/>
    <xf numFmtId="0" fontId="3" fillId="0" borderId="0" xfId="1" applyFont="1" applyFill="1"/>
    <xf numFmtId="2" fontId="3" fillId="0" borderId="0" xfId="1" applyNumberFormat="1" applyFont="1" applyFill="1" applyAlignment="1">
      <alignment horizontal="center" vertical="center"/>
    </xf>
    <xf numFmtId="0" fontId="2" fillId="0" borderId="0" xfId="1" applyFill="1" applyAlignment="1">
      <alignment horizontal="center"/>
    </xf>
    <xf numFmtId="2" fontId="3" fillId="5" borderId="0" xfId="1" applyNumberFormat="1" applyFont="1" applyFill="1" applyAlignment="1">
      <alignment horizontal="left" vertical="center"/>
    </xf>
    <xf numFmtId="0" fontId="3" fillId="21" borderId="0" xfId="1" applyFont="1" applyFill="1"/>
    <xf numFmtId="0" fontId="2" fillId="21" borderId="0" xfId="1" applyFill="1"/>
    <xf numFmtId="1" fontId="3" fillId="21" borderId="0" xfId="1" applyNumberFormat="1" applyFont="1" applyFill="1"/>
    <xf numFmtId="164" fontId="3" fillId="21" borderId="0" xfId="1" applyNumberFormat="1" applyFont="1" applyFill="1"/>
    <xf numFmtId="164" fontId="2" fillId="21" borderId="0" xfId="1" applyNumberFormat="1" applyFill="1"/>
    <xf numFmtId="0" fontId="2" fillId="21" borderId="0" xfId="1" applyFont="1" applyFill="1"/>
    <xf numFmtId="0" fontId="1" fillId="8" borderId="0" xfId="0" applyFont="1" applyFill="1" applyAlignment="1">
      <alignment wrapText="1"/>
    </xf>
    <xf numFmtId="165" fontId="0" fillId="8" borderId="0" xfId="0" applyNumberFormat="1" applyFill="1"/>
    <xf numFmtId="0" fontId="1" fillId="16" borderId="0" xfId="0" applyFont="1" applyFill="1" applyAlignment="1">
      <alignment wrapText="1"/>
    </xf>
    <xf numFmtId="0" fontId="0" fillId="22" borderId="0" xfId="0" applyFill="1"/>
    <xf numFmtId="1" fontId="0" fillId="22" borderId="0" xfId="0" applyNumberFormat="1" applyFill="1"/>
    <xf numFmtId="0" fontId="33" fillId="22" borderId="0" xfId="0" applyFont="1" applyFill="1"/>
    <xf numFmtId="1" fontId="1" fillId="22" borderId="0" xfId="0" applyNumberFormat="1" applyFont="1" applyFill="1"/>
    <xf numFmtId="0" fontId="30" fillId="23" borderId="0" xfId="0" applyFont="1" applyFill="1"/>
    <xf numFmtId="0" fontId="0" fillId="23" borderId="0" xfId="0" applyFill="1"/>
    <xf numFmtId="0" fontId="1" fillId="24" borderId="0" xfId="0" applyFont="1" applyFill="1"/>
    <xf numFmtId="0" fontId="0" fillId="24" borderId="0" xfId="0" applyFill="1"/>
    <xf numFmtId="1" fontId="0" fillId="0" borderId="18" xfId="0" applyNumberFormat="1" applyBorder="1"/>
    <xf numFmtId="0" fontId="1" fillId="23" borderId="0" xfId="0" applyFont="1" applyFill="1"/>
    <xf numFmtId="165" fontId="0" fillId="0" borderId="0" xfId="0" applyNumberFormat="1"/>
    <xf numFmtId="9" fontId="0" fillId="0" borderId="0" xfId="0" applyNumberFormat="1"/>
    <xf numFmtId="0" fontId="29" fillId="0" borderId="0" xfId="4"/>
    <xf numFmtId="0" fontId="0" fillId="4" borderId="0" xfId="0" applyFont="1" applyFill="1"/>
    <xf numFmtId="1" fontId="0" fillId="4" borderId="0" xfId="0" applyNumberFormat="1" applyFont="1" applyFill="1"/>
    <xf numFmtId="0" fontId="12" fillId="4" borderId="0" xfId="0" applyFont="1" applyFill="1"/>
    <xf numFmtId="0" fontId="0" fillId="0" borderId="0" xfId="0" quotePrefix="1"/>
    <xf numFmtId="164" fontId="1" fillId="0" borderId="0" xfId="0" applyNumberFormat="1" applyFont="1" applyFill="1"/>
    <xf numFmtId="1" fontId="1" fillId="0" borderId="0" xfId="0" applyNumberFormat="1" applyFont="1" applyFill="1"/>
    <xf numFmtId="0" fontId="27" fillId="0" borderId="0" xfId="0" applyFont="1" applyFill="1"/>
    <xf numFmtId="0" fontId="27" fillId="0" borderId="0" xfId="0" applyFont="1" applyAlignment="1"/>
    <xf numFmtId="0" fontId="0" fillId="0" borderId="0" xfId="0" applyFill="1"/>
    <xf numFmtId="0" fontId="1" fillId="5" borderId="0" xfId="0" applyFont="1" applyFill="1"/>
    <xf numFmtId="0" fontId="41" fillId="5" borderId="0" xfId="0" applyFont="1" applyFill="1"/>
    <xf numFmtId="0" fontId="1" fillId="21" borderId="0" xfId="0" applyFont="1" applyFill="1"/>
    <xf numFmtId="0" fontId="0" fillId="21" borderId="0" xfId="0" applyFill="1"/>
    <xf numFmtId="2" fontId="0" fillId="21" borderId="0" xfId="0" applyNumberFormat="1" applyFill="1"/>
    <xf numFmtId="11" fontId="27" fillId="0" borderId="0" xfId="0" applyNumberFormat="1" applyFont="1"/>
    <xf numFmtId="0" fontId="1" fillId="19" borderId="0" xfId="0" applyFont="1" applyFill="1"/>
    <xf numFmtId="0" fontId="0" fillId="5" borderId="0" xfId="0" applyFont="1" applyFill="1"/>
    <xf numFmtId="10" fontId="0" fillId="0" borderId="0" xfId="5" applyNumberFormat="1" applyFont="1"/>
    <xf numFmtId="11" fontId="0" fillId="5" borderId="0" xfId="0" applyNumberFormat="1" applyFill="1"/>
    <xf numFmtId="1" fontId="0" fillId="5" borderId="0" xfId="0" applyNumberFormat="1" applyFill="1"/>
    <xf numFmtId="0" fontId="27" fillId="24" borderId="0" xfId="0" applyFont="1" applyFill="1"/>
    <xf numFmtId="0" fontId="27" fillId="19" borderId="0" xfId="0" applyFont="1" applyFill="1"/>
    <xf numFmtId="0" fontId="27" fillId="5" borderId="0" xfId="0" applyFont="1" applyFill="1"/>
    <xf numFmtId="1" fontId="27" fillId="5" borderId="0" xfId="0" applyNumberFormat="1" applyFont="1" applyFill="1"/>
    <xf numFmtId="0" fontId="27" fillId="5" borderId="0" xfId="1" applyFont="1" applyFill="1"/>
    <xf numFmtId="0" fontId="0" fillId="23" borderId="0" xfId="0" applyFont="1" applyFill="1"/>
    <xf numFmtId="164" fontId="0" fillId="0" borderId="0" xfId="0" applyNumberFormat="1" applyFont="1"/>
    <xf numFmtId="164" fontId="12" fillId="0" borderId="0" xfId="0" applyNumberFormat="1" applyFont="1"/>
    <xf numFmtId="0" fontId="42" fillId="0" borderId="0" xfId="0" applyFont="1"/>
    <xf numFmtId="0" fontId="43" fillId="0" borderId="0" xfId="0" applyFont="1" applyAlignment="1">
      <alignment horizontal="right"/>
    </xf>
    <xf numFmtId="0" fontId="44" fillId="0" borderId="0" xfId="0" applyFont="1"/>
    <xf numFmtId="0" fontId="45" fillId="0" borderId="0" xfId="0" applyFont="1"/>
    <xf numFmtId="3" fontId="0" fillId="0" borderId="0" xfId="0" applyNumberFormat="1"/>
    <xf numFmtId="3" fontId="46" fillId="0" borderId="0" xfId="0" applyNumberFormat="1" applyFont="1"/>
    <xf numFmtId="0" fontId="43" fillId="0" borderId="0" xfId="0" applyFont="1" applyAlignment="1">
      <alignment horizontal="center"/>
    </xf>
    <xf numFmtId="3" fontId="43" fillId="0" borderId="0" xfId="0" applyNumberFormat="1" applyFont="1" applyAlignment="1">
      <alignment horizontal="center"/>
    </xf>
    <xf numFmtId="0" fontId="0" fillId="0" borderId="0" xfId="0"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47" fillId="0" borderId="0" xfId="0" applyFont="1" applyAlignment="1">
      <alignment horizontal="center"/>
    </xf>
    <xf numFmtId="3" fontId="23" fillId="0" borderId="0" xfId="0" applyNumberFormat="1" applyFont="1" applyAlignment="1">
      <alignment horizontal="center"/>
    </xf>
    <xf numFmtId="3" fontId="47" fillId="0" borderId="0" xfId="0" applyNumberFormat="1" applyFont="1" applyAlignment="1">
      <alignment horizontal="center"/>
    </xf>
    <xf numFmtId="164" fontId="47" fillId="0" borderId="0" xfId="0" applyNumberFormat="1" applyFont="1" applyAlignment="1">
      <alignment horizontal="center"/>
    </xf>
    <xf numFmtId="166" fontId="0" fillId="0" borderId="0" xfId="0" applyNumberFormat="1" applyAlignment="1">
      <alignment horizontal="center"/>
    </xf>
    <xf numFmtId="3" fontId="34" fillId="0" borderId="0" xfId="0" applyNumberFormat="1" applyFont="1"/>
    <xf numFmtId="9" fontId="34" fillId="0" borderId="0" xfId="5" applyFont="1"/>
    <xf numFmtId="0" fontId="22" fillId="0" borderId="0" xfId="6"/>
    <xf numFmtId="0" fontId="47" fillId="0" borderId="0" xfId="6" applyFont="1" applyAlignment="1" applyProtection="1">
      <alignment horizontal="left"/>
      <protection locked="0"/>
    </xf>
    <xf numFmtId="0" fontId="24" fillId="0" borderId="0" xfId="6" applyFont="1" applyAlignment="1">
      <alignment horizontal="center"/>
    </xf>
    <xf numFmtId="0" fontId="22" fillId="0" borderId="0" xfId="6" applyAlignment="1">
      <alignment horizontal="center"/>
    </xf>
    <xf numFmtId="0" fontId="48" fillId="0" borderId="0" xfId="6" applyFont="1" applyAlignment="1">
      <alignment horizontal="center"/>
    </xf>
    <xf numFmtId="0" fontId="23" fillId="0" borderId="0" xfId="6" applyFont="1" applyAlignment="1" applyProtection="1">
      <alignment horizontal="left"/>
      <protection locked="0"/>
    </xf>
    <xf numFmtId="0" fontId="47" fillId="0" borderId="0" xfId="6" applyFont="1" applyAlignment="1">
      <alignment horizontal="center"/>
    </xf>
    <xf numFmtId="0" fontId="23" fillId="0" borderId="0" xfId="6" applyFont="1" applyAlignment="1">
      <alignment horizontal="center"/>
    </xf>
    <xf numFmtId="168" fontId="27" fillId="0" borderId="0" xfId="0" applyNumberFormat="1" applyFont="1" applyFill="1"/>
    <xf numFmtId="0" fontId="0" fillId="0" borderId="0" xfId="0" applyFont="1" applyFill="1"/>
    <xf numFmtId="0" fontId="0" fillId="0" borderId="0" xfId="0" applyFont="1" applyAlignment="1"/>
    <xf numFmtId="167" fontId="0" fillId="8" borderId="0" xfId="5" applyNumberFormat="1" applyFont="1" applyFill="1"/>
    <xf numFmtId="0" fontId="1" fillId="25" borderId="0" xfId="0" applyFont="1" applyFill="1"/>
    <xf numFmtId="0" fontId="0" fillId="25" borderId="0" xfId="0" applyFill="1"/>
    <xf numFmtId="11" fontId="0" fillId="25" borderId="0" xfId="0" applyNumberFormat="1" applyFill="1"/>
    <xf numFmtId="1" fontId="0" fillId="0" borderId="0" xfId="0" applyNumberFormat="1" applyFill="1"/>
    <xf numFmtId="168" fontId="0" fillId="0" borderId="0" xfId="0" applyNumberFormat="1"/>
    <xf numFmtId="2" fontId="0" fillId="18" borderId="0" xfId="0" applyNumberFormat="1" applyFill="1"/>
    <xf numFmtId="11" fontId="0" fillId="18" borderId="0" xfId="0" applyNumberFormat="1" applyFill="1"/>
    <xf numFmtId="0" fontId="1" fillId="18" borderId="0" xfId="0" applyFont="1" applyFill="1"/>
    <xf numFmtId="0" fontId="0" fillId="8" borderId="0" xfId="0" applyFont="1" applyFill="1"/>
    <xf numFmtId="2" fontId="0" fillId="8" borderId="0" xfId="0" applyNumberFormat="1" applyFont="1" applyFill="1"/>
    <xf numFmtId="11" fontId="0" fillId="0" borderId="0" xfId="0" applyNumberFormat="1" applyFill="1"/>
    <xf numFmtId="168" fontId="0" fillId="8" borderId="0" xfId="0" applyNumberFormat="1" applyFont="1" applyFill="1"/>
    <xf numFmtId="1" fontId="0" fillId="19" borderId="0" xfId="0" applyNumberFormat="1" applyFill="1"/>
    <xf numFmtId="164" fontId="1" fillId="0" borderId="0" xfId="0" applyNumberFormat="1" applyFont="1"/>
    <xf numFmtId="0" fontId="2" fillId="3" borderId="0" xfId="1" applyFill="1"/>
    <xf numFmtId="2" fontId="23" fillId="5" borderId="4" xfId="0" applyNumberFormat="1" applyFont="1" applyFill="1" applyBorder="1" applyAlignment="1">
      <alignment horizontal="center" vertical="top"/>
    </xf>
    <xf numFmtId="1" fontId="3" fillId="0" borderId="0" xfId="1" applyNumberFormat="1" applyFont="1"/>
    <xf numFmtId="0" fontId="0" fillId="2" borderId="0" xfId="0" applyFill="1"/>
    <xf numFmtId="0" fontId="49" fillId="4" borderId="0" xfId="0" applyFont="1" applyFill="1"/>
    <xf numFmtId="1" fontId="49" fillId="4" borderId="0" xfId="0" applyNumberFormat="1" applyFont="1" applyFill="1"/>
    <xf numFmtId="0" fontId="1" fillId="22" borderId="0" xfId="0" applyFont="1" applyFill="1"/>
    <xf numFmtId="2" fontId="1" fillId="0" borderId="0" xfId="0" applyNumberFormat="1" applyFont="1"/>
    <xf numFmtId="1" fontId="0" fillId="22" borderId="0" xfId="0" applyNumberFormat="1" applyFont="1" applyFill="1"/>
    <xf numFmtId="0" fontId="1" fillId="17" borderId="0" xfId="0" applyFont="1" applyFill="1"/>
    <xf numFmtId="0" fontId="0" fillId="0" borderId="3" xfId="0" applyFill="1" applyBorder="1"/>
    <xf numFmtId="0" fontId="1" fillId="0" borderId="3" xfId="0" applyFont="1" applyFill="1" applyBorder="1"/>
    <xf numFmtId="11" fontId="27" fillId="5" borderId="0" xfId="0" applyNumberFormat="1" applyFont="1" applyFill="1"/>
    <xf numFmtId="0" fontId="3" fillId="5" borderId="0" xfId="1" applyFont="1" applyFill="1"/>
    <xf numFmtId="0" fontId="0" fillId="5" borderId="0" xfId="0" applyFill="1" applyAlignment="1"/>
    <xf numFmtId="0" fontId="29" fillId="5" borderId="0" xfId="4" applyFill="1"/>
    <xf numFmtId="0" fontId="0" fillId="0" borderId="21" xfId="0" applyFill="1" applyBorder="1"/>
    <xf numFmtId="0" fontId="12" fillId="5" borderId="0" xfId="0" applyFont="1" applyFill="1"/>
    <xf numFmtId="0" fontId="2" fillId="8" borderId="0" xfId="1" applyFill="1"/>
    <xf numFmtId="0" fontId="3" fillId="8" borderId="0" xfId="1" applyFont="1" applyFill="1"/>
    <xf numFmtId="0" fontId="2" fillId="4" borderId="12" xfId="1" applyFill="1" applyBorder="1"/>
    <xf numFmtId="0" fontId="2" fillId="4" borderId="0" xfId="1" applyFill="1" applyBorder="1" applyAlignment="1">
      <alignment horizontal="center"/>
    </xf>
    <xf numFmtId="0" fontId="2" fillId="4" borderId="12" xfId="1" applyFill="1" applyBorder="1" applyAlignment="1">
      <alignment horizontal="center"/>
    </xf>
    <xf numFmtId="0" fontId="2" fillId="4" borderId="0" xfId="1" applyFill="1" applyBorder="1"/>
    <xf numFmtId="164" fontId="2" fillId="4" borderId="0" xfId="1" applyNumberFormat="1" applyFill="1" applyBorder="1"/>
    <xf numFmtId="0" fontId="3" fillId="21" borderId="0" xfId="1" applyFont="1" applyFill="1" applyBorder="1"/>
    <xf numFmtId="0" fontId="2" fillId="21" borderId="12" xfId="1" applyFill="1" applyBorder="1"/>
    <xf numFmtId="0" fontId="2" fillId="4" borderId="4" xfId="1" applyFill="1" applyBorder="1" applyAlignment="1">
      <alignment horizontal="center"/>
    </xf>
    <xf numFmtId="0" fontId="2" fillId="4" borderId="1" xfId="1" applyFill="1" applyBorder="1" applyAlignment="1">
      <alignment horizontal="center"/>
    </xf>
    <xf numFmtId="0" fontId="2" fillId="4" borderId="18" xfId="1" applyFill="1" applyBorder="1"/>
    <xf numFmtId="0" fontId="2" fillId="4" borderId="8" xfId="1" applyFill="1" applyBorder="1"/>
    <xf numFmtId="164" fontId="2" fillId="4" borderId="18" xfId="1" applyNumberFormat="1" applyFill="1" applyBorder="1"/>
    <xf numFmtId="0" fontId="25" fillId="4" borderId="0" xfId="1" applyFont="1" applyFill="1" applyBorder="1"/>
    <xf numFmtId="0" fontId="2" fillId="0" borderId="0" xfId="1" applyFill="1" applyBorder="1"/>
    <xf numFmtId="0" fontId="2" fillId="0" borderId="12" xfId="1" applyFill="1" applyBorder="1"/>
    <xf numFmtId="0" fontId="2" fillId="0" borderId="19" xfId="1" applyFill="1" applyBorder="1"/>
    <xf numFmtId="164" fontId="2" fillId="0" borderId="0" xfId="1" applyNumberFormat="1" applyFill="1"/>
    <xf numFmtId="164" fontId="2" fillId="0" borderId="19" xfId="1" applyNumberFormat="1" applyFill="1" applyBorder="1"/>
    <xf numFmtId="164" fontId="2" fillId="0" borderId="0" xfId="1" applyNumberFormat="1" applyFill="1" applyBorder="1"/>
    <xf numFmtId="1" fontId="3" fillId="0" borderId="0" xfId="1" applyNumberFormat="1" applyFont="1" applyFill="1"/>
    <xf numFmtId="0" fontId="2" fillId="0" borderId="0" xfId="1" applyFont="1" applyFill="1"/>
    <xf numFmtId="0" fontId="3" fillId="23" borderId="0" xfId="1" applyFont="1" applyFill="1"/>
    <xf numFmtId="0" fontId="3" fillId="5" borderId="0" xfId="1" applyFont="1" applyFill="1" applyAlignment="1">
      <alignment horizontal="center" vertical="center"/>
    </xf>
    <xf numFmtId="9" fontId="0" fillId="8" borderId="0" xfId="0" applyNumberFormat="1" applyFill="1"/>
    <xf numFmtId="9" fontId="2" fillId="8" borderId="0" xfId="1" applyNumberFormat="1" applyFill="1"/>
    <xf numFmtId="1" fontId="2" fillId="8" borderId="0" xfId="1" applyNumberFormat="1" applyFill="1"/>
    <xf numFmtId="164" fontId="0" fillId="0" borderId="0" xfId="0" applyNumberFormat="1"/>
    <xf numFmtId="0" fontId="24" fillId="0" borderId="0" xfId="0" applyFont="1"/>
    <xf numFmtId="0" fontId="0" fillId="16" borderId="0" xfId="0" applyFont="1" applyFill="1"/>
    <xf numFmtId="1" fontId="0" fillId="16" borderId="0" xfId="0" applyNumberFormat="1" applyFont="1" applyFill="1"/>
    <xf numFmtId="1" fontId="1" fillId="16" borderId="0" xfId="0" applyNumberFormat="1" applyFont="1" applyFill="1"/>
    <xf numFmtId="165" fontId="0" fillId="4" borderId="0" xfId="0" applyNumberFormat="1" applyFill="1"/>
    <xf numFmtId="1" fontId="0" fillId="25" borderId="0" xfId="0" applyNumberFormat="1" applyFill="1"/>
    <xf numFmtId="0" fontId="2" fillId="4" borderId="0" xfId="1" applyFill="1" applyBorder="1" applyAlignment="1">
      <alignment horizontal="center"/>
    </xf>
    <xf numFmtId="0" fontId="3" fillId="4" borderId="0" xfId="1" applyFont="1" applyFill="1" applyBorder="1" applyAlignment="1">
      <alignment horizontal="center"/>
    </xf>
    <xf numFmtId="2" fontId="1" fillId="0" borderId="0" xfId="0" applyNumberFormat="1" applyFont="1" applyFill="1"/>
    <xf numFmtId="0" fontId="3" fillId="18" borderId="0" xfId="1" applyFont="1" applyFill="1"/>
    <xf numFmtId="0" fontId="2" fillId="18" borderId="0" xfId="1" applyFill="1"/>
    <xf numFmtId="0" fontId="3" fillId="25" borderId="0" xfId="1" applyFont="1" applyFill="1"/>
    <xf numFmtId="0" fontId="2" fillId="25" borderId="0" xfId="1" applyFill="1"/>
    <xf numFmtId="1" fontId="2" fillId="4" borderId="19" xfId="1" applyNumberFormat="1" applyFill="1" applyBorder="1"/>
    <xf numFmtId="1" fontId="2" fillId="4" borderId="18" xfId="1" applyNumberFormat="1" applyFill="1" applyBorder="1"/>
    <xf numFmtId="9" fontId="0" fillId="0" borderId="0" xfId="5" applyFont="1"/>
    <xf numFmtId="0" fontId="33" fillId="16" borderId="0" xfId="0" applyFont="1" applyFill="1"/>
    <xf numFmtId="0" fontId="50" fillId="16" borderId="0" xfId="0" applyFont="1" applyFill="1"/>
    <xf numFmtId="0" fontId="3" fillId="4" borderId="0" xfId="1" applyFont="1" applyFill="1" applyBorder="1"/>
    <xf numFmtId="1" fontId="2" fillId="4" borderId="0" xfId="1" applyNumberFormat="1" applyFill="1" applyBorder="1"/>
    <xf numFmtId="1" fontId="3" fillId="4" borderId="18" xfId="1" applyNumberFormat="1" applyFont="1" applyFill="1" applyBorder="1"/>
    <xf numFmtId="164" fontId="3" fillId="4" borderId="17" xfId="1" applyNumberFormat="1" applyFont="1" applyFill="1" applyBorder="1"/>
    <xf numFmtId="0" fontId="2" fillId="4" borderId="0" xfId="1" applyFont="1" applyFill="1" applyBorder="1" applyAlignment="1">
      <alignment horizontal="center"/>
    </xf>
    <xf numFmtId="1" fontId="3" fillId="4" borderId="17" xfId="1" applyNumberFormat="1" applyFont="1" applyFill="1" applyBorder="1"/>
    <xf numFmtId="1" fontId="2" fillId="21" borderId="0" xfId="1" applyNumberFormat="1" applyFill="1"/>
    <xf numFmtId="0" fontId="1" fillId="0" borderId="0" xfId="0" applyFont="1" applyAlignment="1">
      <alignment wrapText="1"/>
    </xf>
    <xf numFmtId="0" fontId="0" fillId="0" borderId="0" xfId="0" applyBorder="1"/>
    <xf numFmtId="1" fontId="0" fillId="0" borderId="0" xfId="0" applyNumberFormat="1" applyBorder="1"/>
    <xf numFmtId="1" fontId="0" fillId="0" borderId="1" xfId="0" applyNumberFormat="1" applyBorder="1"/>
    <xf numFmtId="165" fontId="0" fillId="0" borderId="1" xfId="0" applyNumberFormat="1" applyBorder="1"/>
    <xf numFmtId="1" fontId="12" fillId="4" borderId="0" xfId="0" applyNumberFormat="1" applyFont="1" applyFill="1"/>
    <xf numFmtId="169" fontId="27" fillId="5" borderId="0" xfId="0" applyNumberFormat="1" applyFont="1" applyFill="1"/>
    <xf numFmtId="0" fontId="51" fillId="0" borderId="0" xfId="0" applyFont="1"/>
    <xf numFmtId="0" fontId="3" fillId="0" borderId="0" xfId="0" applyFont="1"/>
    <xf numFmtId="164" fontId="3" fillId="0" borderId="0" xfId="0" applyNumberFormat="1" applyFont="1"/>
    <xf numFmtId="0" fontId="52" fillId="0" borderId="0" xfId="0" applyFont="1"/>
    <xf numFmtId="0" fontId="53" fillId="0" borderId="0" xfId="0" applyFont="1" applyAlignment="1">
      <alignment wrapText="1"/>
    </xf>
    <xf numFmtId="0" fontId="41" fillId="26" borderId="0" xfId="7" applyFont="1" applyFill="1"/>
    <xf numFmtId="0" fontId="53" fillId="26" borderId="0" xfId="7" applyFill="1"/>
    <xf numFmtId="0" fontId="54" fillId="26" borderId="0" xfId="7" applyFont="1" applyFill="1"/>
    <xf numFmtId="0" fontId="53" fillId="0" borderId="0" xfId="7"/>
    <xf numFmtId="0" fontId="41" fillId="27" borderId="0" xfId="7" applyFont="1" applyFill="1"/>
    <xf numFmtId="0" fontId="53" fillId="27" borderId="0" xfId="7" applyFill="1"/>
    <xf numFmtId="0" fontId="0" fillId="27" borderId="0" xfId="0" applyFill="1"/>
    <xf numFmtId="0" fontId="55" fillId="27" borderId="0" xfId="7" applyFont="1" applyFill="1"/>
    <xf numFmtId="0" fontId="54" fillId="27" borderId="0" xfId="7" applyFont="1" applyFill="1"/>
    <xf numFmtId="0" fontId="41" fillId="23" borderId="0" xfId="7" applyFont="1" applyFill="1"/>
    <xf numFmtId="11" fontId="27" fillId="0" borderId="0" xfId="0" applyNumberFormat="1" applyFont="1" applyFill="1"/>
    <xf numFmtId="0" fontId="33" fillId="0" borderId="0" xfId="0" applyFont="1"/>
    <xf numFmtId="11" fontId="0" fillId="22" borderId="0" xfId="0" applyNumberFormat="1" applyFill="1"/>
    <xf numFmtId="11" fontId="0" fillId="2" borderId="0" xfId="0" applyNumberFormat="1" applyFill="1"/>
    <xf numFmtId="0" fontId="57" fillId="0" borderId="23" xfId="0" applyFont="1" applyBorder="1"/>
    <xf numFmtId="0" fontId="57" fillId="0" borderId="0" xfId="0" applyFont="1"/>
    <xf numFmtId="0" fontId="58" fillId="0" borderId="0" xfId="0" applyFont="1"/>
    <xf numFmtId="0" fontId="59" fillId="0" borderId="0" xfId="0" applyFont="1"/>
    <xf numFmtId="0" fontId="1" fillId="0" borderId="3" xfId="0" applyFont="1" applyBorder="1" applyAlignment="1">
      <alignment horizontal="center" vertical="top"/>
    </xf>
    <xf numFmtId="0" fontId="0" fillId="2" borderId="19" xfId="0" applyFill="1" applyBorder="1"/>
    <xf numFmtId="0" fontId="0" fillId="2" borderId="0" xfId="0" applyFill="1" applyBorder="1"/>
    <xf numFmtId="0" fontId="0" fillId="2" borderId="12" xfId="0" applyFill="1" applyBorder="1"/>
    <xf numFmtId="165" fontId="1" fillId="4" borderId="0" xfId="0" applyNumberFormat="1" applyFont="1" applyFill="1"/>
    <xf numFmtId="0" fontId="35" fillId="7" borderId="0" xfId="0" applyFont="1" applyFill="1" applyAlignment="1">
      <alignment horizontal="center"/>
    </xf>
    <xf numFmtId="0" fontId="35" fillId="7" borderId="12" xfId="0" applyFont="1" applyFill="1" applyBorder="1" applyAlignment="1">
      <alignment horizontal="center"/>
    </xf>
    <xf numFmtId="0" fontId="35" fillId="15" borderId="19" xfId="0" applyFont="1" applyFill="1" applyBorder="1" applyAlignment="1">
      <alignment horizontal="center"/>
    </xf>
    <xf numFmtId="0" fontId="35" fillId="15" borderId="0" xfId="0" applyFont="1" applyFill="1" applyAlignment="1">
      <alignment horizontal="center"/>
    </xf>
    <xf numFmtId="0" fontId="35" fillId="15" borderId="12" xfId="0" applyFont="1" applyFill="1" applyBorder="1" applyAlignment="1">
      <alignment horizontal="center"/>
    </xf>
    <xf numFmtId="0" fontId="35" fillId="7" borderId="19" xfId="0" applyFont="1" applyFill="1" applyBorder="1" applyAlignment="1">
      <alignment horizontal="center"/>
    </xf>
    <xf numFmtId="0" fontId="35" fillId="13" borderId="19" xfId="0" applyFont="1" applyFill="1" applyBorder="1" applyAlignment="1">
      <alignment horizontal="center"/>
    </xf>
    <xf numFmtId="0" fontId="35" fillId="13" borderId="0" xfId="0" applyFont="1" applyFill="1" applyAlignment="1">
      <alignment horizontal="center"/>
    </xf>
    <xf numFmtId="0" fontId="35" fillId="13" borderId="12" xfId="0" applyFont="1" applyFill="1" applyBorder="1" applyAlignment="1">
      <alignment horizontal="center"/>
    </xf>
    <xf numFmtId="164" fontId="34" fillId="15" borderId="17" xfId="0" applyNumberFormat="1" applyFont="1" applyFill="1" applyBorder="1" applyAlignment="1">
      <alignment horizontal="center"/>
    </xf>
    <xf numFmtId="164" fontId="34" fillId="15" borderId="18" xfId="0" applyNumberFormat="1" applyFont="1" applyFill="1" applyBorder="1" applyAlignment="1">
      <alignment horizontal="center"/>
    </xf>
    <xf numFmtId="164" fontId="34" fillId="15" borderId="8" xfId="0" applyNumberFormat="1" applyFont="1" applyFill="1" applyBorder="1" applyAlignment="1">
      <alignment horizontal="center"/>
    </xf>
    <xf numFmtId="164" fontId="34" fillId="7" borderId="17" xfId="0" applyNumberFormat="1" applyFont="1" applyFill="1" applyBorder="1" applyAlignment="1">
      <alignment horizontal="center"/>
    </xf>
    <xf numFmtId="164" fontId="34" fillId="7" borderId="18" xfId="0" applyNumberFormat="1" applyFont="1" applyFill="1" applyBorder="1" applyAlignment="1">
      <alignment horizontal="center"/>
    </xf>
    <xf numFmtId="164" fontId="34" fillId="7" borderId="8" xfId="0" applyNumberFormat="1" applyFont="1" applyFill="1" applyBorder="1" applyAlignment="1">
      <alignment horizontal="center"/>
    </xf>
    <xf numFmtId="164" fontId="34" fillId="13" borderId="17" xfId="0" applyNumberFormat="1" applyFont="1" applyFill="1" applyBorder="1" applyAlignment="1">
      <alignment horizontal="center"/>
    </xf>
    <xf numFmtId="164" fontId="34" fillId="13" borderId="18" xfId="0" applyNumberFormat="1" applyFont="1" applyFill="1" applyBorder="1" applyAlignment="1">
      <alignment horizontal="center"/>
    </xf>
    <xf numFmtId="164" fontId="34" fillId="13" borderId="8" xfId="0" applyNumberFormat="1" applyFont="1" applyFill="1" applyBorder="1" applyAlignment="1">
      <alignment horizontal="center"/>
    </xf>
    <xf numFmtId="164" fontId="34" fillId="13" borderId="19" xfId="0" applyNumberFormat="1" applyFont="1" applyFill="1" applyBorder="1" applyAlignment="1">
      <alignment horizontal="center"/>
    </xf>
    <xf numFmtId="164" fontId="34" fillId="13" borderId="0" xfId="0" applyNumberFormat="1" applyFont="1" applyFill="1" applyAlignment="1">
      <alignment horizontal="center"/>
    </xf>
    <xf numFmtId="164" fontId="34" fillId="13" borderId="12" xfId="0" applyNumberFormat="1" applyFont="1" applyFill="1" applyBorder="1" applyAlignment="1">
      <alignment horizontal="center"/>
    </xf>
    <xf numFmtId="166" fontId="34" fillId="14" borderId="12" xfId="0" applyNumberFormat="1" applyFont="1" applyFill="1" applyBorder="1" applyAlignment="1">
      <alignment horizontal="right" vertical="center"/>
    </xf>
    <xf numFmtId="164" fontId="34" fillId="15" borderId="19" xfId="0" applyNumberFormat="1" applyFont="1" applyFill="1" applyBorder="1" applyAlignment="1">
      <alignment horizontal="center"/>
    </xf>
    <xf numFmtId="164" fontId="34" fillId="15" borderId="0" xfId="0" applyNumberFormat="1" applyFont="1" applyFill="1" applyAlignment="1">
      <alignment horizontal="center"/>
    </xf>
    <xf numFmtId="164" fontId="34" fillId="15" borderId="12" xfId="0" applyNumberFormat="1" applyFont="1" applyFill="1" applyBorder="1" applyAlignment="1">
      <alignment horizontal="center"/>
    </xf>
    <xf numFmtId="164" fontId="34" fillId="7" borderId="19" xfId="0" applyNumberFormat="1" applyFont="1" applyFill="1" applyBorder="1" applyAlignment="1">
      <alignment horizontal="center"/>
    </xf>
    <xf numFmtId="164" fontId="34" fillId="7" borderId="0" xfId="0" applyNumberFormat="1" applyFont="1" applyFill="1" applyAlignment="1">
      <alignment horizontal="center"/>
    </xf>
    <xf numFmtId="164" fontId="34" fillId="7" borderId="12" xfId="0" applyNumberFormat="1" applyFont="1" applyFill="1" applyBorder="1" applyAlignment="1">
      <alignment horizontal="center"/>
    </xf>
    <xf numFmtId="0" fontId="0" fillId="0" borderId="0" xfId="0" applyBorder="1" applyAlignment="1">
      <alignment horizontal="center" textRotation="90"/>
    </xf>
    <xf numFmtId="0" fontId="0" fillId="0" borderId="0" xfId="0" applyAlignment="1">
      <alignment horizontal="center" textRotation="90"/>
    </xf>
    <xf numFmtId="0" fontId="2" fillId="4" borderId="19" xfId="1" applyFill="1" applyBorder="1" applyAlignment="1">
      <alignment horizontal="center"/>
    </xf>
    <xf numFmtId="0" fontId="2" fillId="4" borderId="0" xfId="1" applyFill="1" applyBorder="1" applyAlignment="1">
      <alignment horizontal="center"/>
    </xf>
    <xf numFmtId="0" fontId="3" fillId="4" borderId="19" xfId="1" applyFont="1" applyFill="1" applyBorder="1" applyAlignment="1">
      <alignment horizontal="center"/>
    </xf>
    <xf numFmtId="0" fontId="3" fillId="4" borderId="0" xfId="1" applyFont="1" applyFill="1" applyBorder="1" applyAlignment="1">
      <alignment horizontal="center"/>
    </xf>
    <xf numFmtId="0" fontId="2" fillId="8" borderId="0" xfId="1" applyFill="1" applyAlignment="1">
      <alignment horizontal="center" textRotation="90" wrapText="1"/>
    </xf>
    <xf numFmtId="0" fontId="2" fillId="8" borderId="0" xfId="1" applyFill="1" applyAlignment="1">
      <alignment horizontal="center" textRotation="90"/>
    </xf>
    <xf numFmtId="0" fontId="0" fillId="0" borderId="3" xfId="0" applyFont="1" applyBorder="1" applyAlignment="1">
      <alignment horizontal="left" vertical="top"/>
    </xf>
    <xf numFmtId="0" fontId="49" fillId="0" borderId="0" xfId="8" applyFont="1"/>
    <xf numFmtId="0" fontId="60" fillId="0" borderId="0" xfId="8"/>
    <xf numFmtId="0" fontId="49" fillId="2" borderId="0" xfId="8" applyFont="1" applyFill="1"/>
    <xf numFmtId="170" fontId="49" fillId="0" borderId="0" xfId="9" applyFont="1"/>
    <xf numFmtId="9" fontId="49" fillId="0" borderId="0" xfId="10" applyFont="1"/>
    <xf numFmtId="171" fontId="0" fillId="0" borderId="0" xfId="9" applyNumberFormat="1" applyFont="1"/>
    <xf numFmtId="164" fontId="60" fillId="0" borderId="0" xfId="8" applyNumberFormat="1"/>
    <xf numFmtId="170" fontId="0" fillId="0" borderId="0" xfId="9" applyFont="1"/>
    <xf numFmtId="9" fontId="0" fillId="0" borderId="0" xfId="10" applyFont="1"/>
    <xf numFmtId="0" fontId="1" fillId="0" borderId="21" xfId="0" applyFont="1" applyFill="1" applyBorder="1" applyAlignment="1">
      <alignment horizontal="center" vertical="top"/>
    </xf>
    <xf numFmtId="0" fontId="1" fillId="2" borderId="3" xfId="0" applyFont="1" applyFill="1" applyBorder="1" applyAlignment="1">
      <alignment horizontal="center" vertical="top"/>
    </xf>
    <xf numFmtId="0" fontId="0" fillId="0" borderId="3" xfId="0" applyBorder="1" applyAlignment="1">
      <alignment horizontal="left" vertical="top"/>
    </xf>
    <xf numFmtId="0" fontId="1" fillId="18" borderId="3" xfId="0" applyFont="1" applyFill="1" applyBorder="1" applyAlignment="1">
      <alignment horizontal="center" vertical="top"/>
    </xf>
  </cellXfs>
  <cellStyles count="11">
    <cellStyle name="Comma 2" xfId="9" xr:uid="{4DB1052F-33A1-42A0-8338-0D1969F630FF}"/>
    <cellStyle name="Hyperlink" xfId="4" builtinId="8"/>
    <cellStyle name="Hyperlink 2" xfId="2" xr:uid="{142B94B8-0B49-4D7C-AC07-450472351FDA}"/>
    <cellStyle name="Normal" xfId="0" builtinId="0"/>
    <cellStyle name="Normal 2" xfId="1" xr:uid="{EA95800D-7AE3-4CCC-9685-7CE779B304C8}"/>
    <cellStyle name="Normal 3" xfId="6" xr:uid="{6746429C-0AAA-4DF1-A569-49E502E0D675}"/>
    <cellStyle name="Normal 3 2" xfId="7" xr:uid="{02A7000D-EC06-4CE8-B936-6511DCB96C3B}"/>
    <cellStyle name="Normal 4" xfId="8" xr:uid="{6D2FFE54-4EFA-4CA6-B178-8DC8AD154148}"/>
    <cellStyle name="Percent" xfId="5" builtinId="5"/>
    <cellStyle name="Percent 2" xfId="3" xr:uid="{D048AC6C-9E31-4AD7-BC5E-FFA780990549}"/>
    <cellStyle name="Percent 3" xfId="10" xr:uid="{FCAE9A5B-CEAC-498C-A3C4-AEAF0CA0798B}"/>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externalLink" Target="externalLinks/externalLink19.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3" Type="http://schemas.openxmlformats.org/officeDocument/2006/relationships/connections" Target="connections.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externalLink" Target="externalLinks/externalLink17.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20" Type="http://schemas.openxmlformats.org/officeDocument/2006/relationships/worksheet" Target="worksheets/sheet20.xml"/><Relationship Id="rId41" Type="http://schemas.openxmlformats.org/officeDocument/2006/relationships/externalLink" Target="externalLinks/externalLink10.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externalLink" Target="externalLinks/externalLink18.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3.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stacked"/>
        <c:varyColors val="0"/>
        <c:ser>
          <c:idx val="0"/>
          <c:order val="0"/>
          <c:tx>
            <c:strRef>
              <c:f>LCIA_CC!$B$8:$C$8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LCIA_CC!$AA$8:$BA$8</c:f>
              <c:numCache>
                <c:formatCode>General</c:formatCode>
                <c:ptCount val="27"/>
                <c:pt idx="0">
                  <c:v>7.2373228401919427E-5</c:v>
                </c:pt>
                <c:pt idx="1">
                  <c:v>8.7712153159618319E-5</c:v>
                </c:pt>
                <c:pt idx="2">
                  <c:v>1.5308108501733956E-4</c:v>
                </c:pt>
                <c:pt idx="3">
                  <c:v>2.0452044501619379E-4</c:v>
                </c:pt>
                <c:pt idx="4">
                  <c:v>6.7861142285646869E-6</c:v>
                </c:pt>
                <c:pt idx="5">
                  <c:v>4.7400035177815779E-5</c:v>
                </c:pt>
                <c:pt idx="6">
                  <c:v>5.5508047616741866E-5</c:v>
                </c:pt>
                <c:pt idx="7">
                  <c:v>5.9329904948868188E-5</c:v>
                </c:pt>
                <c:pt idx="8">
                  <c:v>6.7861142285646869E-6</c:v>
                </c:pt>
                <c:pt idx="9">
                  <c:v>8.6711061395342278E-5</c:v>
                </c:pt>
                <c:pt idx="10">
                  <c:v>2.3749384501179797E-4</c:v>
                </c:pt>
                <c:pt idx="11">
                  <c:v>4.685904076445833E-5</c:v>
                </c:pt>
                <c:pt idx="12">
                  <c:v>1.2834272335770965E-4</c:v>
                </c:pt>
                <c:pt idx="13">
                  <c:v>9.4800070355631559E-5</c:v>
                </c:pt>
                <c:pt idx="14">
                  <c:v>2.8440021106689471E-5</c:v>
                </c:pt>
                <c:pt idx="15">
                  <c:v>9.371808152891666E-5</c:v>
                </c:pt>
                <c:pt idx="16">
                  <c:v>2.8115424458674999E-5</c:v>
                </c:pt>
                <c:pt idx="17">
                  <c:v>2.5668544671541931E-4</c:v>
                </c:pt>
                <c:pt idx="18">
                  <c:v>7.7005634014625792E-5</c:v>
                </c:pt>
                <c:pt idx="21">
                  <c:v>8.3335952018640186E-4</c:v>
                </c:pt>
                <c:pt idx="22">
                  <c:v>1.4544344764574357E-3</c:v>
                </c:pt>
                <c:pt idx="23">
                  <c:v>1.9431635615744164E-3</c:v>
                </c:pt>
                <c:pt idx="24">
                  <c:v>4.5035116742281794E-4</c:v>
                </c:pt>
                <c:pt idx="25">
                  <c:v>5.2738598087076352E-4</c:v>
                </c:pt>
                <c:pt idx="26">
                  <c:v>5.636977242015383E-4</c:v>
                </c:pt>
              </c:numCache>
            </c:numRef>
          </c:val>
          <c:extLst>
            <c:ext xmlns:c16="http://schemas.microsoft.com/office/drawing/2014/chart" uri="{C3380CC4-5D6E-409C-BE32-E72D297353CC}">
              <c16:uniqueId val="{00000000-71E9-4DDF-9D0C-502012FEA07B}"/>
            </c:ext>
          </c:extLst>
        </c:ser>
        <c:ser>
          <c:idx val="1"/>
          <c:order val="1"/>
          <c:tx>
            <c:strRef>
              <c:f>LCIA_CC!$B$9:$C$9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LCIA_CC!$AA$9:$BA$9</c:f>
              <c:numCache>
                <c:formatCode>General</c:formatCode>
                <c:ptCount val="27"/>
                <c:pt idx="0">
                  <c:v>2.8229505829437812E-4</c:v>
                </c:pt>
                <c:pt idx="1">
                  <c:v>5.8609836709528826E-4</c:v>
                </c:pt>
                <c:pt idx="2">
                  <c:v>1.0228978622673242E-3</c:v>
                </c:pt>
                <c:pt idx="3">
                  <c:v>1.3666190435828822E-3</c:v>
                </c:pt>
                <c:pt idx="4">
                  <c:v>4.5345260890425637E-5</c:v>
                </c:pt>
                <c:pt idx="5">
                  <c:v>3.1673014761615886E-4</c:v>
                </c:pt>
                <c:pt idx="6">
                  <c:v>3.7090841915163265E-4</c:v>
                </c:pt>
                <c:pt idx="7">
                  <c:v>3.9644632080995901E-4</c:v>
                </c:pt>
                <c:pt idx="8">
                  <c:v>4.5345260890425637E-5</c:v>
                </c:pt>
                <c:pt idx="9">
                  <c:v>5.8609836709528826E-4</c:v>
                </c:pt>
                <c:pt idx="10">
                  <c:v>5.8609836709528826E-4</c:v>
                </c:pt>
                <c:pt idx="11">
                  <c:v>3.1673014761615886E-4</c:v>
                </c:pt>
                <c:pt idx="12">
                  <c:v>3.1673014761615886E-4</c:v>
                </c:pt>
                <c:pt idx="13">
                  <c:v>6.3346029523231773E-4</c:v>
                </c:pt>
                <c:pt idx="14">
                  <c:v>1.9003808856969532E-4</c:v>
                </c:pt>
                <c:pt idx="15">
                  <c:v>6.3346029523231773E-4</c:v>
                </c:pt>
                <c:pt idx="16">
                  <c:v>1.9003808856969532E-4</c:v>
                </c:pt>
                <c:pt idx="17">
                  <c:v>6.3346029523231773E-4</c:v>
                </c:pt>
                <c:pt idx="18">
                  <c:v>1.9003808856969532E-4</c:v>
                </c:pt>
                <c:pt idx="21">
                  <c:v>5.8609836709528828E-3</c:v>
                </c:pt>
                <c:pt idx="22">
                  <c:v>1.0228978622673241E-2</c:v>
                </c:pt>
                <c:pt idx="23">
                  <c:v>1.3666190435828821E-2</c:v>
                </c:pt>
                <c:pt idx="24">
                  <c:v>3.1673014761615889E-3</c:v>
                </c:pt>
                <c:pt idx="25">
                  <c:v>3.7090841915163267E-3</c:v>
                </c:pt>
                <c:pt idx="26">
                  <c:v>3.9644632080995902E-3</c:v>
                </c:pt>
              </c:numCache>
            </c:numRef>
          </c:val>
          <c:extLst>
            <c:ext xmlns:c16="http://schemas.microsoft.com/office/drawing/2014/chart" uri="{C3380CC4-5D6E-409C-BE32-E72D297353CC}">
              <c16:uniqueId val="{00000001-71E9-4DDF-9D0C-502012FEA07B}"/>
            </c:ext>
          </c:extLst>
        </c:ser>
        <c:ser>
          <c:idx val="2"/>
          <c:order val="2"/>
          <c:tx>
            <c:strRef>
              <c:f>LCIA_CC!$B$10:$C$10</c:f>
              <c:strCache>
                <c:ptCount val="2"/>
                <c:pt idx="0">
                  <c:v>Well construction</c:v>
                </c:pt>
                <c:pt idx="1">
                  <c:v>Casing, steel</c:v>
                </c:pt>
              </c:strCache>
            </c:strRef>
          </c:tx>
          <c:spPr>
            <a:solidFill>
              <a:schemeClr val="bg2">
                <a:lumMod val="5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LCIA_CC!$AA$10:$BA$10</c:f>
              <c:numCache>
                <c:formatCode>General</c:formatCode>
                <c:ptCount val="27"/>
                <c:pt idx="0">
                  <c:v>4.5968549804395326E-3</c:v>
                </c:pt>
                <c:pt idx="1">
                  <c:v>3.7019200907294067E-3</c:v>
                </c:pt>
                <c:pt idx="2">
                  <c:v>3.3608562416467787E-3</c:v>
                </c:pt>
                <c:pt idx="3">
                  <c:v>3.0044617602192764E-3</c:v>
                </c:pt>
                <c:pt idx="4">
                  <c:v>3.7019200907294067E-3</c:v>
                </c:pt>
                <c:pt idx="5">
                  <c:v>3.5514121707996772E-3</c:v>
                </c:pt>
                <c:pt idx="6">
                  <c:v>2.7829575390840747E-3</c:v>
                </c:pt>
                <c:pt idx="7">
                  <c:v>2.4300539716541818E-3</c:v>
                </c:pt>
                <c:pt idx="8">
                  <c:v>3.5514121707996772E-3</c:v>
                </c:pt>
                <c:pt idx="9">
                  <c:v>3.0206314501650057E-3</c:v>
                </c:pt>
                <c:pt idx="10">
                  <c:v>5.5265164202814377E-3</c:v>
                </c:pt>
                <c:pt idx="11">
                  <c:v>2.897822490139864E-3</c:v>
                </c:pt>
                <c:pt idx="12">
                  <c:v>5.3018264025371147E-3</c:v>
                </c:pt>
                <c:pt idx="13">
                  <c:v>7.1028243415993545E-3</c:v>
                </c:pt>
                <c:pt idx="14">
                  <c:v>2.1308473024798063E-3</c:v>
                </c:pt>
                <c:pt idx="15">
                  <c:v>5.795644980279728E-3</c:v>
                </c:pt>
                <c:pt idx="16">
                  <c:v>1.7386934940839184E-3</c:v>
                </c:pt>
                <c:pt idx="17">
                  <c:v>1.0603652805074229E-2</c:v>
                </c:pt>
                <c:pt idx="18">
                  <c:v>3.1810958415222691E-3</c:v>
                </c:pt>
                <c:pt idx="21">
                  <c:v>3.7019200907294067E-3</c:v>
                </c:pt>
                <c:pt idx="22">
                  <c:v>3.3608562416467787E-3</c:v>
                </c:pt>
                <c:pt idx="23">
                  <c:v>3.0044617602192764E-3</c:v>
                </c:pt>
                <c:pt idx="24">
                  <c:v>3.5514121707996772E-3</c:v>
                </c:pt>
                <c:pt idx="25">
                  <c:v>2.7829575390840747E-3</c:v>
                </c:pt>
                <c:pt idx="26">
                  <c:v>2.4300539716541818E-3</c:v>
                </c:pt>
              </c:numCache>
            </c:numRef>
          </c:val>
          <c:extLst>
            <c:ext xmlns:c16="http://schemas.microsoft.com/office/drawing/2014/chart" uri="{C3380CC4-5D6E-409C-BE32-E72D297353CC}">
              <c16:uniqueId val="{00000002-71E9-4DDF-9D0C-502012FEA07B}"/>
            </c:ext>
          </c:extLst>
        </c:ser>
        <c:ser>
          <c:idx val="3"/>
          <c:order val="3"/>
          <c:tx>
            <c:strRef>
              <c:f>LCIA_CC!$B$11:$C$11</c:f>
              <c:strCache>
                <c:ptCount val="2"/>
                <c:pt idx="0">
                  <c:v>Well construction</c:v>
                </c:pt>
                <c:pt idx="1">
                  <c:v>Casing, cement</c:v>
                </c:pt>
              </c:strCache>
            </c:strRef>
          </c:tx>
          <c:spPr>
            <a:solidFill>
              <a:schemeClr val="bg2">
                <a:lumMod val="9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LCIA_CC!$AA$11:$BA$11</c:f>
              <c:numCache>
                <c:formatCode>General</c:formatCode>
                <c:ptCount val="27"/>
                <c:pt idx="0">
                  <c:v>8.3489315473123853E-4</c:v>
                </c:pt>
                <c:pt idx="1">
                  <c:v>8.3074801928430372E-4</c:v>
                </c:pt>
                <c:pt idx="2">
                  <c:v>8.1522138792019595E-4</c:v>
                </c:pt>
                <c:pt idx="3">
                  <c:v>8.0642084340208989E-4</c:v>
                </c:pt>
                <c:pt idx="4">
                  <c:v>8.3074801928430372E-4</c:v>
                </c:pt>
                <c:pt idx="5">
                  <c:v>8.2749084743150817E-4</c:v>
                </c:pt>
                <c:pt idx="6">
                  <c:v>6.7490571030803142E-4</c:v>
                </c:pt>
                <c:pt idx="7">
                  <c:v>4.9444440000928386E-4</c:v>
                </c:pt>
                <c:pt idx="8">
                  <c:v>8.2749084743150817E-4</c:v>
                </c:pt>
                <c:pt idx="9">
                  <c:v>6.116359326887006E-4</c:v>
                </c:pt>
                <c:pt idx="10">
                  <c:v>2.2707411132981115E-3</c:v>
                </c:pt>
                <c:pt idx="11">
                  <c:v>6.092378489161649E-4</c:v>
                </c:pt>
                <c:pt idx="12">
                  <c:v>2.2618380598239769E-3</c:v>
                </c:pt>
                <c:pt idx="13">
                  <c:v>1.6549816948630163E-3</c:v>
                </c:pt>
                <c:pt idx="14">
                  <c:v>4.9649450845890496E-4</c:v>
                </c:pt>
                <c:pt idx="15">
                  <c:v>1.2184756978323298E-3</c:v>
                </c:pt>
                <c:pt idx="16">
                  <c:v>3.6554270934969894E-4</c:v>
                </c:pt>
                <c:pt idx="17">
                  <c:v>4.5236761196479538E-3</c:v>
                </c:pt>
                <c:pt idx="18">
                  <c:v>1.357102835894386E-3</c:v>
                </c:pt>
                <c:pt idx="21">
                  <c:v>8.3074801928430372E-4</c:v>
                </c:pt>
                <c:pt idx="22">
                  <c:v>8.1522138792019595E-4</c:v>
                </c:pt>
                <c:pt idx="23">
                  <c:v>8.0642084340208989E-4</c:v>
                </c:pt>
                <c:pt idx="24">
                  <c:v>8.2749084743150817E-4</c:v>
                </c:pt>
                <c:pt idx="25">
                  <c:v>6.7490571030803142E-4</c:v>
                </c:pt>
                <c:pt idx="26">
                  <c:v>4.9444440000928386E-4</c:v>
                </c:pt>
              </c:numCache>
            </c:numRef>
          </c:val>
          <c:extLst>
            <c:ext xmlns:c16="http://schemas.microsoft.com/office/drawing/2014/chart" uri="{C3380CC4-5D6E-409C-BE32-E72D297353CC}">
              <c16:uniqueId val="{00000003-71E9-4DDF-9D0C-502012FEA07B}"/>
            </c:ext>
          </c:extLst>
        </c:ser>
        <c:ser>
          <c:idx val="4"/>
          <c:order val="4"/>
          <c:tx>
            <c:strRef>
              <c:f>LCIA_CC!$B$12:$C$12</c:f>
              <c:strCache>
                <c:ptCount val="2"/>
                <c:pt idx="0">
                  <c:v>Well construction</c:v>
                </c:pt>
                <c:pt idx="1">
                  <c:v>Casing, water</c:v>
                </c:pt>
              </c:strCache>
            </c:strRef>
          </c:tx>
          <c:spPr>
            <a:solidFill>
              <a:schemeClr val="accent5"/>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LCIA_CC!$AA$12:$BA$12</c:f>
              <c:numCache>
                <c:formatCode>General</c:formatCode>
                <c:ptCount val="27"/>
                <c:pt idx="0">
                  <c:v>2.8467298750352827E-8</c:v>
                </c:pt>
                <c:pt idx="1">
                  <c:v>6.284953534118252E-8</c:v>
                </c:pt>
                <c:pt idx="2">
                  <c:v>5.0355117542444152E-8</c:v>
                </c:pt>
                <c:pt idx="3">
                  <c:v>3.755439463615448E-8</c:v>
                </c:pt>
                <c:pt idx="4">
                  <c:v>6.284953534118252E-8</c:v>
                </c:pt>
                <c:pt idx="5">
                  <c:v>5.877518999455008E-8</c:v>
                </c:pt>
                <c:pt idx="6">
                  <c:v>2.6232963259533733E-8</c:v>
                </c:pt>
                <c:pt idx="7">
                  <c:v>1.6982453783291873E-8</c:v>
                </c:pt>
                <c:pt idx="8">
                  <c:v>5.877518999455008E-8</c:v>
                </c:pt>
                <c:pt idx="9">
                  <c:v>4.627279665448123E-8</c:v>
                </c:pt>
                <c:pt idx="10">
                  <c:v>1.7179098900994794E-7</c:v>
                </c:pt>
                <c:pt idx="11">
                  <c:v>4.3273071156092091E-8</c:v>
                </c:pt>
                <c:pt idx="12">
                  <c:v>1.6065429861332973E-7</c:v>
                </c:pt>
                <c:pt idx="13">
                  <c:v>1.1755037998910016E-7</c:v>
                </c:pt>
                <c:pt idx="14">
                  <c:v>3.5265113996730051E-8</c:v>
                </c:pt>
                <c:pt idx="15">
                  <c:v>8.6546142312184182E-8</c:v>
                </c:pt>
                <c:pt idx="16">
                  <c:v>2.5963842693655255E-8</c:v>
                </c:pt>
                <c:pt idx="17">
                  <c:v>3.2130859722665945E-7</c:v>
                </c:pt>
                <c:pt idx="18">
                  <c:v>9.6392579167997844E-8</c:v>
                </c:pt>
                <c:pt idx="21">
                  <c:v>6.284953534118252E-8</c:v>
                </c:pt>
                <c:pt idx="22">
                  <c:v>5.0355117542444152E-8</c:v>
                </c:pt>
                <c:pt idx="23">
                  <c:v>3.755439463615448E-8</c:v>
                </c:pt>
                <c:pt idx="24">
                  <c:v>5.877518999455008E-8</c:v>
                </c:pt>
                <c:pt idx="25">
                  <c:v>2.6232963259533733E-8</c:v>
                </c:pt>
                <c:pt idx="26">
                  <c:v>1.6982453783291873E-8</c:v>
                </c:pt>
              </c:numCache>
            </c:numRef>
          </c:val>
          <c:extLst>
            <c:ext xmlns:c16="http://schemas.microsoft.com/office/drawing/2014/chart" uri="{C3380CC4-5D6E-409C-BE32-E72D297353CC}">
              <c16:uniqueId val="{00000004-71E9-4DDF-9D0C-502012FEA07B}"/>
            </c:ext>
          </c:extLst>
        </c:ser>
        <c:ser>
          <c:idx val="5"/>
          <c:order val="5"/>
          <c:tx>
            <c:strRef>
              <c:f>LCIA_CC!$B$13:$C$13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LCIA_CC!$AA$13:$BA$13</c:f>
              <c:numCache>
                <c:formatCode>General</c:formatCode>
                <c:ptCount val="27"/>
                <c:pt idx="0">
                  <c:v>2.0111419030359673E-3</c:v>
                </c:pt>
                <c:pt idx="1">
                  <c:v>1.8608747326563154E-3</c:v>
                </c:pt>
                <c:pt idx="2">
                  <c:v>1.7474134058461778E-3</c:v>
                </c:pt>
                <c:pt idx="3">
                  <c:v>1.6836276757646669E-3</c:v>
                </c:pt>
                <c:pt idx="4">
                  <c:v>1.8608747326563154E-3</c:v>
                </c:pt>
                <c:pt idx="5">
                  <c:v>1.6831849078602771E-3</c:v>
                </c:pt>
                <c:pt idx="6">
                  <c:v>1.3111298808283387E-3</c:v>
                </c:pt>
                <c:pt idx="7">
                  <c:v>1.0917237401074152E-3</c:v>
                </c:pt>
                <c:pt idx="8">
                  <c:v>1.6831849078602771E-3</c:v>
                </c:pt>
                <c:pt idx="9">
                  <c:v>1.8608747326563154E-3</c:v>
                </c:pt>
                <c:pt idx="10">
                  <c:v>1.8608747326563154E-3</c:v>
                </c:pt>
                <c:pt idx="11">
                  <c:v>1.6831849078602771E-3</c:v>
                </c:pt>
                <c:pt idx="12">
                  <c:v>1.6831849078602771E-3</c:v>
                </c:pt>
                <c:pt idx="13">
                  <c:v>3.3663698157205542E-3</c:v>
                </c:pt>
                <c:pt idx="14">
                  <c:v>1.0099109447161663E-3</c:v>
                </c:pt>
                <c:pt idx="15">
                  <c:v>3.3663698157205542E-3</c:v>
                </c:pt>
                <c:pt idx="16">
                  <c:v>1.0099109447161663E-3</c:v>
                </c:pt>
                <c:pt idx="17">
                  <c:v>3.3663698157205542E-3</c:v>
                </c:pt>
                <c:pt idx="18">
                  <c:v>1.0099109447161663E-3</c:v>
                </c:pt>
                <c:pt idx="21">
                  <c:v>1.8608747326563154E-3</c:v>
                </c:pt>
                <c:pt idx="22">
                  <c:v>1.7474134058461778E-3</c:v>
                </c:pt>
                <c:pt idx="23">
                  <c:v>1.6836276757646669E-3</c:v>
                </c:pt>
                <c:pt idx="24">
                  <c:v>1.6831849078602771E-3</c:v>
                </c:pt>
                <c:pt idx="25">
                  <c:v>1.3111298808283387E-3</c:v>
                </c:pt>
                <c:pt idx="26">
                  <c:v>1.0917237401074152E-3</c:v>
                </c:pt>
              </c:numCache>
            </c:numRef>
          </c:val>
          <c:extLst>
            <c:ext xmlns:c16="http://schemas.microsoft.com/office/drawing/2014/chart" uri="{C3380CC4-5D6E-409C-BE32-E72D297353CC}">
              <c16:uniqueId val="{00000005-71E9-4DDF-9D0C-502012FEA07B}"/>
            </c:ext>
          </c:extLst>
        </c:ser>
        <c:ser>
          <c:idx val="6"/>
          <c:order val="6"/>
          <c:tx>
            <c:strRef>
              <c:f>LCIA_CC!$B$14:$C$14</c:f>
              <c:strCache>
                <c:ptCount val="2"/>
                <c:pt idx="0">
                  <c:v>CO₂</c:v>
                </c:pt>
                <c:pt idx="1">
                  <c:v>Capture</c:v>
                </c:pt>
              </c:strCache>
            </c:strRef>
          </c:tx>
          <c:spPr>
            <a:solidFill>
              <a:schemeClr val="accent6">
                <a:lumMod val="40000"/>
                <a:lumOff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LCIA_CC!$AA$14:$BA$14</c:f>
              <c:numCache>
                <c:formatCode>General</c:formatCode>
                <c:ptCount val="27"/>
                <c:pt idx="0">
                  <c:v>2.0970719196028805E-5</c:v>
                </c:pt>
                <c:pt idx="1">
                  <c:v>1.8119916630160139E-5</c:v>
                </c:pt>
                <c:pt idx="2">
                  <c:v>1.7001980865258589E-5</c:v>
                </c:pt>
                <c:pt idx="3">
                  <c:v>1.6135770671466551E-5</c:v>
                </c:pt>
                <c:pt idx="4">
                  <c:v>1.8119916630160139E-5</c:v>
                </c:pt>
                <c:pt idx="5">
                  <c:v>1.6414737433995601E-5</c:v>
                </c:pt>
                <c:pt idx="6">
                  <c:v>1.4934514946283059E-5</c:v>
                </c:pt>
                <c:pt idx="7">
                  <c:v>1.4463588684075808E-5</c:v>
                </c:pt>
                <c:pt idx="8">
                  <c:v>1.6414737433995601E-5</c:v>
                </c:pt>
                <c:pt idx="9">
                  <c:v>1.746482203037127E-5</c:v>
                </c:pt>
                <c:pt idx="10">
                  <c:v>2.999896537299831E-5</c:v>
                </c:pt>
                <c:pt idx="11">
                  <c:v>1.5821290672101331E-5</c:v>
                </c:pt>
                <c:pt idx="12">
                  <c:v>2.717590538301176E-5</c:v>
                </c:pt>
                <c:pt idx="13">
                  <c:v>3.2829474867991202E-5</c:v>
                </c:pt>
                <c:pt idx="14">
                  <c:v>9.84884246039736E-6</c:v>
                </c:pt>
                <c:pt idx="15">
                  <c:v>3.1642581344202662E-5</c:v>
                </c:pt>
                <c:pt idx="16">
                  <c:v>9.4927744032607993E-6</c:v>
                </c:pt>
                <c:pt idx="17">
                  <c:v>5.435181076602352E-5</c:v>
                </c:pt>
                <c:pt idx="18">
                  <c:v>1.6305543229807055E-5</c:v>
                </c:pt>
                <c:pt idx="21">
                  <c:v>1.8119916630160139E-5</c:v>
                </c:pt>
                <c:pt idx="22">
                  <c:v>1.7001980865258589E-5</c:v>
                </c:pt>
                <c:pt idx="23">
                  <c:v>1.6135770671466551E-5</c:v>
                </c:pt>
                <c:pt idx="24">
                  <c:v>1.6414737433995601E-5</c:v>
                </c:pt>
                <c:pt idx="25">
                  <c:v>1.4934514946283059E-5</c:v>
                </c:pt>
                <c:pt idx="26">
                  <c:v>1.4463588684075808E-5</c:v>
                </c:pt>
              </c:numCache>
            </c:numRef>
          </c:val>
          <c:extLst>
            <c:ext xmlns:c16="http://schemas.microsoft.com/office/drawing/2014/chart" uri="{C3380CC4-5D6E-409C-BE32-E72D297353CC}">
              <c16:uniqueId val="{00000006-71E9-4DDF-9D0C-502012FEA07B}"/>
            </c:ext>
          </c:extLst>
        </c:ser>
        <c:ser>
          <c:idx val="7"/>
          <c:order val="7"/>
          <c:tx>
            <c:strRef>
              <c:f>LCIA_CC!$B$15:$C$15</c:f>
              <c:strCache>
                <c:ptCount val="2"/>
                <c:pt idx="0">
                  <c:v>CO₂</c:v>
                </c:pt>
                <c:pt idx="1">
                  <c:v>Storage</c:v>
                </c:pt>
              </c:strCache>
            </c:strRef>
          </c:tx>
          <c:spPr>
            <a:solidFill>
              <a:schemeClr val="accent2">
                <a:lumMod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LCIA_CC!$AA$15:$BA$15</c:f>
              <c:numCache>
                <c:formatCode>General</c:formatCode>
                <c:ptCount val="27"/>
                <c:pt idx="0">
                  <c:v>3.8341635755804193E-6</c:v>
                </c:pt>
                <c:pt idx="1">
                  <c:v>3.1497284310528184E-6</c:v>
                </c:pt>
                <c:pt idx="2">
                  <c:v>2.8688035462382707E-6</c:v>
                </c:pt>
                <c:pt idx="3">
                  <c:v>2.6460561646200131E-6</c:v>
                </c:pt>
                <c:pt idx="4">
                  <c:v>3.1497284310528184E-6</c:v>
                </c:pt>
                <c:pt idx="5">
                  <c:v>2.7607616061762165E-6</c:v>
                </c:pt>
                <c:pt idx="6">
                  <c:v>2.2958992882781308E-6</c:v>
                </c:pt>
                <c:pt idx="7">
                  <c:v>2.165529943584679E-6</c:v>
                </c:pt>
                <c:pt idx="8">
                  <c:v>2.7607616061762165E-6</c:v>
                </c:pt>
                <c:pt idx="9">
                  <c:v>3.0358553858231439E-6</c:v>
                </c:pt>
                <c:pt idx="10">
                  <c:v>5.2146263178842639E-6</c:v>
                </c:pt>
                <c:pt idx="11">
                  <c:v>2.660950991346997E-6</c:v>
                </c:pt>
                <c:pt idx="12">
                  <c:v>4.5706607550794002E-6</c:v>
                </c:pt>
                <c:pt idx="13">
                  <c:v>5.521523212352433E-6</c:v>
                </c:pt>
                <c:pt idx="14">
                  <c:v>1.6564569637057301E-6</c:v>
                </c:pt>
                <c:pt idx="15">
                  <c:v>5.321901982693994E-6</c:v>
                </c:pt>
                <c:pt idx="16">
                  <c:v>1.5965705948081983E-6</c:v>
                </c:pt>
                <c:pt idx="17">
                  <c:v>9.1413215101588004E-6</c:v>
                </c:pt>
                <c:pt idx="18">
                  <c:v>2.74239645304764E-6</c:v>
                </c:pt>
                <c:pt idx="21">
                  <c:v>3.1497284310528184E-6</c:v>
                </c:pt>
                <c:pt idx="22">
                  <c:v>2.8688035462382707E-6</c:v>
                </c:pt>
                <c:pt idx="23">
                  <c:v>2.6460561646200131E-6</c:v>
                </c:pt>
                <c:pt idx="24">
                  <c:v>2.7607616061762165E-6</c:v>
                </c:pt>
                <c:pt idx="25">
                  <c:v>2.2958992882781308E-6</c:v>
                </c:pt>
                <c:pt idx="26">
                  <c:v>2.165529943584679E-6</c:v>
                </c:pt>
              </c:numCache>
            </c:numRef>
          </c:val>
          <c:extLst>
            <c:ext xmlns:c16="http://schemas.microsoft.com/office/drawing/2014/chart" uri="{C3380CC4-5D6E-409C-BE32-E72D297353CC}">
              <c16:uniqueId val="{00000007-71E9-4DDF-9D0C-502012FEA07B}"/>
            </c:ext>
          </c:extLst>
        </c:ser>
        <c:ser>
          <c:idx val="8"/>
          <c:order val="8"/>
          <c:tx>
            <c:strRef>
              <c:f>LCIA_CC!$B$16:$C$16</c:f>
              <c:strCache>
                <c:ptCount val="2"/>
                <c:pt idx="0">
                  <c:v>CO₂</c:v>
                </c:pt>
                <c:pt idx="1">
                  <c:v>Transport</c:v>
                </c:pt>
              </c:strCache>
            </c:strRef>
          </c:tx>
          <c:spPr>
            <a:solidFill>
              <a:schemeClr val="accent3">
                <a:lumMod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LCIA_CC!$AA$16:$BA$16</c:f>
              <c:numCache>
                <c:formatCode>General</c:formatCode>
                <c:ptCount val="27"/>
                <c:pt idx="0">
                  <c:v>1.4547460127867614E-5</c:v>
                </c:pt>
                <c:pt idx="1">
                  <c:v>1.3198516241578319E-5</c:v>
                </c:pt>
                <c:pt idx="2">
                  <c:v>1.118326224724404E-5</c:v>
                </c:pt>
                <c:pt idx="3">
                  <c:v>9.7621716117339743E-6</c:v>
                </c:pt>
                <c:pt idx="4">
                  <c:v>1.3198516241578319E-5</c:v>
                </c:pt>
                <c:pt idx="5">
                  <c:v>1.1315117630411294E-5</c:v>
                </c:pt>
                <c:pt idx="6">
                  <c:v>7.991411789860066E-6</c:v>
                </c:pt>
                <c:pt idx="7">
                  <c:v>5.9917215411017666E-6</c:v>
                </c:pt>
                <c:pt idx="8">
                  <c:v>1.1315117630411294E-5</c:v>
                </c:pt>
                <c:pt idx="9">
                  <c:v>1.2721346456994867E-5</c:v>
                </c:pt>
                <c:pt idx="10">
                  <c:v>2.1851195002024939E-5</c:v>
                </c:pt>
                <c:pt idx="11">
                  <c:v>1.0906038901907634E-5</c:v>
                </c:pt>
                <c:pt idx="12">
                  <c:v>1.8733078573944367E-5</c:v>
                </c:pt>
                <c:pt idx="13">
                  <c:v>2.2630235260822588E-5</c:v>
                </c:pt>
                <c:pt idx="14">
                  <c:v>6.7890705782467768E-6</c:v>
                </c:pt>
                <c:pt idx="15">
                  <c:v>2.1812077803815267E-5</c:v>
                </c:pt>
                <c:pt idx="16">
                  <c:v>6.5436233411445802E-6</c:v>
                </c:pt>
                <c:pt idx="17">
                  <c:v>3.7466157147888733E-5</c:v>
                </c:pt>
                <c:pt idx="18">
                  <c:v>1.1239847144366621E-5</c:v>
                </c:pt>
                <c:pt idx="21">
                  <c:v>1.3198516241578319E-5</c:v>
                </c:pt>
                <c:pt idx="22">
                  <c:v>1.118326224724404E-5</c:v>
                </c:pt>
                <c:pt idx="23">
                  <c:v>9.7621716117339743E-6</c:v>
                </c:pt>
                <c:pt idx="24">
                  <c:v>1.1315117630411294E-5</c:v>
                </c:pt>
                <c:pt idx="25">
                  <c:v>7.991411789860066E-6</c:v>
                </c:pt>
                <c:pt idx="26">
                  <c:v>5.9917215411017666E-6</c:v>
                </c:pt>
              </c:numCache>
            </c:numRef>
          </c:val>
          <c:extLst>
            <c:ext xmlns:c16="http://schemas.microsoft.com/office/drawing/2014/chart" uri="{C3380CC4-5D6E-409C-BE32-E72D297353CC}">
              <c16:uniqueId val="{00000008-71E9-4DDF-9D0C-502012FEA07B}"/>
            </c:ext>
          </c:extLst>
        </c:ser>
        <c:ser>
          <c:idx val="9"/>
          <c:order val="9"/>
          <c:tx>
            <c:strRef>
              <c:f>LCIA_CC!$B$17:$C$17</c:f>
              <c:strCache>
                <c:ptCount val="2"/>
                <c:pt idx="0">
                  <c:v>CO₂</c:v>
                </c:pt>
                <c:pt idx="1">
                  <c:v>Conditioning</c:v>
                </c:pt>
              </c:strCache>
            </c:strRef>
          </c:tx>
          <c:spPr>
            <a:solidFill>
              <a:srgbClr val="00B050"/>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LCIA_CC!$AA$17:$BA$17</c:f>
              <c:numCache>
                <c:formatCode>General</c:formatCode>
                <c:ptCount val="27"/>
                <c:pt idx="0">
                  <c:v>4.3436534344465345E-6</c:v>
                </c:pt>
                <c:pt idx="1">
                  <c:v>8.0531296434055222E-6</c:v>
                </c:pt>
                <c:pt idx="2">
                  <c:v>1.2318055614098475E-5</c:v>
                </c:pt>
                <c:pt idx="3">
                  <c:v>1.5675772127253005E-5</c:v>
                </c:pt>
                <c:pt idx="4">
                  <c:v>8.0531296434055222E-6</c:v>
                </c:pt>
                <c:pt idx="5">
                  <c:v>5.3679794717697487E-6</c:v>
                </c:pt>
                <c:pt idx="6">
                  <c:v>5.8468036982719316E-6</c:v>
                </c:pt>
                <c:pt idx="7">
                  <c:v>6.0808027907062709E-6</c:v>
                </c:pt>
                <c:pt idx="8">
                  <c:v>5.3679794717697487E-6</c:v>
                </c:pt>
                <c:pt idx="9">
                  <c:v>7.7619825124074928E-6</c:v>
                </c:pt>
                <c:pt idx="10">
                  <c:v>1.3332597618836474E-5</c:v>
                </c:pt>
                <c:pt idx="11">
                  <c:v>5.1739093534845088E-6</c:v>
                </c:pt>
                <c:pt idx="12">
                  <c:v>8.8871176166754405E-6</c:v>
                </c:pt>
                <c:pt idx="13">
                  <c:v>1.0735958943539497E-5</c:v>
                </c:pt>
                <c:pt idx="14">
                  <c:v>3.2207876830618491E-6</c:v>
                </c:pt>
                <c:pt idx="15">
                  <c:v>1.0347818706969018E-5</c:v>
                </c:pt>
                <c:pt idx="16">
                  <c:v>3.1043456120907053E-6</c:v>
                </c:pt>
                <c:pt idx="17">
                  <c:v>1.7774235233350881E-5</c:v>
                </c:pt>
                <c:pt idx="18">
                  <c:v>5.3322705700052638E-6</c:v>
                </c:pt>
                <c:pt idx="21">
                  <c:v>8.0531296434055222E-6</c:v>
                </c:pt>
                <c:pt idx="22">
                  <c:v>1.2318055614098475E-5</c:v>
                </c:pt>
                <c:pt idx="23">
                  <c:v>1.5675772127253005E-5</c:v>
                </c:pt>
                <c:pt idx="24">
                  <c:v>5.3679794717697487E-6</c:v>
                </c:pt>
                <c:pt idx="25">
                  <c:v>5.8468036982719316E-6</c:v>
                </c:pt>
                <c:pt idx="26">
                  <c:v>6.0808027907062709E-6</c:v>
                </c:pt>
              </c:numCache>
            </c:numRef>
          </c:val>
          <c:extLst>
            <c:ext xmlns:c16="http://schemas.microsoft.com/office/drawing/2014/chart" uri="{C3380CC4-5D6E-409C-BE32-E72D297353CC}">
              <c16:uniqueId val="{00000009-71E9-4DDF-9D0C-502012FEA07B}"/>
            </c:ext>
          </c:extLst>
        </c:ser>
        <c:ser>
          <c:idx val="10"/>
          <c:order val="10"/>
          <c:tx>
            <c:strRef>
              <c:f>LCIA_CC!$B$18:$C$18</c:f>
              <c:strCache>
                <c:ptCount val="2"/>
                <c:pt idx="0">
                  <c:v>CO₂</c:v>
                </c:pt>
                <c:pt idx="1">
                  <c:v>Pumping</c:v>
                </c:pt>
              </c:strCache>
            </c:strRef>
          </c:tx>
          <c:spPr>
            <a:solidFill>
              <a:schemeClr val="accent5">
                <a:lumMod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LCIA_CC!$AA$18:$BA$18</c:f>
              <c:numCache>
                <c:formatCode>General</c:formatCode>
                <c:ptCount val="27"/>
                <c:pt idx="0">
                  <c:v>1.0113059981562451E-6</c:v>
                </c:pt>
                <c:pt idx="1">
                  <c:v>2.952078241757645E-6</c:v>
                </c:pt>
                <c:pt idx="2">
                  <c:v>5.1521633436812484E-6</c:v>
                </c:pt>
                <c:pt idx="3">
                  <c:v>6.8834287379557941E-6</c:v>
                </c:pt>
                <c:pt idx="4">
                  <c:v>2.952078241757645E-6</c:v>
                </c:pt>
                <c:pt idx="5">
                  <c:v>1.5953161274280334E-6</c:v>
                </c:pt>
                <c:pt idx="6">
                  <c:v>1.8682029081378448E-6</c:v>
                </c:pt>
                <c:pt idx="7">
                  <c:v>1.996832994925711E-6</c:v>
                </c:pt>
                <c:pt idx="8">
                  <c:v>1.5953161274280334E-6</c:v>
                </c:pt>
                <c:pt idx="9">
                  <c:v>2.8453509011301098E-6</c:v>
                </c:pt>
                <c:pt idx="10">
                  <c:v>4.8874006851369642E-6</c:v>
                </c:pt>
                <c:pt idx="11">
                  <c:v>1.5376402009121976E-6</c:v>
                </c:pt>
                <c:pt idx="12">
                  <c:v>2.6411729282485329E-6</c:v>
                </c:pt>
                <c:pt idx="13">
                  <c:v>3.1906322548560669E-6</c:v>
                </c:pt>
                <c:pt idx="14">
                  <c:v>9.5718967645682006E-7</c:v>
                </c:pt>
                <c:pt idx="15">
                  <c:v>3.0752804018243951E-6</c:v>
                </c:pt>
                <c:pt idx="16">
                  <c:v>9.2258412054731845E-7</c:v>
                </c:pt>
                <c:pt idx="17">
                  <c:v>5.2823458564970657E-6</c:v>
                </c:pt>
                <c:pt idx="18">
                  <c:v>1.5847037569491198E-6</c:v>
                </c:pt>
                <c:pt idx="21">
                  <c:v>2.952078241757645E-6</c:v>
                </c:pt>
                <c:pt idx="22">
                  <c:v>5.1521633436812484E-6</c:v>
                </c:pt>
                <c:pt idx="23">
                  <c:v>6.8834287379557941E-6</c:v>
                </c:pt>
                <c:pt idx="24">
                  <c:v>1.5953161274280334E-6</c:v>
                </c:pt>
                <c:pt idx="25">
                  <c:v>1.8682029081378448E-6</c:v>
                </c:pt>
                <c:pt idx="26">
                  <c:v>1.996832994925711E-6</c:v>
                </c:pt>
              </c:numCache>
            </c:numRef>
          </c:val>
          <c:extLst>
            <c:ext xmlns:c16="http://schemas.microsoft.com/office/drawing/2014/chart" uri="{C3380CC4-5D6E-409C-BE32-E72D297353CC}">
              <c16:uniqueId val="{0000000A-71E9-4DDF-9D0C-502012FEA07B}"/>
            </c:ext>
          </c:extLst>
        </c:ser>
        <c:ser>
          <c:idx val="11"/>
          <c:order val="11"/>
          <c:tx>
            <c:strRef>
              <c:f>LCIA_CC!$B$19:$C$19</c:f>
              <c:strCache>
                <c:ptCount val="2"/>
                <c:pt idx="0">
                  <c:v>Surface plant</c:v>
                </c:pt>
              </c:strCache>
            </c:strRef>
          </c:tx>
          <c:spPr>
            <a:solidFill>
              <a:srgbClr val="FFFF00"/>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LCIA_CC!$AA$19:$BA$19</c:f>
              <c:numCache>
                <c:formatCode>General</c:formatCode>
                <c:ptCount val="27"/>
                <c:pt idx="0">
                  <c:v>2.2396299330595257E-4</c:v>
                </c:pt>
                <c:pt idx="1">
                  <c:v>1.5851695986181217E-4</c:v>
                </c:pt>
                <c:pt idx="2">
                  <c:v>1.4370152279940605E-4</c:v>
                </c:pt>
                <c:pt idx="3">
                  <c:v>1.3632829357682795E-4</c:v>
                </c:pt>
                <c:pt idx="4">
                  <c:v>1.5851695986181217E-4</c:v>
                </c:pt>
                <c:pt idx="5">
                  <c:v>1.4195722002769461E-4</c:v>
                </c:pt>
                <c:pt idx="6">
                  <c:v>1.1067782437403336E-4</c:v>
                </c:pt>
                <c:pt idx="7">
                  <c:v>9.4420393666005698E-5</c:v>
                </c:pt>
                <c:pt idx="8">
                  <c:v>1.4195722002769461E-4</c:v>
                </c:pt>
                <c:pt idx="9">
                  <c:v>1.5851695986181217E-4</c:v>
                </c:pt>
                <c:pt idx="10">
                  <c:v>1.5851695986181217E-4</c:v>
                </c:pt>
                <c:pt idx="11">
                  <c:v>1.4195722002769461E-4</c:v>
                </c:pt>
                <c:pt idx="12">
                  <c:v>1.4195722002769461E-4</c:v>
                </c:pt>
                <c:pt idx="13">
                  <c:v>2.8391444005538923E-4</c:v>
                </c:pt>
                <c:pt idx="14">
                  <c:v>8.5174332016616763E-5</c:v>
                </c:pt>
                <c:pt idx="15">
                  <c:v>2.8391444005538923E-4</c:v>
                </c:pt>
                <c:pt idx="16">
                  <c:v>8.5174332016616763E-5</c:v>
                </c:pt>
                <c:pt idx="17">
                  <c:v>2.8391444005538923E-4</c:v>
                </c:pt>
                <c:pt idx="18">
                  <c:v>8.5174332016616763E-5</c:v>
                </c:pt>
                <c:pt idx="21">
                  <c:v>1.5851695986181217E-4</c:v>
                </c:pt>
                <c:pt idx="22">
                  <c:v>1.4370152279940605E-4</c:v>
                </c:pt>
                <c:pt idx="23">
                  <c:v>1.3632829357682795E-4</c:v>
                </c:pt>
                <c:pt idx="24">
                  <c:v>1.4195722002769461E-4</c:v>
                </c:pt>
                <c:pt idx="25">
                  <c:v>1.1067782437403336E-4</c:v>
                </c:pt>
                <c:pt idx="26">
                  <c:v>9.4420393666005698E-5</c:v>
                </c:pt>
              </c:numCache>
            </c:numRef>
          </c:val>
          <c:extLst>
            <c:ext xmlns:c16="http://schemas.microsoft.com/office/drawing/2014/chart" uri="{C3380CC4-5D6E-409C-BE32-E72D297353CC}">
              <c16:uniqueId val="{0000000B-71E9-4DDF-9D0C-502012FEA07B}"/>
            </c:ext>
          </c:extLst>
        </c:ser>
        <c:ser>
          <c:idx val="12"/>
          <c:order val="12"/>
          <c:tx>
            <c:strRef>
              <c:f>LCIA_CC!$B$20:$C$20</c:f>
              <c:strCache>
                <c:ptCount val="2"/>
                <c:pt idx="0">
                  <c:v>Maintenance</c:v>
                </c:pt>
              </c:strCache>
            </c:strRef>
          </c:tx>
          <c:spPr>
            <a:solidFill>
              <a:schemeClr val="accent1">
                <a:lumMod val="80000"/>
                <a:lumOff val="2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LCIA_CC!$AA$20:$BA$20</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8.5174332016616763E-5</c:v>
                </c:pt>
                <c:pt idx="15">
                  <c:v>0</c:v>
                </c:pt>
                <c:pt idx="16">
                  <c:v>8.5174332016616763E-5</c:v>
                </c:pt>
                <c:pt idx="17">
                  <c:v>0</c:v>
                </c:pt>
                <c:pt idx="18">
                  <c:v>8.5174332016616763E-5</c:v>
                </c:pt>
                <c:pt idx="21">
                  <c:v>0</c:v>
                </c:pt>
                <c:pt idx="22">
                  <c:v>0</c:v>
                </c:pt>
                <c:pt idx="23">
                  <c:v>0</c:v>
                </c:pt>
                <c:pt idx="24">
                  <c:v>0</c:v>
                </c:pt>
                <c:pt idx="25">
                  <c:v>0</c:v>
                </c:pt>
                <c:pt idx="26">
                  <c:v>0</c:v>
                </c:pt>
              </c:numCache>
            </c:numRef>
          </c:val>
          <c:extLst>
            <c:ext xmlns:c16="http://schemas.microsoft.com/office/drawing/2014/chart" uri="{C3380CC4-5D6E-409C-BE32-E72D297353CC}">
              <c16:uniqueId val="{0000000C-71E9-4DDF-9D0C-502012FEA07B}"/>
            </c:ext>
          </c:extLst>
        </c:ser>
        <c:ser>
          <c:idx val="13"/>
          <c:order val="13"/>
          <c:tx>
            <c:strRef>
              <c:f>LCIA_CC!$B$21:$C$21</c:f>
              <c:strCache>
                <c:ptCount val="2"/>
                <c:pt idx="0">
                  <c:v>EoL</c:v>
                </c:pt>
                <c:pt idx="1">
                  <c:v>Well sealing</c:v>
                </c:pt>
              </c:strCache>
            </c:strRef>
          </c:tx>
          <c:spPr>
            <a:solidFill>
              <a:schemeClr val="accent2">
                <a:lumMod val="80000"/>
                <a:lumOff val="2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LCIA_CC!$AA$21:$BA$21</c:f>
              <c:numCache>
                <c:formatCode>General</c:formatCode>
                <c:ptCount val="27"/>
                <c:pt idx="0">
                  <c:v>5.0830724410525848E-5</c:v>
                </c:pt>
                <c:pt idx="1">
                  <c:v>5.0578356504101619E-5</c:v>
                </c:pt>
                <c:pt idx="2">
                  <c:v>4.9633050011384171E-5</c:v>
                </c:pt>
                <c:pt idx="3">
                  <c:v>4.9097247255633463E-5</c:v>
                </c:pt>
                <c:pt idx="4">
                  <c:v>5.0578356504101619E-5</c:v>
                </c:pt>
                <c:pt idx="5">
                  <c:v>5.038005040484935E-5</c:v>
                </c:pt>
                <c:pt idx="6">
                  <c:v>4.1090223305042204E-5</c:v>
                </c:pt>
                <c:pt idx="7">
                  <c:v>3.0103213675635297E-5</c:v>
                </c:pt>
                <c:pt idx="8">
                  <c:v>5.038005040484935E-5</c:v>
                </c:pt>
                <c:pt idx="9">
                  <c:v>5.0578356504101619E-5</c:v>
                </c:pt>
                <c:pt idx="10">
                  <c:v>1.097813929486938E-4</c:v>
                </c:pt>
                <c:pt idx="11">
                  <c:v>5.038005040484935E-5</c:v>
                </c:pt>
                <c:pt idx="12">
                  <c:v>1.093509653644292E-4</c:v>
                </c:pt>
                <c:pt idx="13">
                  <c:v>1.007601008096987E-4</c:v>
                </c:pt>
                <c:pt idx="14">
                  <c:v>3.0228030242909613E-5</c:v>
                </c:pt>
                <c:pt idx="15">
                  <c:v>1.007601008096987E-4</c:v>
                </c:pt>
                <c:pt idx="16">
                  <c:v>3.0228030242909613E-5</c:v>
                </c:pt>
                <c:pt idx="17">
                  <c:v>2.187019307288584E-4</c:v>
                </c:pt>
                <c:pt idx="18">
                  <c:v>6.5610579218657524E-5</c:v>
                </c:pt>
                <c:pt idx="21">
                  <c:v>5.0578356504101619E-5</c:v>
                </c:pt>
                <c:pt idx="22">
                  <c:v>4.9633050011384171E-5</c:v>
                </c:pt>
                <c:pt idx="23">
                  <c:v>4.9097247255633463E-5</c:v>
                </c:pt>
                <c:pt idx="24">
                  <c:v>5.038005040484935E-5</c:v>
                </c:pt>
                <c:pt idx="25">
                  <c:v>4.1090223305042204E-5</c:v>
                </c:pt>
                <c:pt idx="26">
                  <c:v>3.0103213675635297E-5</c:v>
                </c:pt>
              </c:numCache>
            </c:numRef>
          </c:val>
          <c:extLst>
            <c:ext xmlns:c16="http://schemas.microsoft.com/office/drawing/2014/chart" uri="{C3380CC4-5D6E-409C-BE32-E72D297353CC}">
              <c16:uniqueId val="{0000000D-71E9-4DDF-9D0C-502012FEA07B}"/>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LCIA_CC!$R$25</c:f>
              <c:strCache>
                <c:ptCount val="1"/>
                <c:pt idx="0">
                  <c:v>Well, energy</c:v>
                </c:pt>
              </c:strCache>
            </c:strRef>
          </c:tx>
          <c:spPr>
            <a:solidFill>
              <a:schemeClr val="accent5">
                <a:lumMod val="75000"/>
              </a:schemeClr>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LCIA_CC!$AA$25:$BA$25</c:f>
              <c:numCache>
                <c:formatCode>0.0</c:formatCode>
                <c:ptCount val="27"/>
                <c:pt idx="0">
                  <c:v>0.35466828669629757</c:v>
                </c:pt>
                <c:pt idx="1">
                  <c:v>0.67381052025490662</c:v>
                </c:pt>
                <c:pt idx="2">
                  <c:v>1.1759789472846638</c:v>
                </c:pt>
                <c:pt idx="3">
                  <c:v>1.5711394885990759</c:v>
                </c:pt>
                <c:pt idx="4">
                  <c:v>5.2131375118990325E-2</c:v>
                </c:pt>
                <c:pt idx="5">
                  <c:v>0.36413018279397469</c:v>
                </c:pt>
                <c:pt idx="6">
                  <c:v>0.42641646676837452</c:v>
                </c:pt>
                <c:pt idx="7">
                  <c:v>0.4557762257588272</c:v>
                </c:pt>
                <c:pt idx="8">
                  <c:v>5.2131375118990325E-2</c:v>
                </c:pt>
                <c:pt idx="9">
                  <c:v>0.67280942849063063</c:v>
                </c:pt>
                <c:pt idx="10">
                  <c:v>0.82359221210708622</c:v>
                </c:pt>
                <c:pt idx="11">
                  <c:v>0.36358918838061721</c:v>
                </c:pt>
                <c:pt idx="12">
                  <c:v>0.4450728709738685</c:v>
                </c:pt>
                <c:pt idx="13">
                  <c:v>0.72826036558794938</c:v>
                </c:pt>
                <c:pt idx="14">
                  <c:v>0.21847810967638479</c:v>
                </c:pt>
                <c:pt idx="15">
                  <c:v>0.72717837676123442</c:v>
                </c:pt>
                <c:pt idx="16">
                  <c:v>0.2181535130283703</c:v>
                </c:pt>
                <c:pt idx="17">
                  <c:v>0.89014574194773699</c:v>
                </c:pt>
                <c:pt idx="18">
                  <c:v>0.26704372258432113</c:v>
                </c:pt>
                <c:pt idx="21">
                  <c:v>6.6943431911392848</c:v>
                </c:pt>
                <c:pt idx="22">
                  <c:v>11.683413099130677</c:v>
                </c:pt>
                <c:pt idx="23">
                  <c:v>15.609353997403238</c:v>
                </c:pt>
                <c:pt idx="24">
                  <c:v>3.6176526435844067</c:v>
                </c:pt>
                <c:pt idx="25">
                  <c:v>4.2364701723870901</c:v>
                </c:pt>
                <c:pt idx="26">
                  <c:v>4.5281609323011285</c:v>
                </c:pt>
              </c:numCache>
            </c:numRef>
          </c:val>
          <c:extLst>
            <c:ext xmlns:c16="http://schemas.microsoft.com/office/drawing/2014/chart" uri="{C3380CC4-5D6E-409C-BE32-E72D297353CC}">
              <c16:uniqueId val="{00000001-9FC1-4136-B333-366849DF2A28}"/>
            </c:ext>
          </c:extLst>
        </c:ser>
        <c:ser>
          <c:idx val="2"/>
          <c:order val="1"/>
          <c:tx>
            <c:strRef>
              <c:f>LCIA_CC!$R$26</c:f>
              <c:strCache>
                <c:ptCount val="1"/>
                <c:pt idx="0">
                  <c:v>Well, materials</c:v>
                </c:pt>
              </c:strCache>
            </c:strRef>
          </c:tx>
          <c:spPr>
            <a:solidFill>
              <a:schemeClr val="accent3"/>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LCIA_CC!$AA$26:$BA$26</c:f>
              <c:numCache>
                <c:formatCode>0.0</c:formatCode>
                <c:ptCount val="27"/>
                <c:pt idx="0">
                  <c:v>5.4317766024695215</c:v>
                </c:pt>
                <c:pt idx="1">
                  <c:v>4.5327309595490508</c:v>
                </c:pt>
                <c:pt idx="2">
                  <c:v>4.1761279846845172</c:v>
                </c:pt>
                <c:pt idx="3">
                  <c:v>3.8109201580160024</c:v>
                </c:pt>
                <c:pt idx="4">
                  <c:v>4.5327309595490508</c:v>
                </c:pt>
                <c:pt idx="5">
                  <c:v>4.3789617934211797</c:v>
                </c:pt>
                <c:pt idx="6">
                  <c:v>3.4578894823553656</c:v>
                </c:pt>
                <c:pt idx="7">
                  <c:v>2.9245153541172488</c:v>
                </c:pt>
                <c:pt idx="8">
                  <c:v>4.3789617934211797</c:v>
                </c:pt>
                <c:pt idx="9">
                  <c:v>3.632313655650361</c:v>
                </c:pt>
                <c:pt idx="10">
                  <c:v>7.7974293245685589</c:v>
                </c:pt>
                <c:pt idx="11">
                  <c:v>3.5071036121271848</c:v>
                </c:pt>
                <c:pt idx="12">
                  <c:v>7.5638251166597055</c:v>
                </c:pt>
                <c:pt idx="13">
                  <c:v>8.7579235868423595</c:v>
                </c:pt>
                <c:pt idx="14">
                  <c:v>2.6273770760527078</c:v>
                </c:pt>
                <c:pt idx="15">
                  <c:v>7.0142072242543696</c:v>
                </c:pt>
                <c:pt idx="16">
                  <c:v>2.1042621672763109</c:v>
                </c:pt>
                <c:pt idx="17">
                  <c:v>15.127650233319411</c:v>
                </c:pt>
                <c:pt idx="18">
                  <c:v>4.5382950699958231</c:v>
                </c:pt>
                <c:pt idx="21">
                  <c:v>4.5327309595490508</c:v>
                </c:pt>
                <c:pt idx="22">
                  <c:v>4.1761279846845172</c:v>
                </c:pt>
                <c:pt idx="23">
                  <c:v>3.8109201580160024</c:v>
                </c:pt>
                <c:pt idx="24">
                  <c:v>4.3789617934211797</c:v>
                </c:pt>
                <c:pt idx="25">
                  <c:v>3.4578894823553656</c:v>
                </c:pt>
                <c:pt idx="26">
                  <c:v>2.9245153541172488</c:v>
                </c:pt>
              </c:numCache>
            </c:numRef>
          </c:val>
          <c:extLst>
            <c:ext xmlns:c16="http://schemas.microsoft.com/office/drawing/2014/chart" uri="{C3380CC4-5D6E-409C-BE32-E72D297353CC}">
              <c16:uniqueId val="{00000002-9FC1-4136-B333-366849DF2A28}"/>
            </c:ext>
          </c:extLst>
        </c:ser>
        <c:ser>
          <c:idx val="3"/>
          <c:order val="2"/>
          <c:tx>
            <c:strRef>
              <c:f>LCIA_CC!$R$27</c:f>
              <c:strCache>
                <c:ptCount val="1"/>
                <c:pt idx="0">
                  <c:v>Drilling rig</c:v>
                </c:pt>
              </c:strCache>
            </c:strRef>
          </c:tx>
          <c:spPr>
            <a:solidFill>
              <a:schemeClr val="accent2">
                <a:lumMod val="75000"/>
              </a:schemeClr>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LCIA_CC!$AA$27:$BA$27</c:f>
              <c:numCache>
                <c:formatCode>0.0</c:formatCode>
                <c:ptCount val="27"/>
                <c:pt idx="0">
                  <c:v>2.0111419030359672</c:v>
                </c:pt>
                <c:pt idx="1">
                  <c:v>1.8608747326563153</c:v>
                </c:pt>
                <c:pt idx="2">
                  <c:v>1.7474134058461779</c:v>
                </c:pt>
                <c:pt idx="3">
                  <c:v>1.6836276757646669</c:v>
                </c:pt>
                <c:pt idx="4">
                  <c:v>1.8608747326563153</c:v>
                </c:pt>
                <c:pt idx="5">
                  <c:v>1.6831849078602772</c:v>
                </c:pt>
                <c:pt idx="6">
                  <c:v>1.3111298808283387</c:v>
                </c:pt>
                <c:pt idx="7">
                  <c:v>1.0917237401074151</c:v>
                </c:pt>
                <c:pt idx="8">
                  <c:v>1.6831849078602772</c:v>
                </c:pt>
                <c:pt idx="9">
                  <c:v>1.8608747326563153</c:v>
                </c:pt>
                <c:pt idx="10">
                  <c:v>1.8608747326563153</c:v>
                </c:pt>
                <c:pt idx="11">
                  <c:v>1.6831849078602772</c:v>
                </c:pt>
                <c:pt idx="12">
                  <c:v>1.6831849078602772</c:v>
                </c:pt>
                <c:pt idx="13">
                  <c:v>3.3663698157205544</c:v>
                </c:pt>
                <c:pt idx="14">
                  <c:v>1.0099109447161663</c:v>
                </c:pt>
                <c:pt idx="15">
                  <c:v>3.3663698157205544</c:v>
                </c:pt>
                <c:pt idx="16">
                  <c:v>1.0099109447161663</c:v>
                </c:pt>
                <c:pt idx="17">
                  <c:v>3.3663698157205544</c:v>
                </c:pt>
                <c:pt idx="18">
                  <c:v>1.0099109447161663</c:v>
                </c:pt>
                <c:pt idx="21">
                  <c:v>1.8608747326563153</c:v>
                </c:pt>
                <c:pt idx="22">
                  <c:v>1.7474134058461779</c:v>
                </c:pt>
                <c:pt idx="23">
                  <c:v>1.6836276757646669</c:v>
                </c:pt>
                <c:pt idx="24">
                  <c:v>1.6831849078602772</c:v>
                </c:pt>
                <c:pt idx="25">
                  <c:v>1.3111298808283387</c:v>
                </c:pt>
                <c:pt idx="26">
                  <c:v>1.0917237401074151</c:v>
                </c:pt>
              </c:numCache>
            </c:numRef>
          </c:val>
          <c:extLst>
            <c:ext xmlns:c16="http://schemas.microsoft.com/office/drawing/2014/chart" uri="{C3380CC4-5D6E-409C-BE32-E72D297353CC}">
              <c16:uniqueId val="{00000003-9FC1-4136-B333-366849DF2A28}"/>
            </c:ext>
          </c:extLst>
        </c:ser>
        <c:ser>
          <c:idx val="4"/>
          <c:order val="3"/>
          <c:tx>
            <c:strRef>
              <c:f>LCIA_CC!$R$28</c:f>
              <c:strCache>
                <c:ptCount val="1"/>
                <c:pt idx="0">
                  <c:v>CO2 supply</c:v>
                </c:pt>
              </c:strCache>
            </c:strRef>
          </c:tx>
          <c:spPr>
            <a:solidFill>
              <a:srgbClr val="00B050"/>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LCIA_CC!$AA$28:$BA$28</c:f>
              <c:numCache>
                <c:formatCode>0.0</c:formatCode>
                <c:ptCount val="27"/>
                <c:pt idx="0">
                  <c:v>4.4707302332079618E-2</c:v>
                </c:pt>
                <c:pt idx="1">
                  <c:v>4.5473369187954443E-2</c:v>
                </c:pt>
                <c:pt idx="2">
                  <c:v>4.8524265616520616E-2</c:v>
                </c:pt>
                <c:pt idx="3">
                  <c:v>5.110319931302934E-2</c:v>
                </c:pt>
                <c:pt idx="4">
                  <c:v>4.5473369187954443E-2</c:v>
                </c:pt>
                <c:pt idx="5">
                  <c:v>3.7453912269780898E-2</c:v>
                </c:pt>
                <c:pt idx="6">
                  <c:v>3.2936832630831032E-2</c:v>
                </c:pt>
                <c:pt idx="7">
                  <c:v>3.0698475954394233E-2</c:v>
                </c:pt>
                <c:pt idx="8">
                  <c:v>3.7453912269780898E-2</c:v>
                </c:pt>
                <c:pt idx="9">
                  <c:v>4.3829357286726885E-2</c:v>
                </c:pt>
                <c:pt idx="10">
                  <c:v>7.5284784996880946E-2</c:v>
                </c:pt>
                <c:pt idx="11">
                  <c:v>3.6099830119752666E-2</c:v>
                </c:pt>
                <c:pt idx="12">
                  <c:v>6.2007935256959502E-2</c:v>
                </c:pt>
                <c:pt idx="13">
                  <c:v>7.4907824539561796E-2</c:v>
                </c:pt>
                <c:pt idx="14">
                  <c:v>2.2472347361868535E-2</c:v>
                </c:pt>
                <c:pt idx="15">
                  <c:v>7.2199660239505331E-2</c:v>
                </c:pt>
                <c:pt idx="16">
                  <c:v>2.1659898071851605E-2</c:v>
                </c:pt>
                <c:pt idx="17">
                  <c:v>0.124015870513919</c:v>
                </c:pt>
                <c:pt idx="18">
                  <c:v>3.7204761154175703E-2</c:v>
                </c:pt>
                <c:pt idx="21">
                  <c:v>4.5473369187954443E-2</c:v>
                </c:pt>
                <c:pt idx="22">
                  <c:v>4.8524265616520616E-2</c:v>
                </c:pt>
                <c:pt idx="23">
                  <c:v>5.110319931302934E-2</c:v>
                </c:pt>
                <c:pt idx="24">
                  <c:v>3.7453912269780898E-2</c:v>
                </c:pt>
                <c:pt idx="25">
                  <c:v>3.2936832630831032E-2</c:v>
                </c:pt>
                <c:pt idx="26">
                  <c:v>3.0698475954394233E-2</c:v>
                </c:pt>
              </c:numCache>
            </c:numRef>
          </c:val>
          <c:extLst>
            <c:ext xmlns:c16="http://schemas.microsoft.com/office/drawing/2014/chart" uri="{C3380CC4-5D6E-409C-BE32-E72D297353CC}">
              <c16:uniqueId val="{00000004-9FC1-4136-B333-366849DF2A28}"/>
            </c:ext>
          </c:extLst>
        </c:ser>
        <c:ser>
          <c:idx val="5"/>
          <c:order val="4"/>
          <c:tx>
            <c:strRef>
              <c:f>LCIA_CC!$R$29</c:f>
              <c:strCache>
                <c:ptCount val="1"/>
                <c:pt idx="0">
                  <c:v>Surface plant</c:v>
                </c:pt>
              </c:strCache>
            </c:strRef>
          </c:tx>
          <c:spPr>
            <a:solidFill>
              <a:srgbClr val="FFFF00"/>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LCIA_CC!$AA$29:$BA$29</c:f>
              <c:numCache>
                <c:formatCode>0.0</c:formatCode>
                <c:ptCount val="27"/>
                <c:pt idx="0">
                  <c:v>0.22396299330595257</c:v>
                </c:pt>
                <c:pt idx="1">
                  <c:v>0.15851695986181216</c:v>
                </c:pt>
                <c:pt idx="2">
                  <c:v>0.14370152279940604</c:v>
                </c:pt>
                <c:pt idx="3">
                  <c:v>0.13632829357682796</c:v>
                </c:pt>
                <c:pt idx="4">
                  <c:v>0.15851695986181216</c:v>
                </c:pt>
                <c:pt idx="5">
                  <c:v>0.14195722002769462</c:v>
                </c:pt>
                <c:pt idx="6">
                  <c:v>0.11067782437403337</c:v>
                </c:pt>
                <c:pt idx="7">
                  <c:v>9.44203936660057E-2</c:v>
                </c:pt>
                <c:pt idx="8">
                  <c:v>0.14195722002769462</c:v>
                </c:pt>
                <c:pt idx="9">
                  <c:v>0.15851695986181216</c:v>
                </c:pt>
                <c:pt idx="10">
                  <c:v>0.15851695986181216</c:v>
                </c:pt>
                <c:pt idx="11">
                  <c:v>0.14195722002769462</c:v>
                </c:pt>
                <c:pt idx="12">
                  <c:v>0.14195722002769462</c:v>
                </c:pt>
                <c:pt idx="13">
                  <c:v>0.28391444005538924</c:v>
                </c:pt>
                <c:pt idx="14">
                  <c:v>8.5174332016616769E-2</c:v>
                </c:pt>
                <c:pt idx="15">
                  <c:v>0.28391444005538924</c:v>
                </c:pt>
                <c:pt idx="16">
                  <c:v>8.5174332016616769E-2</c:v>
                </c:pt>
                <c:pt idx="17">
                  <c:v>0.28391444005538924</c:v>
                </c:pt>
                <c:pt idx="18">
                  <c:v>8.5174332016616769E-2</c:v>
                </c:pt>
                <c:pt idx="21">
                  <c:v>0.15851695986181216</c:v>
                </c:pt>
                <c:pt idx="22">
                  <c:v>0.14370152279940604</c:v>
                </c:pt>
                <c:pt idx="23">
                  <c:v>0.13632829357682796</c:v>
                </c:pt>
                <c:pt idx="24">
                  <c:v>0.14195722002769462</c:v>
                </c:pt>
                <c:pt idx="25">
                  <c:v>0.11067782437403337</c:v>
                </c:pt>
                <c:pt idx="26">
                  <c:v>9.44203936660057E-2</c:v>
                </c:pt>
              </c:numCache>
            </c:numRef>
          </c:val>
          <c:extLst>
            <c:ext xmlns:c16="http://schemas.microsoft.com/office/drawing/2014/chart" uri="{C3380CC4-5D6E-409C-BE32-E72D297353CC}">
              <c16:uniqueId val="{00000005-9FC1-4136-B333-366849DF2A28}"/>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LCIA_CC!$AA$25:$BA$25</c15:sqref>
                  </c15:fullRef>
                </c:ext>
              </c:extLst>
              <c:f>(LCIA_CC!$AB$25,LCIA_CC!$AE$25:$AF$25,LCIA_CC!$AI$25:$AU$25)</c:f>
              <c:numCache>
                <c:formatCode>0.0</c:formatCode>
                <c:ptCount val="16"/>
                <c:pt idx="0">
                  <c:v>0.67381052025490662</c:v>
                </c:pt>
                <c:pt idx="1">
                  <c:v>5.2131375118990325E-2</c:v>
                </c:pt>
                <c:pt idx="2">
                  <c:v>0.36413018279397469</c:v>
                </c:pt>
                <c:pt idx="3">
                  <c:v>5.2131375118990325E-2</c:v>
                </c:pt>
                <c:pt idx="4">
                  <c:v>0.67280942849063063</c:v>
                </c:pt>
                <c:pt idx="5">
                  <c:v>0.82359221210708622</c:v>
                </c:pt>
                <c:pt idx="6">
                  <c:v>0.36358918838061721</c:v>
                </c:pt>
                <c:pt idx="7">
                  <c:v>0.4450728709738685</c:v>
                </c:pt>
                <c:pt idx="8">
                  <c:v>0.72826036558794938</c:v>
                </c:pt>
                <c:pt idx="9">
                  <c:v>0.21847810967638479</c:v>
                </c:pt>
                <c:pt idx="10">
                  <c:v>0.72717837676123442</c:v>
                </c:pt>
                <c:pt idx="11">
                  <c:v>0.2181535130283703</c:v>
                </c:pt>
                <c:pt idx="12">
                  <c:v>0.89014574194773699</c:v>
                </c:pt>
                <c:pt idx="13">
                  <c:v>0.26704372258432113</c:v>
                </c:pt>
              </c:numCache>
            </c:numRef>
          </c:val>
          <c:extLst>
            <c:ext xmlns:c16="http://schemas.microsoft.com/office/drawing/2014/chart" uri="{C3380CC4-5D6E-409C-BE32-E72D297353CC}">
              <c16:uniqueId val="{00000000-1D70-45F2-A589-B34EE9EF619E}"/>
            </c:ext>
          </c:extLst>
        </c:ser>
        <c:ser>
          <c:idx val="2"/>
          <c:order val="1"/>
          <c:tx>
            <c:strRef>
              <c:f>LCIA_CC!$R$26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LCIA_CC!$AA$26:$BA$26</c15:sqref>
                  </c15:fullRef>
                </c:ext>
              </c:extLst>
              <c:f>(LCIA_CC!$AB$26,LCIA_CC!$AE$26:$AF$26,LCIA_CC!$AI$26:$AU$26)</c:f>
              <c:numCache>
                <c:formatCode>0.0</c:formatCode>
                <c:ptCount val="16"/>
                <c:pt idx="0">
                  <c:v>4.5327309595490508</c:v>
                </c:pt>
                <c:pt idx="1">
                  <c:v>4.5327309595490508</c:v>
                </c:pt>
                <c:pt idx="2">
                  <c:v>4.3789617934211797</c:v>
                </c:pt>
                <c:pt idx="3">
                  <c:v>4.3789617934211797</c:v>
                </c:pt>
                <c:pt idx="4">
                  <c:v>3.632313655650361</c:v>
                </c:pt>
                <c:pt idx="5">
                  <c:v>7.7974293245685589</c:v>
                </c:pt>
                <c:pt idx="6">
                  <c:v>3.5071036121271848</c:v>
                </c:pt>
                <c:pt idx="7">
                  <c:v>7.5638251166597055</c:v>
                </c:pt>
                <c:pt idx="8">
                  <c:v>8.7579235868423595</c:v>
                </c:pt>
                <c:pt idx="9">
                  <c:v>2.6273770760527078</c:v>
                </c:pt>
                <c:pt idx="10">
                  <c:v>7.0142072242543696</c:v>
                </c:pt>
                <c:pt idx="11">
                  <c:v>2.1042621672763109</c:v>
                </c:pt>
                <c:pt idx="12">
                  <c:v>15.127650233319411</c:v>
                </c:pt>
                <c:pt idx="13">
                  <c:v>4.5382950699958231</c:v>
                </c:pt>
              </c:numCache>
            </c:numRef>
          </c:val>
          <c:extLst>
            <c:ext xmlns:c16="http://schemas.microsoft.com/office/drawing/2014/chart" uri="{C3380CC4-5D6E-409C-BE32-E72D297353CC}">
              <c16:uniqueId val="{00000001-1D70-45F2-A589-B34EE9EF619E}"/>
            </c:ext>
          </c:extLst>
        </c:ser>
        <c:ser>
          <c:idx val="3"/>
          <c:order val="2"/>
          <c:tx>
            <c:strRef>
              <c:f>LCIA_CC!$R$27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LCIA_CC!$AA$27:$BA$27</c15:sqref>
                  </c15:fullRef>
                </c:ext>
              </c:extLst>
              <c:f>(LCIA_CC!$AB$27,LCIA_CC!$AE$27:$AF$27,LCIA_CC!$AI$27:$AU$27)</c:f>
              <c:numCache>
                <c:formatCode>0.0</c:formatCode>
                <c:ptCount val="16"/>
                <c:pt idx="0">
                  <c:v>1.8608747326563153</c:v>
                </c:pt>
                <c:pt idx="1">
                  <c:v>1.8608747326563153</c:v>
                </c:pt>
                <c:pt idx="2">
                  <c:v>1.6831849078602772</c:v>
                </c:pt>
                <c:pt idx="3">
                  <c:v>1.6831849078602772</c:v>
                </c:pt>
                <c:pt idx="4">
                  <c:v>1.8608747326563153</c:v>
                </c:pt>
                <c:pt idx="5">
                  <c:v>1.8608747326563153</c:v>
                </c:pt>
                <c:pt idx="6">
                  <c:v>1.6831849078602772</c:v>
                </c:pt>
                <c:pt idx="7">
                  <c:v>1.6831849078602772</c:v>
                </c:pt>
                <c:pt idx="8">
                  <c:v>3.3663698157205544</c:v>
                </c:pt>
                <c:pt idx="9">
                  <c:v>1.0099109447161663</c:v>
                </c:pt>
                <c:pt idx="10">
                  <c:v>3.3663698157205544</c:v>
                </c:pt>
                <c:pt idx="11">
                  <c:v>1.0099109447161663</c:v>
                </c:pt>
                <c:pt idx="12">
                  <c:v>3.3663698157205544</c:v>
                </c:pt>
                <c:pt idx="13">
                  <c:v>1.0099109447161663</c:v>
                </c:pt>
              </c:numCache>
            </c:numRef>
          </c:val>
          <c:extLst>
            <c:ext xmlns:c16="http://schemas.microsoft.com/office/drawing/2014/chart" uri="{C3380CC4-5D6E-409C-BE32-E72D297353CC}">
              <c16:uniqueId val="{00000002-1D70-45F2-A589-B34EE9EF619E}"/>
            </c:ext>
          </c:extLst>
        </c:ser>
        <c:ser>
          <c:idx val="4"/>
          <c:order val="3"/>
          <c:tx>
            <c:strRef>
              <c:f>LCIA_CC!$R$28</c:f>
              <c:strCache>
                <c:ptCount val="1"/>
                <c:pt idx="0">
                  <c:v>CO2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LCIA_CC!$AA$28:$BA$28</c15:sqref>
                  </c15:fullRef>
                </c:ext>
              </c:extLst>
              <c:f>(LCIA_CC!$AB$28,LCIA_CC!$AE$28:$AF$28,LCIA_CC!$AI$28:$AU$28)</c:f>
              <c:numCache>
                <c:formatCode>0.0</c:formatCode>
                <c:ptCount val="16"/>
                <c:pt idx="0">
                  <c:v>4.5473369187954443E-2</c:v>
                </c:pt>
                <c:pt idx="1">
                  <c:v>4.5473369187954443E-2</c:v>
                </c:pt>
                <c:pt idx="2">
                  <c:v>3.7453912269780898E-2</c:v>
                </c:pt>
                <c:pt idx="3">
                  <c:v>3.7453912269780898E-2</c:v>
                </c:pt>
                <c:pt idx="4">
                  <c:v>4.3829357286726885E-2</c:v>
                </c:pt>
                <c:pt idx="5">
                  <c:v>7.5284784996880946E-2</c:v>
                </c:pt>
                <c:pt idx="6">
                  <c:v>3.6099830119752666E-2</c:v>
                </c:pt>
                <c:pt idx="7">
                  <c:v>6.2007935256959502E-2</c:v>
                </c:pt>
                <c:pt idx="8">
                  <c:v>7.4907824539561796E-2</c:v>
                </c:pt>
                <c:pt idx="9">
                  <c:v>2.2472347361868535E-2</c:v>
                </c:pt>
                <c:pt idx="10">
                  <c:v>7.2199660239505331E-2</c:v>
                </c:pt>
                <c:pt idx="11">
                  <c:v>2.1659898071851605E-2</c:v>
                </c:pt>
                <c:pt idx="12">
                  <c:v>0.124015870513919</c:v>
                </c:pt>
                <c:pt idx="13">
                  <c:v>3.7204761154175703E-2</c:v>
                </c:pt>
              </c:numCache>
            </c:numRef>
          </c:val>
          <c:extLst>
            <c:ext xmlns:c16="http://schemas.microsoft.com/office/drawing/2014/chart" uri="{C3380CC4-5D6E-409C-BE32-E72D297353CC}">
              <c16:uniqueId val="{00000003-1D70-45F2-A589-B34EE9EF619E}"/>
            </c:ext>
          </c:extLst>
        </c:ser>
        <c:ser>
          <c:idx val="5"/>
          <c:order val="4"/>
          <c:tx>
            <c:strRef>
              <c:f>LCIA_CC!$R$29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LCIA_CC!$AA$29:$BA$29</c15:sqref>
                  </c15:fullRef>
                </c:ext>
              </c:extLst>
              <c:f>(LCIA_CC!$AB$29,LCIA_CC!$AE$29:$AF$29,LCIA_CC!$AI$29:$AU$29)</c:f>
              <c:numCache>
                <c:formatCode>0.0</c:formatCode>
                <c:ptCount val="16"/>
                <c:pt idx="0">
                  <c:v>0.15851695986181216</c:v>
                </c:pt>
                <c:pt idx="1">
                  <c:v>0.15851695986181216</c:v>
                </c:pt>
                <c:pt idx="2">
                  <c:v>0.14195722002769462</c:v>
                </c:pt>
                <c:pt idx="3">
                  <c:v>0.14195722002769462</c:v>
                </c:pt>
                <c:pt idx="4">
                  <c:v>0.15851695986181216</c:v>
                </c:pt>
                <c:pt idx="5">
                  <c:v>0.15851695986181216</c:v>
                </c:pt>
                <c:pt idx="6">
                  <c:v>0.14195722002769462</c:v>
                </c:pt>
                <c:pt idx="7">
                  <c:v>0.14195722002769462</c:v>
                </c:pt>
                <c:pt idx="8">
                  <c:v>0.28391444005538924</c:v>
                </c:pt>
                <c:pt idx="9">
                  <c:v>8.5174332016616769E-2</c:v>
                </c:pt>
                <c:pt idx="10">
                  <c:v>0.28391444005538924</c:v>
                </c:pt>
                <c:pt idx="11">
                  <c:v>8.5174332016616769E-2</c:v>
                </c:pt>
                <c:pt idx="12">
                  <c:v>0.28391444005538924</c:v>
                </c:pt>
                <c:pt idx="13">
                  <c:v>8.5174332016616769E-2</c:v>
                </c:pt>
              </c:numCache>
            </c:numRef>
          </c:val>
          <c:extLst>
            <c:ext xmlns:c16="http://schemas.microsoft.com/office/drawing/2014/chart" uri="{C3380CC4-5D6E-409C-BE32-E72D297353CC}">
              <c16:uniqueId val="{00000004-1D70-45F2-A589-B34EE9EF619E}"/>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LCIA_CC!$AE$55</c:f>
          <c:strCache>
            <c:ptCount val="1"/>
            <c:pt idx="0">
              <c:v>CO2 supply chain climate change impacts</c:v>
            </c:pt>
          </c:strCache>
        </c:strRef>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LCIA_CC!$AD$58</c:f>
              <c:strCache>
                <c:ptCount val="1"/>
                <c:pt idx="0">
                  <c:v>CO₂ capture </c:v>
                </c:pt>
              </c:strCache>
            </c:strRef>
          </c:tx>
          <c:spPr>
            <a:solidFill>
              <a:schemeClr val="accent1"/>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LCIA_CC!$AE$58:$AK$58</c:f>
              <c:numCache>
                <c:formatCode>0.0000</c:formatCode>
                <c:ptCount val="7"/>
                <c:pt idx="0">
                  <c:v>3.4389163918367008E-2</c:v>
                </c:pt>
                <c:pt idx="1">
                  <c:v>2.9714230463765992E-2</c:v>
                </c:pt>
                <c:pt idx="2">
                  <c:v>2.7880965905215008E-2</c:v>
                </c:pt>
                <c:pt idx="3">
                  <c:v>2.6460497486195986E-2</c:v>
                </c:pt>
                <c:pt idx="4">
                  <c:v>2.6917965522209E-2</c:v>
                </c:pt>
                <c:pt idx="5">
                  <c:v>2.4490599379457009E-2</c:v>
                </c:pt>
                <c:pt idx="6">
                  <c:v>2.3718343536768702E-2</c:v>
                </c:pt>
              </c:numCache>
            </c:numRef>
          </c:val>
          <c:extLst>
            <c:ext xmlns:c16="http://schemas.microsoft.com/office/drawing/2014/chart" uri="{C3380CC4-5D6E-409C-BE32-E72D297353CC}">
              <c16:uniqueId val="{00000000-2240-493B-B474-0E8624A8026A}"/>
            </c:ext>
          </c:extLst>
        </c:ser>
        <c:ser>
          <c:idx val="1"/>
          <c:order val="1"/>
          <c:tx>
            <c:strRef>
              <c:f>LCIA_CC!$AD$59</c:f>
              <c:strCache>
                <c:ptCount val="1"/>
                <c:pt idx="0">
                  <c:v>Conditioning</c:v>
                </c:pt>
              </c:strCache>
            </c:strRef>
          </c:tx>
          <c:spPr>
            <a:solidFill>
              <a:schemeClr val="accent2"/>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LCIA_CC!$AE$59:$AK$59</c:f>
              <c:numCache>
                <c:formatCode>0.0000</c:formatCode>
                <c:ptCount val="7"/>
                <c:pt idx="0">
                  <c:v>5.4646023890891418E-3</c:v>
                </c:pt>
                <c:pt idx="1">
                  <c:v>8.3650394231831529E-3</c:v>
                </c:pt>
                <c:pt idx="2">
                  <c:v>1.1751101219046559E-2</c:v>
                </c:pt>
                <c:pt idx="3">
                  <c:v>1.4418262684017538E-2</c:v>
                </c:pt>
                <c:pt idx="4">
                  <c:v>6.186661360758211E-3</c:v>
                </c:pt>
                <c:pt idx="5">
                  <c:v>6.5243711223587977E-3</c:v>
                </c:pt>
                <c:pt idx="6">
                  <c:v>6.6971621446036723E-3</c:v>
                </c:pt>
              </c:numCache>
            </c:numRef>
          </c:val>
          <c:extLst>
            <c:ext xmlns:c16="http://schemas.microsoft.com/office/drawing/2014/chart" uri="{C3380CC4-5D6E-409C-BE32-E72D297353CC}">
              <c16:uniqueId val="{00000001-2240-493B-B474-0E8624A8026A}"/>
            </c:ext>
          </c:extLst>
        </c:ser>
        <c:ser>
          <c:idx val="2"/>
          <c:order val="2"/>
          <c:tx>
            <c:strRef>
              <c:f>LCIA_CC!$AD$60</c:f>
              <c:strCache>
                <c:ptCount val="1"/>
                <c:pt idx="0">
                  <c:v>Storage</c:v>
                </c:pt>
              </c:strCache>
            </c:strRef>
          </c:tx>
          <c:spPr>
            <a:solidFill>
              <a:schemeClr val="accent3"/>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LCIA_CC!$AE$60:$AK$60</c:f>
              <c:numCache>
                <c:formatCode>0.0000</c:formatCode>
                <c:ptCount val="7"/>
                <c:pt idx="0">
                  <c:v>6.2875134828678722E-3</c:v>
                </c:pt>
                <c:pt idx="1">
                  <c:v>5.1651317392265722E-3</c:v>
                </c:pt>
                <c:pt idx="2">
                  <c:v>4.7044526455660499E-3</c:v>
                </c:pt>
                <c:pt idx="3">
                  <c:v>4.3391768461405397E-3</c:v>
                </c:pt>
                <c:pt idx="4">
                  <c:v>4.5272783697521829E-3</c:v>
                </c:pt>
                <c:pt idx="5">
                  <c:v>3.7649665815758099E-3</c:v>
                </c:pt>
                <c:pt idx="6">
                  <c:v>3.551178359880381E-3</c:v>
                </c:pt>
              </c:numCache>
            </c:numRef>
          </c:val>
          <c:extLst>
            <c:ext xmlns:c16="http://schemas.microsoft.com/office/drawing/2014/chart" uri="{C3380CC4-5D6E-409C-BE32-E72D297353CC}">
              <c16:uniqueId val="{00000002-2240-493B-B474-0E8624A8026A}"/>
            </c:ext>
          </c:extLst>
        </c:ser>
        <c:ser>
          <c:idx val="3"/>
          <c:order val="3"/>
          <c:tx>
            <c:strRef>
              <c:f>LCIA_CC!$AD$61</c:f>
              <c:strCache>
                <c:ptCount val="1"/>
                <c:pt idx="0">
                  <c:v>Transport</c:v>
                </c:pt>
              </c:strCache>
            </c:strRef>
          </c:tx>
          <c:spPr>
            <a:solidFill>
              <a:schemeClr val="accent4"/>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LCIA_CC!$AE$61:$AK$61</c:f>
              <c:numCache>
                <c:formatCode>0.0000</c:formatCode>
                <c:ptCount val="7"/>
                <c:pt idx="0">
                  <c:v>2.3855881443869797E-2</c:v>
                </c:pt>
                <c:pt idx="1">
                  <c:v>2.1643794581771798E-2</c:v>
                </c:pt>
                <c:pt idx="2">
                  <c:v>1.8339048602366896E-2</c:v>
                </c:pt>
                <c:pt idx="3">
                  <c:v>1.6008650758087599E-2</c:v>
                </c:pt>
                <c:pt idx="4">
                  <c:v>1.8555273727641403E-2</c:v>
                </c:pt>
                <c:pt idx="5">
                  <c:v>1.3104842395329504E-2</c:v>
                </c:pt>
                <c:pt idx="6">
                  <c:v>9.8256188690552249E-3</c:v>
                </c:pt>
              </c:numCache>
            </c:numRef>
          </c:val>
          <c:extLst>
            <c:ext xmlns:c16="http://schemas.microsoft.com/office/drawing/2014/chart" uri="{C3380CC4-5D6E-409C-BE32-E72D297353CC}">
              <c16:uniqueId val="{00000003-2240-493B-B474-0E8624A8026A}"/>
            </c:ext>
          </c:extLst>
        </c:ser>
        <c:ser>
          <c:idx val="4"/>
          <c:order val="4"/>
          <c:tx>
            <c:strRef>
              <c:f>LCIA_CC!$AD$62</c:f>
              <c:strCache>
                <c:ptCount val="1"/>
                <c:pt idx="0">
                  <c:v>Supercritical</c:v>
                </c:pt>
              </c:strCache>
            </c:strRef>
          </c:tx>
          <c:spPr>
            <a:solidFill>
              <a:schemeClr val="accent5"/>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LCIA_CC!$AE$62:$AK$62</c:f>
              <c:numCache>
                <c:formatCode>0.0000</c:formatCode>
                <c:ptCount val="7"/>
                <c:pt idx="0">
                  <c:v>1.6584060573758969E-3</c:v>
                </c:pt>
                <c:pt idx="1">
                  <c:v>4.8410119656207562E-3</c:v>
                </c:pt>
                <c:pt idx="2">
                  <c:v>8.4488561457447958E-3</c:v>
                </c:pt>
                <c:pt idx="3">
                  <c:v>1.12878989498265E-2</c:v>
                </c:pt>
                <c:pt idx="4">
                  <c:v>2.6161042592247469E-3</c:v>
                </c:pt>
                <c:pt idx="5">
                  <c:v>3.0636019413625287E-3</c:v>
                </c:pt>
                <c:pt idx="6">
                  <c:v>3.2745380136084065E-3</c:v>
                </c:pt>
              </c:numCache>
            </c:numRef>
          </c:val>
          <c:extLst>
            <c:ext xmlns:c16="http://schemas.microsoft.com/office/drawing/2014/chart" uri="{C3380CC4-5D6E-409C-BE32-E72D297353CC}">
              <c16:uniqueId val="{00000004-2240-493B-B474-0E8624A8026A}"/>
            </c:ext>
          </c:extLst>
        </c:ser>
        <c:ser>
          <c:idx val="5"/>
          <c:order val="5"/>
          <c:tx>
            <c:strRef>
              <c:f>LCIA_CC!$AD$63</c:f>
              <c:strCache>
                <c:ptCount val="1"/>
                <c:pt idx="0">
                  <c:v>Injection</c:v>
                </c:pt>
              </c:strCache>
            </c:strRef>
          </c:tx>
          <c:spPr>
            <a:solidFill>
              <a:schemeClr val="accent6"/>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LCIA_CC!$AE$63:$AK$63</c:f>
              <c:numCache>
                <c:formatCode>0.0000</c:formatCode>
                <c:ptCount val="7"/>
                <c:pt idx="0">
                  <c:v>1.658406057375883E-3</c:v>
                </c:pt>
                <c:pt idx="1">
                  <c:v>4.8410119656207562E-3</c:v>
                </c:pt>
                <c:pt idx="2">
                  <c:v>8.4488561457447958E-3</c:v>
                </c:pt>
                <c:pt idx="3">
                  <c:v>1.12878989498265E-2</c:v>
                </c:pt>
                <c:pt idx="4">
                  <c:v>2.6161042592247469E-3</c:v>
                </c:pt>
                <c:pt idx="5">
                  <c:v>3.0636019413625287E-3</c:v>
                </c:pt>
                <c:pt idx="6">
                  <c:v>3.2745380136084135E-3</c:v>
                </c:pt>
              </c:numCache>
            </c:numRef>
          </c:val>
          <c:extLst>
            <c:ext xmlns:c16="http://schemas.microsoft.com/office/drawing/2014/chart" uri="{C3380CC4-5D6E-409C-BE32-E72D297353CC}">
              <c16:uniqueId val="{00000005-2240-493B-B474-0E8624A8026A}"/>
            </c:ext>
          </c:extLst>
        </c:ser>
        <c:dLbls>
          <c:showLegendKey val="0"/>
          <c:showVal val="0"/>
          <c:showCatName val="0"/>
          <c:showSerName val="0"/>
          <c:showPercent val="0"/>
          <c:showBubbleSize val="0"/>
        </c:dLbls>
        <c:gapWidth val="150"/>
        <c:overlap val="100"/>
        <c:axId val="2120261327"/>
        <c:axId val="1154166895"/>
      </c:barChart>
      <c:catAx>
        <c:axId val="212026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154166895"/>
        <c:crosses val="autoZero"/>
        <c:auto val="1"/>
        <c:lblAlgn val="ctr"/>
        <c:lblOffset val="100"/>
        <c:noMultiLvlLbl val="0"/>
      </c:catAx>
      <c:valAx>
        <c:axId val="115416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t>Greenhouse gas emissions
[kg CO₂-eq/kg]</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2120261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LCIA_CC!$B$8:$C$8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LCIA_CC!$AA$8:$BA$8</c15:sqref>
                  </c15:fullRef>
                </c:ext>
              </c:extLst>
              <c:f>(LCIA_CC!$AA$8:$AD$8,LCIA_CC!$AF$8:$AH$8,LCIA_CC!$AT$8:$AU$8)</c:f>
              <c:numCache>
                <c:formatCode>General</c:formatCode>
                <c:ptCount val="9"/>
                <c:pt idx="0">
                  <c:v>7.2373228401919427E-5</c:v>
                </c:pt>
                <c:pt idx="1">
                  <c:v>8.7712153159618319E-5</c:v>
                </c:pt>
                <c:pt idx="2">
                  <c:v>1.5308108501733956E-4</c:v>
                </c:pt>
                <c:pt idx="3">
                  <c:v>2.0452044501619379E-4</c:v>
                </c:pt>
                <c:pt idx="4">
                  <c:v>4.7400035177815779E-5</c:v>
                </c:pt>
                <c:pt idx="5">
                  <c:v>5.5508047616741866E-5</c:v>
                </c:pt>
                <c:pt idx="6">
                  <c:v>5.9329904948868188E-5</c:v>
                </c:pt>
              </c:numCache>
            </c:numRef>
          </c:val>
          <c:extLst>
            <c:ext xmlns:c16="http://schemas.microsoft.com/office/drawing/2014/chart" uri="{C3380CC4-5D6E-409C-BE32-E72D297353CC}">
              <c16:uniqueId val="{00000000-28F8-421C-BD07-FBB9355EC4CC}"/>
            </c:ext>
          </c:extLst>
        </c:ser>
        <c:ser>
          <c:idx val="1"/>
          <c:order val="1"/>
          <c:tx>
            <c:strRef>
              <c:f>LCIA_CC!$B$9:$C$9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LCIA_CC!$AA$9:$BA$9</c15:sqref>
                  </c15:fullRef>
                </c:ext>
              </c:extLst>
              <c:f>(LCIA_CC!$AA$9:$AD$9,LCIA_CC!$AF$9:$AH$9,LCIA_CC!$AT$9:$AU$9)</c:f>
              <c:numCache>
                <c:formatCode>General</c:formatCode>
                <c:ptCount val="9"/>
                <c:pt idx="0">
                  <c:v>2.8229505829437812E-4</c:v>
                </c:pt>
                <c:pt idx="1">
                  <c:v>5.8609836709528826E-4</c:v>
                </c:pt>
                <c:pt idx="2">
                  <c:v>1.0228978622673242E-3</c:v>
                </c:pt>
                <c:pt idx="3">
                  <c:v>1.3666190435828822E-3</c:v>
                </c:pt>
                <c:pt idx="4">
                  <c:v>3.1673014761615886E-4</c:v>
                </c:pt>
                <c:pt idx="5">
                  <c:v>3.7090841915163265E-4</c:v>
                </c:pt>
                <c:pt idx="6">
                  <c:v>3.9644632080995901E-4</c:v>
                </c:pt>
              </c:numCache>
            </c:numRef>
          </c:val>
          <c:extLst>
            <c:ext xmlns:c16="http://schemas.microsoft.com/office/drawing/2014/chart" uri="{C3380CC4-5D6E-409C-BE32-E72D297353CC}">
              <c16:uniqueId val="{00000001-28F8-421C-BD07-FBB9355EC4CC}"/>
            </c:ext>
          </c:extLst>
        </c:ser>
        <c:ser>
          <c:idx val="2"/>
          <c:order val="2"/>
          <c:tx>
            <c:strRef>
              <c:f>LCIA_CC!$B$10:$C$10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LCIA_CC!$AA$10:$BA$10</c15:sqref>
                  </c15:fullRef>
                </c:ext>
              </c:extLst>
              <c:f>(LCIA_CC!$AA$10:$AD$10,LCIA_CC!$AF$10:$AH$10,LCIA_CC!$AT$10:$AU$10)</c:f>
              <c:numCache>
                <c:formatCode>General</c:formatCode>
                <c:ptCount val="9"/>
                <c:pt idx="0">
                  <c:v>4.5968549804395326E-3</c:v>
                </c:pt>
                <c:pt idx="1">
                  <c:v>3.7019200907294067E-3</c:v>
                </c:pt>
                <c:pt idx="2">
                  <c:v>3.3608562416467787E-3</c:v>
                </c:pt>
                <c:pt idx="3">
                  <c:v>3.0044617602192764E-3</c:v>
                </c:pt>
                <c:pt idx="4">
                  <c:v>3.5514121707996772E-3</c:v>
                </c:pt>
                <c:pt idx="5">
                  <c:v>2.7829575390840747E-3</c:v>
                </c:pt>
                <c:pt idx="6">
                  <c:v>2.4300539716541818E-3</c:v>
                </c:pt>
              </c:numCache>
            </c:numRef>
          </c:val>
          <c:extLst>
            <c:ext xmlns:c16="http://schemas.microsoft.com/office/drawing/2014/chart" uri="{C3380CC4-5D6E-409C-BE32-E72D297353CC}">
              <c16:uniqueId val="{00000002-28F8-421C-BD07-FBB9355EC4CC}"/>
            </c:ext>
          </c:extLst>
        </c:ser>
        <c:ser>
          <c:idx val="3"/>
          <c:order val="3"/>
          <c:tx>
            <c:strRef>
              <c:f>LCIA_CC!$B$11:$C$11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LCIA_CC!$AA$11:$BA$11</c15:sqref>
                  </c15:fullRef>
                </c:ext>
              </c:extLst>
              <c:f>(LCIA_CC!$AA$11:$AD$11,LCIA_CC!$AF$11:$AH$11,LCIA_CC!$AT$11:$AU$11)</c:f>
              <c:numCache>
                <c:formatCode>General</c:formatCode>
                <c:ptCount val="9"/>
                <c:pt idx="0">
                  <c:v>8.3489315473123853E-4</c:v>
                </c:pt>
                <c:pt idx="1">
                  <c:v>8.3074801928430372E-4</c:v>
                </c:pt>
                <c:pt idx="2">
                  <c:v>8.1522138792019595E-4</c:v>
                </c:pt>
                <c:pt idx="3">
                  <c:v>8.0642084340208989E-4</c:v>
                </c:pt>
                <c:pt idx="4">
                  <c:v>8.2749084743150817E-4</c:v>
                </c:pt>
                <c:pt idx="5">
                  <c:v>6.7490571030803142E-4</c:v>
                </c:pt>
                <c:pt idx="6">
                  <c:v>4.9444440000928386E-4</c:v>
                </c:pt>
              </c:numCache>
            </c:numRef>
          </c:val>
          <c:extLst>
            <c:ext xmlns:c16="http://schemas.microsoft.com/office/drawing/2014/chart" uri="{C3380CC4-5D6E-409C-BE32-E72D297353CC}">
              <c16:uniqueId val="{00000003-28F8-421C-BD07-FBB9355EC4CC}"/>
            </c:ext>
          </c:extLst>
        </c:ser>
        <c:ser>
          <c:idx val="4"/>
          <c:order val="4"/>
          <c:tx>
            <c:strRef>
              <c:f>LCIA_CC!$B$12:$C$12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LCIA_CC!$AA$12:$BA$12</c15:sqref>
                  </c15:fullRef>
                </c:ext>
              </c:extLst>
              <c:f>(LCIA_CC!$AA$12:$AD$12,LCIA_CC!$AF$12:$AH$12,LCIA_CC!$AT$12:$AU$12)</c:f>
              <c:numCache>
                <c:formatCode>General</c:formatCode>
                <c:ptCount val="9"/>
                <c:pt idx="0">
                  <c:v>2.8467298750352827E-8</c:v>
                </c:pt>
                <c:pt idx="1">
                  <c:v>6.284953534118252E-8</c:v>
                </c:pt>
                <c:pt idx="2">
                  <c:v>5.0355117542444152E-8</c:v>
                </c:pt>
                <c:pt idx="3">
                  <c:v>3.755439463615448E-8</c:v>
                </c:pt>
                <c:pt idx="4">
                  <c:v>5.877518999455008E-8</c:v>
                </c:pt>
                <c:pt idx="5">
                  <c:v>2.6232963259533733E-8</c:v>
                </c:pt>
                <c:pt idx="6">
                  <c:v>1.6982453783291873E-8</c:v>
                </c:pt>
              </c:numCache>
            </c:numRef>
          </c:val>
          <c:extLst>
            <c:ext xmlns:c16="http://schemas.microsoft.com/office/drawing/2014/chart" uri="{C3380CC4-5D6E-409C-BE32-E72D297353CC}">
              <c16:uniqueId val="{00000004-28F8-421C-BD07-FBB9355EC4CC}"/>
            </c:ext>
          </c:extLst>
        </c:ser>
        <c:ser>
          <c:idx val="5"/>
          <c:order val="5"/>
          <c:tx>
            <c:strRef>
              <c:f>LCIA_CC!$B$13:$C$13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LCIA_CC!$AA$13:$BA$13</c15:sqref>
                  </c15:fullRef>
                </c:ext>
              </c:extLst>
              <c:f>(LCIA_CC!$AA$13:$AD$13,LCIA_CC!$AF$13:$AH$13,LCIA_CC!$AT$13:$AU$13)</c:f>
              <c:numCache>
                <c:formatCode>General</c:formatCode>
                <c:ptCount val="9"/>
                <c:pt idx="0">
                  <c:v>2.0111419030359673E-3</c:v>
                </c:pt>
                <c:pt idx="1">
                  <c:v>1.8608747326563154E-3</c:v>
                </c:pt>
                <c:pt idx="2">
                  <c:v>1.7474134058461778E-3</c:v>
                </c:pt>
                <c:pt idx="3">
                  <c:v>1.6836276757646669E-3</c:v>
                </c:pt>
                <c:pt idx="4">
                  <c:v>1.6831849078602771E-3</c:v>
                </c:pt>
                <c:pt idx="5">
                  <c:v>1.3111298808283387E-3</c:v>
                </c:pt>
                <c:pt idx="6">
                  <c:v>1.0917237401074152E-3</c:v>
                </c:pt>
              </c:numCache>
            </c:numRef>
          </c:val>
          <c:extLst>
            <c:ext xmlns:c16="http://schemas.microsoft.com/office/drawing/2014/chart" uri="{C3380CC4-5D6E-409C-BE32-E72D297353CC}">
              <c16:uniqueId val="{00000005-28F8-421C-BD07-FBB9355EC4CC}"/>
            </c:ext>
          </c:extLst>
        </c:ser>
        <c:ser>
          <c:idx val="6"/>
          <c:order val="6"/>
          <c:tx>
            <c:strRef>
              <c:f>LCIA_CC!$B$14:$C$14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LCIA_CC!$AA$14:$BA$14</c15:sqref>
                  </c15:fullRef>
                </c:ext>
              </c:extLst>
              <c:f>(LCIA_CC!$AA$14:$AD$14,LCIA_CC!$AF$14:$AH$14,LCIA_CC!$AT$14:$AU$14)</c:f>
              <c:numCache>
                <c:formatCode>General</c:formatCode>
                <c:ptCount val="9"/>
                <c:pt idx="0">
                  <c:v>2.0970719196028805E-5</c:v>
                </c:pt>
                <c:pt idx="1">
                  <c:v>1.8119916630160139E-5</c:v>
                </c:pt>
                <c:pt idx="2">
                  <c:v>1.7001980865258589E-5</c:v>
                </c:pt>
                <c:pt idx="3">
                  <c:v>1.6135770671466551E-5</c:v>
                </c:pt>
                <c:pt idx="4">
                  <c:v>1.6414737433995601E-5</c:v>
                </c:pt>
                <c:pt idx="5">
                  <c:v>1.4934514946283059E-5</c:v>
                </c:pt>
                <c:pt idx="6">
                  <c:v>1.4463588684075808E-5</c:v>
                </c:pt>
              </c:numCache>
            </c:numRef>
          </c:val>
          <c:extLst>
            <c:ext xmlns:c16="http://schemas.microsoft.com/office/drawing/2014/chart" uri="{C3380CC4-5D6E-409C-BE32-E72D297353CC}">
              <c16:uniqueId val="{00000006-28F8-421C-BD07-FBB9355EC4CC}"/>
            </c:ext>
          </c:extLst>
        </c:ser>
        <c:ser>
          <c:idx val="7"/>
          <c:order val="7"/>
          <c:tx>
            <c:strRef>
              <c:f>LCIA_CC!$B$15:$C$15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LCIA_CC!$AA$15:$BA$15</c15:sqref>
                  </c15:fullRef>
                </c:ext>
              </c:extLst>
              <c:f>(LCIA_CC!$AA$15:$AD$15,LCIA_CC!$AF$15:$AH$15,LCIA_CC!$AT$15:$AU$15)</c:f>
              <c:numCache>
                <c:formatCode>General</c:formatCode>
                <c:ptCount val="9"/>
                <c:pt idx="0">
                  <c:v>3.8341635755804193E-6</c:v>
                </c:pt>
                <c:pt idx="1">
                  <c:v>3.1497284310528184E-6</c:v>
                </c:pt>
                <c:pt idx="2">
                  <c:v>2.8688035462382707E-6</c:v>
                </c:pt>
                <c:pt idx="3">
                  <c:v>2.6460561646200131E-6</c:v>
                </c:pt>
                <c:pt idx="4">
                  <c:v>2.7607616061762165E-6</c:v>
                </c:pt>
                <c:pt idx="5">
                  <c:v>2.2958992882781308E-6</c:v>
                </c:pt>
                <c:pt idx="6">
                  <c:v>2.165529943584679E-6</c:v>
                </c:pt>
              </c:numCache>
            </c:numRef>
          </c:val>
          <c:extLst>
            <c:ext xmlns:c16="http://schemas.microsoft.com/office/drawing/2014/chart" uri="{C3380CC4-5D6E-409C-BE32-E72D297353CC}">
              <c16:uniqueId val="{00000007-28F8-421C-BD07-FBB9355EC4CC}"/>
            </c:ext>
          </c:extLst>
        </c:ser>
        <c:ser>
          <c:idx val="8"/>
          <c:order val="8"/>
          <c:tx>
            <c:strRef>
              <c:f>LCIA_CC!$B$16:$C$16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LCIA_CC!$AA$16:$BA$16</c15:sqref>
                  </c15:fullRef>
                </c:ext>
              </c:extLst>
              <c:f>(LCIA_CC!$AA$16:$AD$16,LCIA_CC!$AF$16:$AH$16,LCIA_CC!$AT$16:$AU$16)</c:f>
              <c:numCache>
                <c:formatCode>General</c:formatCode>
                <c:ptCount val="9"/>
                <c:pt idx="0">
                  <c:v>1.4547460127867614E-5</c:v>
                </c:pt>
                <c:pt idx="1">
                  <c:v>1.3198516241578319E-5</c:v>
                </c:pt>
                <c:pt idx="2">
                  <c:v>1.118326224724404E-5</c:v>
                </c:pt>
                <c:pt idx="3">
                  <c:v>9.7621716117339743E-6</c:v>
                </c:pt>
                <c:pt idx="4">
                  <c:v>1.1315117630411294E-5</c:v>
                </c:pt>
                <c:pt idx="5">
                  <c:v>7.991411789860066E-6</c:v>
                </c:pt>
                <c:pt idx="6">
                  <c:v>5.9917215411017666E-6</c:v>
                </c:pt>
              </c:numCache>
            </c:numRef>
          </c:val>
          <c:extLst>
            <c:ext xmlns:c16="http://schemas.microsoft.com/office/drawing/2014/chart" uri="{C3380CC4-5D6E-409C-BE32-E72D297353CC}">
              <c16:uniqueId val="{00000008-28F8-421C-BD07-FBB9355EC4CC}"/>
            </c:ext>
          </c:extLst>
        </c:ser>
        <c:ser>
          <c:idx val="9"/>
          <c:order val="9"/>
          <c:tx>
            <c:strRef>
              <c:f>LCIA_CC!$B$17:$C$17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LCIA_CC!$AA$17:$BA$17</c15:sqref>
                  </c15:fullRef>
                </c:ext>
              </c:extLst>
              <c:f>(LCIA_CC!$AA$17:$AD$17,LCIA_CC!$AF$17:$AH$17,LCIA_CC!$AT$17:$AU$17)</c:f>
              <c:numCache>
                <c:formatCode>General</c:formatCode>
                <c:ptCount val="9"/>
                <c:pt idx="0">
                  <c:v>4.3436534344465345E-6</c:v>
                </c:pt>
                <c:pt idx="1">
                  <c:v>8.0531296434055222E-6</c:v>
                </c:pt>
                <c:pt idx="2">
                  <c:v>1.2318055614098475E-5</c:v>
                </c:pt>
                <c:pt idx="3">
                  <c:v>1.5675772127253005E-5</c:v>
                </c:pt>
                <c:pt idx="4">
                  <c:v>5.3679794717697487E-6</c:v>
                </c:pt>
                <c:pt idx="5">
                  <c:v>5.8468036982719316E-6</c:v>
                </c:pt>
                <c:pt idx="6">
                  <c:v>6.0808027907062709E-6</c:v>
                </c:pt>
              </c:numCache>
            </c:numRef>
          </c:val>
          <c:extLst>
            <c:ext xmlns:c16="http://schemas.microsoft.com/office/drawing/2014/chart" uri="{C3380CC4-5D6E-409C-BE32-E72D297353CC}">
              <c16:uniqueId val="{00000009-28F8-421C-BD07-FBB9355EC4CC}"/>
            </c:ext>
          </c:extLst>
        </c:ser>
        <c:ser>
          <c:idx val="10"/>
          <c:order val="10"/>
          <c:tx>
            <c:strRef>
              <c:f>LCIA_CC!$B$18:$C$18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LCIA_CC!$AA$18:$BA$18</c15:sqref>
                  </c15:fullRef>
                </c:ext>
              </c:extLst>
              <c:f>(LCIA_CC!$AA$18:$AD$18,LCIA_CC!$AF$18:$AH$18,LCIA_CC!$AT$18:$AU$18)</c:f>
              <c:numCache>
                <c:formatCode>General</c:formatCode>
                <c:ptCount val="9"/>
                <c:pt idx="0">
                  <c:v>1.0113059981562451E-6</c:v>
                </c:pt>
                <c:pt idx="1">
                  <c:v>2.952078241757645E-6</c:v>
                </c:pt>
                <c:pt idx="2">
                  <c:v>5.1521633436812484E-6</c:v>
                </c:pt>
                <c:pt idx="3">
                  <c:v>6.8834287379557941E-6</c:v>
                </c:pt>
                <c:pt idx="4">
                  <c:v>1.5953161274280334E-6</c:v>
                </c:pt>
                <c:pt idx="5">
                  <c:v>1.8682029081378448E-6</c:v>
                </c:pt>
                <c:pt idx="6">
                  <c:v>1.996832994925711E-6</c:v>
                </c:pt>
              </c:numCache>
            </c:numRef>
          </c:val>
          <c:extLst>
            <c:ext xmlns:c16="http://schemas.microsoft.com/office/drawing/2014/chart" uri="{C3380CC4-5D6E-409C-BE32-E72D297353CC}">
              <c16:uniqueId val="{0000000A-28F8-421C-BD07-FBB9355EC4CC}"/>
            </c:ext>
          </c:extLst>
        </c:ser>
        <c:ser>
          <c:idx val="11"/>
          <c:order val="11"/>
          <c:tx>
            <c:strRef>
              <c:f>LCIA_CC!$B$19:$C$19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LCIA_CC!$AA$19:$BA$19</c15:sqref>
                  </c15:fullRef>
                </c:ext>
              </c:extLst>
              <c:f>(LCIA_CC!$AA$19:$AD$19,LCIA_CC!$AF$19:$AH$19,LCIA_CC!$AT$19:$AU$19)</c:f>
              <c:numCache>
                <c:formatCode>General</c:formatCode>
                <c:ptCount val="9"/>
                <c:pt idx="0">
                  <c:v>2.2396299330595257E-4</c:v>
                </c:pt>
                <c:pt idx="1">
                  <c:v>1.5851695986181217E-4</c:v>
                </c:pt>
                <c:pt idx="2">
                  <c:v>1.4370152279940605E-4</c:v>
                </c:pt>
                <c:pt idx="3">
                  <c:v>1.3632829357682795E-4</c:v>
                </c:pt>
                <c:pt idx="4">
                  <c:v>1.4195722002769461E-4</c:v>
                </c:pt>
                <c:pt idx="5">
                  <c:v>1.1067782437403336E-4</c:v>
                </c:pt>
                <c:pt idx="6">
                  <c:v>9.4420393666005698E-5</c:v>
                </c:pt>
              </c:numCache>
            </c:numRef>
          </c:val>
          <c:extLst>
            <c:ext xmlns:c16="http://schemas.microsoft.com/office/drawing/2014/chart" uri="{C3380CC4-5D6E-409C-BE32-E72D297353CC}">
              <c16:uniqueId val="{0000000B-28F8-421C-BD07-FBB9355EC4CC}"/>
            </c:ext>
          </c:extLst>
        </c:ser>
        <c:ser>
          <c:idx val="12"/>
          <c:order val="12"/>
          <c:tx>
            <c:strRef>
              <c:f>LCIA_CC!$B$20:$C$20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LCIA_CC!$AA$20:$BA$20</c15:sqref>
                  </c15:fullRef>
                </c:ext>
              </c:extLst>
              <c:f>(LCIA_CC!$AA$20:$AD$20,LCIA_CC!$AF$20:$AH$20,LCIA_CC!$AT$20:$AU$20)</c:f>
              <c:numCache>
                <c:formatCode>General</c:formatCode>
                <c:ptCount val="9"/>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C-28F8-421C-BD07-FBB9355EC4CC}"/>
            </c:ext>
          </c:extLst>
        </c:ser>
        <c:ser>
          <c:idx val="13"/>
          <c:order val="13"/>
          <c:tx>
            <c:strRef>
              <c:f>LCIA_CC!$B$21:$C$21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LCIA_CC!$AA$6:$BA$7</c:f>
              <c:multiLvlStrCache>
                <c:ptCount val="9"/>
                <c:lvl>
                  <c:pt idx="0">
                    <c:v>2020</c:v>
                  </c:pt>
                  <c:pt idx="1">
                    <c:v>2030</c:v>
                  </c:pt>
                  <c:pt idx="2">
                    <c:v>2040</c:v>
                  </c:pt>
                  <c:pt idx="3">
                    <c:v>2050</c:v>
                  </c:pt>
                  <c:pt idx="4">
                    <c:v>2030</c:v>
                  </c:pt>
                  <c:pt idx="5">
                    <c:v>2040</c:v>
                  </c:pt>
                  <c:pt idx="6">
                    <c:v>2050</c:v>
                  </c:pt>
                </c:lvl>
                <c:lvl>
                  <c:pt idx="0">
                    <c:v>BAU</c:v>
                  </c:pt>
                  <c:pt idx="4">
                    <c:v>LOW</c:v>
                  </c:pt>
                  <c:pt idx="7">
                    <c:v>Capacity factor, 2030 LOW</c:v>
                  </c:pt>
                </c:lvl>
              </c:multiLvlStrCache>
            </c:multiLvlStrRef>
          </c:cat>
          <c:val>
            <c:numRef>
              <c:extLst>
                <c:ext xmlns:c15="http://schemas.microsoft.com/office/drawing/2012/chart" uri="{02D57815-91ED-43cb-92C2-25804820EDAC}">
                  <c15:fullRef>
                    <c15:sqref>LCIA_CC!$AA$21:$BA$21</c15:sqref>
                  </c15:fullRef>
                </c:ext>
              </c:extLst>
              <c:f>(LCIA_CC!$AA$21:$AD$21,LCIA_CC!$AF$21:$AH$21,LCIA_CC!$AT$21:$AU$21)</c:f>
              <c:numCache>
                <c:formatCode>General</c:formatCode>
                <c:ptCount val="9"/>
                <c:pt idx="0">
                  <c:v>5.0830724410525848E-5</c:v>
                </c:pt>
                <c:pt idx="1">
                  <c:v>5.0578356504101619E-5</c:v>
                </c:pt>
                <c:pt idx="2">
                  <c:v>4.9633050011384171E-5</c:v>
                </c:pt>
                <c:pt idx="3">
                  <c:v>4.9097247255633463E-5</c:v>
                </c:pt>
                <c:pt idx="4">
                  <c:v>5.038005040484935E-5</c:v>
                </c:pt>
                <c:pt idx="5">
                  <c:v>4.1090223305042204E-5</c:v>
                </c:pt>
                <c:pt idx="6">
                  <c:v>3.0103213675635297E-5</c:v>
                </c:pt>
              </c:numCache>
            </c:numRef>
          </c:val>
          <c:extLst>
            <c:ext xmlns:c16="http://schemas.microsoft.com/office/drawing/2014/chart" uri="{C3380CC4-5D6E-409C-BE32-E72D297353CC}">
              <c16:uniqueId val="{0000000D-28F8-421C-BD07-FBB9355EC4CC}"/>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861017888"/>
        <c:crosses val="autoZero"/>
        <c:crossBetween val="between"/>
      </c:valAx>
      <c:spPr>
        <a:noFill/>
        <a:ln>
          <a:noFill/>
        </a:ln>
        <a:effectLst/>
      </c:spPr>
    </c:plotArea>
    <c:legend>
      <c:legendPos val="r"/>
      <c:layout>
        <c:manualLayout>
          <c:xMode val="edge"/>
          <c:yMode val="edge"/>
          <c:x val="0.66117352897437753"/>
          <c:y val="0.11970372695448224"/>
          <c:w val="0.32752853876962551"/>
          <c:h val="0.86493103756806833"/>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LCIA_CC!$AA$25:$BA$25</c15:sqref>
                  </c15:fullRef>
                </c:ext>
              </c:extLst>
              <c:f>(LCIA_CC!$AB$25,LCIA_CC!$AD$25,LCIA_CC!$AF$25,LCIA_CC!$AH$25,LCIA_CC!$AT$25:$AV$25,LCIA_CC!$AX$25:$AY$25,LCIA_CC!$BA$25)</c:f>
              <c:numCache>
                <c:formatCode>0.0</c:formatCode>
                <c:ptCount val="10"/>
                <c:pt idx="0">
                  <c:v>0.67381052025490662</c:v>
                </c:pt>
                <c:pt idx="1">
                  <c:v>1.5711394885990759</c:v>
                </c:pt>
                <c:pt idx="2">
                  <c:v>0.36413018279397469</c:v>
                </c:pt>
                <c:pt idx="3">
                  <c:v>0.4557762257588272</c:v>
                </c:pt>
                <c:pt idx="6">
                  <c:v>6.6943431911392848</c:v>
                </c:pt>
                <c:pt idx="7">
                  <c:v>15.609353997403238</c:v>
                </c:pt>
                <c:pt idx="8">
                  <c:v>3.6176526435844067</c:v>
                </c:pt>
                <c:pt idx="9">
                  <c:v>4.5281609323011285</c:v>
                </c:pt>
              </c:numCache>
            </c:numRef>
          </c:val>
          <c:extLst>
            <c:ext xmlns:c16="http://schemas.microsoft.com/office/drawing/2014/chart" uri="{C3380CC4-5D6E-409C-BE32-E72D297353CC}">
              <c16:uniqueId val="{00000000-FA63-4784-A108-D11AF12BC918}"/>
            </c:ext>
          </c:extLst>
        </c:ser>
        <c:ser>
          <c:idx val="2"/>
          <c:order val="1"/>
          <c:tx>
            <c:strRef>
              <c:f>LCIA_CC!$R$26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LCIA_CC!$AA$26:$BA$26</c15:sqref>
                  </c15:fullRef>
                </c:ext>
              </c:extLst>
              <c:f>(LCIA_CC!$AB$26,LCIA_CC!$AD$26,LCIA_CC!$AF$26,LCIA_CC!$AH$26,LCIA_CC!$AT$26:$AV$26,LCIA_CC!$AX$26:$AY$26,LCIA_CC!$BA$26)</c:f>
              <c:numCache>
                <c:formatCode>0.0</c:formatCode>
                <c:ptCount val="10"/>
                <c:pt idx="0">
                  <c:v>4.5327309595490508</c:v>
                </c:pt>
                <c:pt idx="1">
                  <c:v>3.8109201580160024</c:v>
                </c:pt>
                <c:pt idx="2">
                  <c:v>4.3789617934211797</c:v>
                </c:pt>
                <c:pt idx="3">
                  <c:v>2.9245153541172488</c:v>
                </c:pt>
                <c:pt idx="6">
                  <c:v>4.5327309595490508</c:v>
                </c:pt>
                <c:pt idx="7">
                  <c:v>3.8109201580160024</c:v>
                </c:pt>
                <c:pt idx="8">
                  <c:v>4.3789617934211797</c:v>
                </c:pt>
                <c:pt idx="9">
                  <c:v>2.9245153541172488</c:v>
                </c:pt>
              </c:numCache>
            </c:numRef>
          </c:val>
          <c:extLst>
            <c:ext xmlns:c16="http://schemas.microsoft.com/office/drawing/2014/chart" uri="{C3380CC4-5D6E-409C-BE32-E72D297353CC}">
              <c16:uniqueId val="{00000001-FA63-4784-A108-D11AF12BC918}"/>
            </c:ext>
          </c:extLst>
        </c:ser>
        <c:ser>
          <c:idx val="3"/>
          <c:order val="2"/>
          <c:tx>
            <c:strRef>
              <c:f>LCIA_CC!$R$27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LCIA_CC!$AA$27:$BA$27</c15:sqref>
                  </c15:fullRef>
                </c:ext>
              </c:extLst>
              <c:f>(LCIA_CC!$AB$27,LCIA_CC!$AD$27,LCIA_CC!$AF$27,LCIA_CC!$AH$27,LCIA_CC!$AT$27:$AV$27,LCIA_CC!$AX$27:$AY$27,LCIA_CC!$BA$27)</c:f>
              <c:numCache>
                <c:formatCode>0.0</c:formatCode>
                <c:ptCount val="10"/>
                <c:pt idx="0">
                  <c:v>1.8608747326563153</c:v>
                </c:pt>
                <c:pt idx="1">
                  <c:v>1.6836276757646669</c:v>
                </c:pt>
                <c:pt idx="2">
                  <c:v>1.6831849078602772</c:v>
                </c:pt>
                <c:pt idx="3">
                  <c:v>1.0917237401074151</c:v>
                </c:pt>
                <c:pt idx="6">
                  <c:v>1.8608747326563153</c:v>
                </c:pt>
                <c:pt idx="7">
                  <c:v>1.6836276757646669</c:v>
                </c:pt>
                <c:pt idx="8">
                  <c:v>1.6831849078602772</c:v>
                </c:pt>
                <c:pt idx="9">
                  <c:v>1.0917237401074151</c:v>
                </c:pt>
              </c:numCache>
            </c:numRef>
          </c:val>
          <c:extLst>
            <c:ext xmlns:c16="http://schemas.microsoft.com/office/drawing/2014/chart" uri="{C3380CC4-5D6E-409C-BE32-E72D297353CC}">
              <c16:uniqueId val="{00000002-FA63-4784-A108-D11AF12BC918}"/>
            </c:ext>
          </c:extLst>
        </c:ser>
        <c:ser>
          <c:idx val="4"/>
          <c:order val="3"/>
          <c:tx>
            <c:strRef>
              <c:f>LCIA_CC!$R$28</c:f>
              <c:strCache>
                <c:ptCount val="1"/>
                <c:pt idx="0">
                  <c:v>CO2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LCIA_CC!$AA$28:$BA$28</c15:sqref>
                  </c15:fullRef>
                </c:ext>
              </c:extLst>
              <c:f>(LCIA_CC!$AB$28,LCIA_CC!$AD$28,LCIA_CC!$AF$28,LCIA_CC!$AH$28,LCIA_CC!$AT$28:$AV$28,LCIA_CC!$AX$28:$AY$28,LCIA_CC!$BA$28)</c:f>
              <c:numCache>
                <c:formatCode>0.0</c:formatCode>
                <c:ptCount val="10"/>
                <c:pt idx="0">
                  <c:v>4.5473369187954443E-2</c:v>
                </c:pt>
                <c:pt idx="1">
                  <c:v>5.110319931302934E-2</c:v>
                </c:pt>
                <c:pt idx="2">
                  <c:v>3.7453912269780898E-2</c:v>
                </c:pt>
                <c:pt idx="3">
                  <c:v>3.0698475954394233E-2</c:v>
                </c:pt>
                <c:pt idx="6">
                  <c:v>4.5473369187954443E-2</c:v>
                </c:pt>
                <c:pt idx="7">
                  <c:v>5.110319931302934E-2</c:v>
                </c:pt>
                <c:pt idx="8">
                  <c:v>3.7453912269780898E-2</c:v>
                </c:pt>
                <c:pt idx="9">
                  <c:v>3.0698475954394233E-2</c:v>
                </c:pt>
              </c:numCache>
            </c:numRef>
          </c:val>
          <c:extLst>
            <c:ext xmlns:c16="http://schemas.microsoft.com/office/drawing/2014/chart" uri="{C3380CC4-5D6E-409C-BE32-E72D297353CC}">
              <c16:uniqueId val="{00000003-FA63-4784-A108-D11AF12BC918}"/>
            </c:ext>
          </c:extLst>
        </c:ser>
        <c:ser>
          <c:idx val="5"/>
          <c:order val="4"/>
          <c:tx>
            <c:strRef>
              <c:f>LCIA_CC!$R$29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LCIA_CC!$AA$29:$BA$29</c15:sqref>
                  </c15:fullRef>
                </c:ext>
              </c:extLst>
              <c:f>(LCIA_CC!$AB$29,LCIA_CC!$AD$29,LCIA_CC!$AF$29,LCIA_CC!$AH$29,LCIA_CC!$AT$29:$AV$29,LCIA_CC!$AX$29:$AY$29,LCIA_CC!$BA$29)</c:f>
              <c:numCache>
                <c:formatCode>0.0</c:formatCode>
                <c:ptCount val="10"/>
                <c:pt idx="0">
                  <c:v>0.15851695986181216</c:v>
                </c:pt>
                <c:pt idx="1">
                  <c:v>0.13632829357682796</c:v>
                </c:pt>
                <c:pt idx="2">
                  <c:v>0.14195722002769462</c:v>
                </c:pt>
                <c:pt idx="3">
                  <c:v>9.44203936660057E-2</c:v>
                </c:pt>
                <c:pt idx="6">
                  <c:v>0.15851695986181216</c:v>
                </c:pt>
                <c:pt idx="7">
                  <c:v>0.13632829357682796</c:v>
                </c:pt>
                <c:pt idx="8">
                  <c:v>0.14195722002769462</c:v>
                </c:pt>
                <c:pt idx="9">
                  <c:v>9.44203936660057E-2</c:v>
                </c:pt>
              </c:numCache>
            </c:numRef>
          </c:val>
          <c:extLst>
            <c:ext xmlns:c16="http://schemas.microsoft.com/office/drawing/2014/chart" uri="{C3380CC4-5D6E-409C-BE32-E72D297353CC}">
              <c16:uniqueId val="{00000004-FA63-4784-A108-D11AF12BC918}"/>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stacked"/>
        <c:varyColors val="0"/>
        <c:ser>
          <c:idx val="0"/>
          <c:order val="0"/>
          <c:tx>
            <c:strRef>
              <c:f>LCIA_CC!$B$8:$C$8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LCIA_CC!$AA$8:$BA$8</c15:sqref>
                  </c15:fullRef>
                </c:ext>
              </c:extLst>
              <c:f>(LCIA_CC!$AB$8,LCIA_CC!$AD$8:$AF$8,LCIA_CC!$AH$8:$AV$8,LCIA_CC!$AX$8:$AY$8,LCIA_CC!$BA$8)</c:f>
              <c:numCache>
                <c:formatCode>General</c:formatCode>
                <c:ptCount val="22"/>
                <c:pt idx="0">
                  <c:v>8.7712153159618319E-5</c:v>
                </c:pt>
                <c:pt idx="1">
                  <c:v>2.0452044501619379E-4</c:v>
                </c:pt>
                <c:pt idx="2">
                  <c:v>6.7861142285646869E-6</c:v>
                </c:pt>
                <c:pt idx="3">
                  <c:v>4.7400035177815779E-5</c:v>
                </c:pt>
                <c:pt idx="4">
                  <c:v>5.9329904948868188E-5</c:v>
                </c:pt>
                <c:pt idx="5">
                  <c:v>6.7861142285646869E-6</c:v>
                </c:pt>
                <c:pt idx="6">
                  <c:v>8.6711061395342278E-5</c:v>
                </c:pt>
                <c:pt idx="7">
                  <c:v>2.3749384501179797E-4</c:v>
                </c:pt>
                <c:pt idx="8">
                  <c:v>4.685904076445833E-5</c:v>
                </c:pt>
                <c:pt idx="9">
                  <c:v>1.2834272335770965E-4</c:v>
                </c:pt>
                <c:pt idx="10">
                  <c:v>9.4800070355631559E-5</c:v>
                </c:pt>
                <c:pt idx="11">
                  <c:v>2.8440021106689471E-5</c:v>
                </c:pt>
                <c:pt idx="12">
                  <c:v>9.371808152891666E-5</c:v>
                </c:pt>
                <c:pt idx="13">
                  <c:v>2.8115424458674999E-5</c:v>
                </c:pt>
                <c:pt idx="14">
                  <c:v>2.5668544671541931E-4</c:v>
                </c:pt>
                <c:pt idx="15">
                  <c:v>7.7005634014625792E-5</c:v>
                </c:pt>
                <c:pt idx="18">
                  <c:v>8.3335952018640186E-4</c:v>
                </c:pt>
                <c:pt idx="19">
                  <c:v>1.9431635615744164E-3</c:v>
                </c:pt>
                <c:pt idx="20">
                  <c:v>4.5035116742281794E-4</c:v>
                </c:pt>
                <c:pt idx="21">
                  <c:v>5.636977242015383E-4</c:v>
                </c:pt>
              </c:numCache>
            </c:numRef>
          </c:val>
          <c:extLst>
            <c:ext xmlns:c16="http://schemas.microsoft.com/office/drawing/2014/chart" uri="{C3380CC4-5D6E-409C-BE32-E72D297353CC}">
              <c16:uniqueId val="{00000000-0564-4922-B51B-1B8AE1077F08}"/>
            </c:ext>
          </c:extLst>
        </c:ser>
        <c:ser>
          <c:idx val="1"/>
          <c:order val="1"/>
          <c:tx>
            <c:strRef>
              <c:f>LCIA_CC!$B$9:$C$9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LCIA_CC!$AA$9:$BA$9</c15:sqref>
                  </c15:fullRef>
                </c:ext>
              </c:extLst>
              <c:f>(LCIA_CC!$AB$9,LCIA_CC!$AD$9:$AF$9,LCIA_CC!$AH$9:$AV$9,LCIA_CC!$AX$9:$AY$9,LCIA_CC!$BA$9)</c:f>
              <c:numCache>
                <c:formatCode>General</c:formatCode>
                <c:ptCount val="22"/>
                <c:pt idx="0">
                  <c:v>5.8609836709528826E-4</c:v>
                </c:pt>
                <c:pt idx="1">
                  <c:v>1.3666190435828822E-3</c:v>
                </c:pt>
                <c:pt idx="2">
                  <c:v>4.5345260890425637E-5</c:v>
                </c:pt>
                <c:pt idx="3">
                  <c:v>3.1673014761615886E-4</c:v>
                </c:pt>
                <c:pt idx="4">
                  <c:v>3.9644632080995901E-4</c:v>
                </c:pt>
                <c:pt idx="5">
                  <c:v>4.5345260890425637E-5</c:v>
                </c:pt>
                <c:pt idx="6">
                  <c:v>5.8609836709528826E-4</c:v>
                </c:pt>
                <c:pt idx="7">
                  <c:v>5.8609836709528826E-4</c:v>
                </c:pt>
                <c:pt idx="8">
                  <c:v>3.1673014761615886E-4</c:v>
                </c:pt>
                <c:pt idx="9">
                  <c:v>3.1673014761615886E-4</c:v>
                </c:pt>
                <c:pt idx="10">
                  <c:v>6.3346029523231773E-4</c:v>
                </c:pt>
                <c:pt idx="11">
                  <c:v>1.9003808856969532E-4</c:v>
                </c:pt>
                <c:pt idx="12">
                  <c:v>6.3346029523231773E-4</c:v>
                </c:pt>
                <c:pt idx="13">
                  <c:v>1.9003808856969532E-4</c:v>
                </c:pt>
                <c:pt idx="14">
                  <c:v>6.3346029523231773E-4</c:v>
                </c:pt>
                <c:pt idx="15">
                  <c:v>1.9003808856969532E-4</c:v>
                </c:pt>
                <c:pt idx="18">
                  <c:v>5.8609836709528828E-3</c:v>
                </c:pt>
                <c:pt idx="19">
                  <c:v>1.3666190435828821E-2</c:v>
                </c:pt>
                <c:pt idx="20">
                  <c:v>3.1673014761615889E-3</c:v>
                </c:pt>
                <c:pt idx="21">
                  <c:v>3.9644632080995902E-3</c:v>
                </c:pt>
              </c:numCache>
            </c:numRef>
          </c:val>
          <c:extLst>
            <c:ext xmlns:c16="http://schemas.microsoft.com/office/drawing/2014/chart" uri="{C3380CC4-5D6E-409C-BE32-E72D297353CC}">
              <c16:uniqueId val="{00000001-0564-4922-B51B-1B8AE1077F08}"/>
            </c:ext>
          </c:extLst>
        </c:ser>
        <c:ser>
          <c:idx val="2"/>
          <c:order val="2"/>
          <c:tx>
            <c:strRef>
              <c:f>LCIA_CC!$B$10:$C$10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LCIA_CC!$AA$10:$BA$10</c15:sqref>
                  </c15:fullRef>
                </c:ext>
              </c:extLst>
              <c:f>(LCIA_CC!$AB$10,LCIA_CC!$AD$10:$AF$10,LCIA_CC!$AH$10:$AV$10,LCIA_CC!$AX$10:$AY$10,LCIA_CC!$BA$10)</c:f>
              <c:numCache>
                <c:formatCode>General</c:formatCode>
                <c:ptCount val="22"/>
                <c:pt idx="0">
                  <c:v>3.7019200907294067E-3</c:v>
                </c:pt>
                <c:pt idx="1">
                  <c:v>3.0044617602192764E-3</c:v>
                </c:pt>
                <c:pt idx="2">
                  <c:v>3.7019200907294067E-3</c:v>
                </c:pt>
                <c:pt idx="3">
                  <c:v>3.5514121707996772E-3</c:v>
                </c:pt>
                <c:pt idx="4">
                  <c:v>2.4300539716541818E-3</c:v>
                </c:pt>
                <c:pt idx="5">
                  <c:v>3.5514121707996772E-3</c:v>
                </c:pt>
                <c:pt idx="6">
                  <c:v>3.0206314501650057E-3</c:v>
                </c:pt>
                <c:pt idx="7">
                  <c:v>5.5265164202814377E-3</c:v>
                </c:pt>
                <c:pt idx="8">
                  <c:v>2.897822490139864E-3</c:v>
                </c:pt>
                <c:pt idx="9">
                  <c:v>5.3018264025371147E-3</c:v>
                </c:pt>
                <c:pt idx="10">
                  <c:v>7.1028243415993545E-3</c:v>
                </c:pt>
                <c:pt idx="11">
                  <c:v>2.1308473024798063E-3</c:v>
                </c:pt>
                <c:pt idx="12">
                  <c:v>5.795644980279728E-3</c:v>
                </c:pt>
                <c:pt idx="13">
                  <c:v>1.7386934940839184E-3</c:v>
                </c:pt>
                <c:pt idx="14">
                  <c:v>1.0603652805074229E-2</c:v>
                </c:pt>
                <c:pt idx="15">
                  <c:v>3.1810958415222691E-3</c:v>
                </c:pt>
                <c:pt idx="18">
                  <c:v>3.7019200907294067E-3</c:v>
                </c:pt>
                <c:pt idx="19">
                  <c:v>3.0044617602192764E-3</c:v>
                </c:pt>
                <c:pt idx="20">
                  <c:v>3.5514121707996772E-3</c:v>
                </c:pt>
                <c:pt idx="21">
                  <c:v>2.4300539716541818E-3</c:v>
                </c:pt>
              </c:numCache>
            </c:numRef>
          </c:val>
          <c:extLst>
            <c:ext xmlns:c16="http://schemas.microsoft.com/office/drawing/2014/chart" uri="{C3380CC4-5D6E-409C-BE32-E72D297353CC}">
              <c16:uniqueId val="{00000002-0564-4922-B51B-1B8AE1077F08}"/>
            </c:ext>
          </c:extLst>
        </c:ser>
        <c:ser>
          <c:idx val="3"/>
          <c:order val="3"/>
          <c:tx>
            <c:strRef>
              <c:f>LCIA_CC!$B$11:$C$11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LCIA_CC!$AA$11:$BA$11</c15:sqref>
                  </c15:fullRef>
                </c:ext>
              </c:extLst>
              <c:f>(LCIA_CC!$AB$11,LCIA_CC!$AD$11:$AF$11,LCIA_CC!$AH$11:$AV$11,LCIA_CC!$AX$11:$AY$11,LCIA_CC!$BA$11)</c:f>
              <c:numCache>
                <c:formatCode>General</c:formatCode>
                <c:ptCount val="22"/>
                <c:pt idx="0">
                  <c:v>8.3074801928430372E-4</c:v>
                </c:pt>
                <c:pt idx="1">
                  <c:v>8.0642084340208989E-4</c:v>
                </c:pt>
                <c:pt idx="2">
                  <c:v>8.3074801928430372E-4</c:v>
                </c:pt>
                <c:pt idx="3">
                  <c:v>8.2749084743150817E-4</c:v>
                </c:pt>
                <c:pt idx="4">
                  <c:v>4.9444440000928386E-4</c:v>
                </c:pt>
                <c:pt idx="5">
                  <c:v>8.2749084743150817E-4</c:v>
                </c:pt>
                <c:pt idx="6">
                  <c:v>6.116359326887006E-4</c:v>
                </c:pt>
                <c:pt idx="7">
                  <c:v>2.2707411132981115E-3</c:v>
                </c:pt>
                <c:pt idx="8">
                  <c:v>6.092378489161649E-4</c:v>
                </c:pt>
                <c:pt idx="9">
                  <c:v>2.2618380598239769E-3</c:v>
                </c:pt>
                <c:pt idx="10">
                  <c:v>1.6549816948630163E-3</c:v>
                </c:pt>
                <c:pt idx="11">
                  <c:v>4.9649450845890496E-4</c:v>
                </c:pt>
                <c:pt idx="12">
                  <c:v>1.2184756978323298E-3</c:v>
                </c:pt>
                <c:pt idx="13">
                  <c:v>3.6554270934969894E-4</c:v>
                </c:pt>
                <c:pt idx="14">
                  <c:v>4.5236761196479538E-3</c:v>
                </c:pt>
                <c:pt idx="15">
                  <c:v>1.357102835894386E-3</c:v>
                </c:pt>
                <c:pt idx="18">
                  <c:v>8.3074801928430372E-4</c:v>
                </c:pt>
                <c:pt idx="19">
                  <c:v>8.0642084340208989E-4</c:v>
                </c:pt>
                <c:pt idx="20">
                  <c:v>8.2749084743150817E-4</c:v>
                </c:pt>
                <c:pt idx="21">
                  <c:v>4.9444440000928386E-4</c:v>
                </c:pt>
              </c:numCache>
            </c:numRef>
          </c:val>
          <c:extLst>
            <c:ext xmlns:c16="http://schemas.microsoft.com/office/drawing/2014/chart" uri="{C3380CC4-5D6E-409C-BE32-E72D297353CC}">
              <c16:uniqueId val="{00000003-0564-4922-B51B-1B8AE1077F08}"/>
            </c:ext>
          </c:extLst>
        </c:ser>
        <c:ser>
          <c:idx val="4"/>
          <c:order val="4"/>
          <c:tx>
            <c:strRef>
              <c:f>LCIA_CC!$B$12:$C$12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LCIA_CC!$AA$12:$BA$12</c15:sqref>
                  </c15:fullRef>
                </c:ext>
              </c:extLst>
              <c:f>(LCIA_CC!$AB$12,LCIA_CC!$AD$12:$AF$12,LCIA_CC!$AH$12:$AV$12,LCIA_CC!$AX$12:$AY$12,LCIA_CC!$BA$12)</c:f>
              <c:numCache>
                <c:formatCode>General</c:formatCode>
                <c:ptCount val="22"/>
                <c:pt idx="0">
                  <c:v>6.284953534118252E-8</c:v>
                </c:pt>
                <c:pt idx="1">
                  <c:v>3.755439463615448E-8</c:v>
                </c:pt>
                <c:pt idx="2">
                  <c:v>6.284953534118252E-8</c:v>
                </c:pt>
                <c:pt idx="3">
                  <c:v>5.877518999455008E-8</c:v>
                </c:pt>
                <c:pt idx="4">
                  <c:v>1.6982453783291873E-8</c:v>
                </c:pt>
                <c:pt idx="5">
                  <c:v>5.877518999455008E-8</c:v>
                </c:pt>
                <c:pt idx="6">
                  <c:v>4.627279665448123E-8</c:v>
                </c:pt>
                <c:pt idx="7">
                  <c:v>1.7179098900994794E-7</c:v>
                </c:pt>
                <c:pt idx="8">
                  <c:v>4.3273071156092091E-8</c:v>
                </c:pt>
                <c:pt idx="9">
                  <c:v>1.6065429861332973E-7</c:v>
                </c:pt>
                <c:pt idx="10">
                  <c:v>1.1755037998910016E-7</c:v>
                </c:pt>
                <c:pt idx="11">
                  <c:v>3.5265113996730051E-8</c:v>
                </c:pt>
                <c:pt idx="12">
                  <c:v>8.6546142312184182E-8</c:v>
                </c:pt>
                <c:pt idx="13">
                  <c:v>2.5963842693655255E-8</c:v>
                </c:pt>
                <c:pt idx="14">
                  <c:v>3.2130859722665945E-7</c:v>
                </c:pt>
                <c:pt idx="15">
                  <c:v>9.6392579167997844E-8</c:v>
                </c:pt>
                <c:pt idx="18">
                  <c:v>6.284953534118252E-8</c:v>
                </c:pt>
                <c:pt idx="19">
                  <c:v>3.755439463615448E-8</c:v>
                </c:pt>
                <c:pt idx="20">
                  <c:v>5.877518999455008E-8</c:v>
                </c:pt>
                <c:pt idx="21">
                  <c:v>1.6982453783291873E-8</c:v>
                </c:pt>
              </c:numCache>
            </c:numRef>
          </c:val>
          <c:extLst>
            <c:ext xmlns:c16="http://schemas.microsoft.com/office/drawing/2014/chart" uri="{C3380CC4-5D6E-409C-BE32-E72D297353CC}">
              <c16:uniqueId val="{00000004-0564-4922-B51B-1B8AE1077F08}"/>
            </c:ext>
          </c:extLst>
        </c:ser>
        <c:ser>
          <c:idx val="5"/>
          <c:order val="5"/>
          <c:tx>
            <c:strRef>
              <c:f>LCIA_CC!$B$13:$C$13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LCIA_CC!$AA$13:$BA$13</c15:sqref>
                  </c15:fullRef>
                </c:ext>
              </c:extLst>
              <c:f>(LCIA_CC!$AB$13,LCIA_CC!$AD$13:$AF$13,LCIA_CC!$AH$13:$AV$13,LCIA_CC!$AX$13:$AY$13,LCIA_CC!$BA$13)</c:f>
              <c:numCache>
                <c:formatCode>General</c:formatCode>
                <c:ptCount val="22"/>
                <c:pt idx="0">
                  <c:v>1.8608747326563154E-3</c:v>
                </c:pt>
                <c:pt idx="1">
                  <c:v>1.6836276757646669E-3</c:v>
                </c:pt>
                <c:pt idx="2">
                  <c:v>1.8608747326563154E-3</c:v>
                </c:pt>
                <c:pt idx="3">
                  <c:v>1.6831849078602771E-3</c:v>
                </c:pt>
                <c:pt idx="4">
                  <c:v>1.0917237401074152E-3</c:v>
                </c:pt>
                <c:pt idx="5">
                  <c:v>1.6831849078602771E-3</c:v>
                </c:pt>
                <c:pt idx="6">
                  <c:v>1.8608747326563154E-3</c:v>
                </c:pt>
                <c:pt idx="7">
                  <c:v>1.8608747326563154E-3</c:v>
                </c:pt>
                <c:pt idx="8">
                  <c:v>1.6831849078602771E-3</c:v>
                </c:pt>
                <c:pt idx="9">
                  <c:v>1.6831849078602771E-3</c:v>
                </c:pt>
                <c:pt idx="10">
                  <c:v>3.3663698157205542E-3</c:v>
                </c:pt>
                <c:pt idx="11">
                  <c:v>1.0099109447161663E-3</c:v>
                </c:pt>
                <c:pt idx="12">
                  <c:v>3.3663698157205542E-3</c:v>
                </c:pt>
                <c:pt idx="13">
                  <c:v>1.0099109447161663E-3</c:v>
                </c:pt>
                <c:pt idx="14">
                  <c:v>3.3663698157205542E-3</c:v>
                </c:pt>
                <c:pt idx="15">
                  <c:v>1.0099109447161663E-3</c:v>
                </c:pt>
                <c:pt idx="18">
                  <c:v>1.8608747326563154E-3</c:v>
                </c:pt>
                <c:pt idx="19">
                  <c:v>1.6836276757646669E-3</c:v>
                </c:pt>
                <c:pt idx="20">
                  <c:v>1.6831849078602771E-3</c:v>
                </c:pt>
                <c:pt idx="21">
                  <c:v>1.0917237401074152E-3</c:v>
                </c:pt>
              </c:numCache>
            </c:numRef>
          </c:val>
          <c:extLst>
            <c:ext xmlns:c16="http://schemas.microsoft.com/office/drawing/2014/chart" uri="{C3380CC4-5D6E-409C-BE32-E72D297353CC}">
              <c16:uniqueId val="{00000005-0564-4922-B51B-1B8AE1077F08}"/>
            </c:ext>
          </c:extLst>
        </c:ser>
        <c:ser>
          <c:idx val="6"/>
          <c:order val="6"/>
          <c:tx>
            <c:strRef>
              <c:f>LCIA_CC!$B$14:$C$14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LCIA_CC!$AA$14:$BA$14</c15:sqref>
                  </c15:fullRef>
                </c:ext>
              </c:extLst>
              <c:f>(LCIA_CC!$AB$14,LCIA_CC!$AD$14:$AF$14,LCIA_CC!$AH$14:$AV$14,LCIA_CC!$AX$14:$AY$14,LCIA_CC!$BA$14)</c:f>
              <c:numCache>
                <c:formatCode>General</c:formatCode>
                <c:ptCount val="22"/>
                <c:pt idx="0">
                  <c:v>1.8119916630160139E-5</c:v>
                </c:pt>
                <c:pt idx="1">
                  <c:v>1.6135770671466551E-5</c:v>
                </c:pt>
                <c:pt idx="2">
                  <c:v>1.8119916630160139E-5</c:v>
                </c:pt>
                <c:pt idx="3">
                  <c:v>1.6414737433995601E-5</c:v>
                </c:pt>
                <c:pt idx="4">
                  <c:v>1.4463588684075808E-5</c:v>
                </c:pt>
                <c:pt idx="5">
                  <c:v>1.6414737433995601E-5</c:v>
                </c:pt>
                <c:pt idx="6">
                  <c:v>1.746482203037127E-5</c:v>
                </c:pt>
                <c:pt idx="7">
                  <c:v>2.999896537299831E-5</c:v>
                </c:pt>
                <c:pt idx="8">
                  <c:v>1.5821290672101331E-5</c:v>
                </c:pt>
                <c:pt idx="9">
                  <c:v>2.717590538301176E-5</c:v>
                </c:pt>
                <c:pt idx="10">
                  <c:v>3.2829474867991202E-5</c:v>
                </c:pt>
                <c:pt idx="11">
                  <c:v>9.84884246039736E-6</c:v>
                </c:pt>
                <c:pt idx="12">
                  <c:v>3.1642581344202662E-5</c:v>
                </c:pt>
                <c:pt idx="13">
                  <c:v>9.4927744032607993E-6</c:v>
                </c:pt>
                <c:pt idx="14">
                  <c:v>5.435181076602352E-5</c:v>
                </c:pt>
                <c:pt idx="15">
                  <c:v>1.6305543229807055E-5</c:v>
                </c:pt>
                <c:pt idx="18">
                  <c:v>1.8119916630160139E-5</c:v>
                </c:pt>
                <c:pt idx="19">
                  <c:v>1.6135770671466551E-5</c:v>
                </c:pt>
                <c:pt idx="20">
                  <c:v>1.6414737433995601E-5</c:v>
                </c:pt>
                <c:pt idx="21">
                  <c:v>1.4463588684075808E-5</c:v>
                </c:pt>
              </c:numCache>
            </c:numRef>
          </c:val>
          <c:extLst>
            <c:ext xmlns:c16="http://schemas.microsoft.com/office/drawing/2014/chart" uri="{C3380CC4-5D6E-409C-BE32-E72D297353CC}">
              <c16:uniqueId val="{00000006-0564-4922-B51B-1B8AE1077F08}"/>
            </c:ext>
          </c:extLst>
        </c:ser>
        <c:ser>
          <c:idx val="7"/>
          <c:order val="7"/>
          <c:tx>
            <c:strRef>
              <c:f>LCIA_CC!$B$15:$C$15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LCIA_CC!$AA$15:$BA$15</c15:sqref>
                  </c15:fullRef>
                </c:ext>
              </c:extLst>
              <c:f>(LCIA_CC!$AB$15,LCIA_CC!$AD$15:$AF$15,LCIA_CC!$AH$15:$AV$15,LCIA_CC!$AX$15:$AY$15,LCIA_CC!$BA$15)</c:f>
              <c:numCache>
                <c:formatCode>General</c:formatCode>
                <c:ptCount val="22"/>
                <c:pt idx="0">
                  <c:v>3.1497284310528184E-6</c:v>
                </c:pt>
                <c:pt idx="1">
                  <c:v>2.6460561646200131E-6</c:v>
                </c:pt>
                <c:pt idx="2">
                  <c:v>3.1497284310528184E-6</c:v>
                </c:pt>
                <c:pt idx="3">
                  <c:v>2.7607616061762165E-6</c:v>
                </c:pt>
                <c:pt idx="4">
                  <c:v>2.165529943584679E-6</c:v>
                </c:pt>
                <c:pt idx="5">
                  <c:v>2.7607616061762165E-6</c:v>
                </c:pt>
                <c:pt idx="6">
                  <c:v>3.0358553858231439E-6</c:v>
                </c:pt>
                <c:pt idx="7">
                  <c:v>5.2146263178842639E-6</c:v>
                </c:pt>
                <c:pt idx="8">
                  <c:v>2.660950991346997E-6</c:v>
                </c:pt>
                <c:pt idx="9">
                  <c:v>4.5706607550794002E-6</c:v>
                </c:pt>
                <c:pt idx="10">
                  <c:v>5.521523212352433E-6</c:v>
                </c:pt>
                <c:pt idx="11">
                  <c:v>1.6564569637057301E-6</c:v>
                </c:pt>
                <c:pt idx="12">
                  <c:v>5.321901982693994E-6</c:v>
                </c:pt>
                <c:pt idx="13">
                  <c:v>1.5965705948081983E-6</c:v>
                </c:pt>
                <c:pt idx="14">
                  <c:v>9.1413215101588004E-6</c:v>
                </c:pt>
                <c:pt idx="15">
                  <c:v>2.74239645304764E-6</c:v>
                </c:pt>
                <c:pt idx="18">
                  <c:v>3.1497284310528184E-6</c:v>
                </c:pt>
                <c:pt idx="19">
                  <c:v>2.6460561646200131E-6</c:v>
                </c:pt>
                <c:pt idx="20">
                  <c:v>2.7607616061762165E-6</c:v>
                </c:pt>
                <c:pt idx="21">
                  <c:v>2.165529943584679E-6</c:v>
                </c:pt>
              </c:numCache>
            </c:numRef>
          </c:val>
          <c:extLst>
            <c:ext xmlns:c16="http://schemas.microsoft.com/office/drawing/2014/chart" uri="{C3380CC4-5D6E-409C-BE32-E72D297353CC}">
              <c16:uniqueId val="{00000007-0564-4922-B51B-1B8AE1077F08}"/>
            </c:ext>
          </c:extLst>
        </c:ser>
        <c:ser>
          <c:idx val="8"/>
          <c:order val="8"/>
          <c:tx>
            <c:strRef>
              <c:f>LCIA_CC!$B$16:$C$16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LCIA_CC!$AA$16:$BA$16</c15:sqref>
                  </c15:fullRef>
                </c:ext>
              </c:extLst>
              <c:f>(LCIA_CC!$AB$16,LCIA_CC!$AD$16:$AF$16,LCIA_CC!$AH$16:$AV$16,LCIA_CC!$AX$16:$AY$16,LCIA_CC!$BA$16)</c:f>
              <c:numCache>
                <c:formatCode>General</c:formatCode>
                <c:ptCount val="22"/>
                <c:pt idx="0">
                  <c:v>1.3198516241578319E-5</c:v>
                </c:pt>
                <c:pt idx="1">
                  <c:v>9.7621716117339743E-6</c:v>
                </c:pt>
                <c:pt idx="2">
                  <c:v>1.3198516241578319E-5</c:v>
                </c:pt>
                <c:pt idx="3">
                  <c:v>1.1315117630411294E-5</c:v>
                </c:pt>
                <c:pt idx="4">
                  <c:v>5.9917215411017666E-6</c:v>
                </c:pt>
                <c:pt idx="5">
                  <c:v>1.1315117630411294E-5</c:v>
                </c:pt>
                <c:pt idx="6">
                  <c:v>1.2721346456994867E-5</c:v>
                </c:pt>
                <c:pt idx="7">
                  <c:v>2.1851195002024939E-5</c:v>
                </c:pt>
                <c:pt idx="8">
                  <c:v>1.0906038901907634E-5</c:v>
                </c:pt>
                <c:pt idx="9">
                  <c:v>1.8733078573944367E-5</c:v>
                </c:pt>
                <c:pt idx="10">
                  <c:v>2.2630235260822588E-5</c:v>
                </c:pt>
                <c:pt idx="11">
                  <c:v>6.7890705782467768E-6</c:v>
                </c:pt>
                <c:pt idx="12">
                  <c:v>2.1812077803815267E-5</c:v>
                </c:pt>
                <c:pt idx="13">
                  <c:v>6.5436233411445802E-6</c:v>
                </c:pt>
                <c:pt idx="14">
                  <c:v>3.7466157147888733E-5</c:v>
                </c:pt>
                <c:pt idx="15">
                  <c:v>1.1239847144366621E-5</c:v>
                </c:pt>
                <c:pt idx="18">
                  <c:v>1.3198516241578319E-5</c:v>
                </c:pt>
                <c:pt idx="19">
                  <c:v>9.7621716117339743E-6</c:v>
                </c:pt>
                <c:pt idx="20">
                  <c:v>1.1315117630411294E-5</c:v>
                </c:pt>
                <c:pt idx="21">
                  <c:v>5.9917215411017666E-6</c:v>
                </c:pt>
              </c:numCache>
            </c:numRef>
          </c:val>
          <c:extLst>
            <c:ext xmlns:c16="http://schemas.microsoft.com/office/drawing/2014/chart" uri="{C3380CC4-5D6E-409C-BE32-E72D297353CC}">
              <c16:uniqueId val="{00000008-0564-4922-B51B-1B8AE1077F08}"/>
            </c:ext>
          </c:extLst>
        </c:ser>
        <c:ser>
          <c:idx val="9"/>
          <c:order val="9"/>
          <c:tx>
            <c:strRef>
              <c:f>LCIA_CC!$B$17:$C$17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LCIA_CC!$AA$17:$BA$17</c15:sqref>
                  </c15:fullRef>
                </c:ext>
              </c:extLst>
              <c:f>(LCIA_CC!$AB$17,LCIA_CC!$AD$17:$AF$17,LCIA_CC!$AH$17:$AV$17,LCIA_CC!$AX$17:$AY$17,LCIA_CC!$BA$17)</c:f>
              <c:numCache>
                <c:formatCode>General</c:formatCode>
                <c:ptCount val="22"/>
                <c:pt idx="0">
                  <c:v>8.0531296434055222E-6</c:v>
                </c:pt>
                <c:pt idx="1">
                  <c:v>1.5675772127253005E-5</c:v>
                </c:pt>
                <c:pt idx="2">
                  <c:v>8.0531296434055222E-6</c:v>
                </c:pt>
                <c:pt idx="3">
                  <c:v>5.3679794717697487E-6</c:v>
                </c:pt>
                <c:pt idx="4">
                  <c:v>6.0808027907062709E-6</c:v>
                </c:pt>
                <c:pt idx="5">
                  <c:v>5.3679794717697487E-6</c:v>
                </c:pt>
                <c:pt idx="6">
                  <c:v>7.7619825124074928E-6</c:v>
                </c:pt>
                <c:pt idx="7">
                  <c:v>1.3332597618836474E-5</c:v>
                </c:pt>
                <c:pt idx="8">
                  <c:v>5.1739093534845088E-6</c:v>
                </c:pt>
                <c:pt idx="9">
                  <c:v>8.8871176166754405E-6</c:v>
                </c:pt>
                <c:pt idx="10">
                  <c:v>1.0735958943539497E-5</c:v>
                </c:pt>
                <c:pt idx="11">
                  <c:v>3.2207876830618491E-6</c:v>
                </c:pt>
                <c:pt idx="12">
                  <c:v>1.0347818706969018E-5</c:v>
                </c:pt>
                <c:pt idx="13">
                  <c:v>3.1043456120907053E-6</c:v>
                </c:pt>
                <c:pt idx="14">
                  <c:v>1.7774235233350881E-5</c:v>
                </c:pt>
                <c:pt idx="15">
                  <c:v>5.3322705700052638E-6</c:v>
                </c:pt>
                <c:pt idx="18">
                  <c:v>8.0531296434055222E-6</c:v>
                </c:pt>
                <c:pt idx="19">
                  <c:v>1.5675772127253005E-5</c:v>
                </c:pt>
                <c:pt idx="20">
                  <c:v>5.3679794717697487E-6</c:v>
                </c:pt>
                <c:pt idx="21">
                  <c:v>6.0808027907062709E-6</c:v>
                </c:pt>
              </c:numCache>
            </c:numRef>
          </c:val>
          <c:extLst>
            <c:ext xmlns:c16="http://schemas.microsoft.com/office/drawing/2014/chart" uri="{C3380CC4-5D6E-409C-BE32-E72D297353CC}">
              <c16:uniqueId val="{00000009-0564-4922-B51B-1B8AE1077F08}"/>
            </c:ext>
          </c:extLst>
        </c:ser>
        <c:ser>
          <c:idx val="10"/>
          <c:order val="10"/>
          <c:tx>
            <c:strRef>
              <c:f>LCIA_CC!$B$18:$C$18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LCIA_CC!$AA$18:$BA$18</c15:sqref>
                  </c15:fullRef>
                </c:ext>
              </c:extLst>
              <c:f>(LCIA_CC!$AB$18,LCIA_CC!$AD$18:$AF$18,LCIA_CC!$AH$18:$AV$18,LCIA_CC!$AX$18:$AY$18,LCIA_CC!$BA$18)</c:f>
              <c:numCache>
                <c:formatCode>General</c:formatCode>
                <c:ptCount val="22"/>
                <c:pt idx="0">
                  <c:v>2.952078241757645E-6</c:v>
                </c:pt>
                <c:pt idx="1">
                  <c:v>6.8834287379557941E-6</c:v>
                </c:pt>
                <c:pt idx="2">
                  <c:v>2.952078241757645E-6</c:v>
                </c:pt>
                <c:pt idx="3">
                  <c:v>1.5953161274280334E-6</c:v>
                </c:pt>
                <c:pt idx="4">
                  <c:v>1.996832994925711E-6</c:v>
                </c:pt>
                <c:pt idx="5">
                  <c:v>1.5953161274280334E-6</c:v>
                </c:pt>
                <c:pt idx="6">
                  <c:v>2.8453509011301098E-6</c:v>
                </c:pt>
                <c:pt idx="7">
                  <c:v>4.8874006851369642E-6</c:v>
                </c:pt>
                <c:pt idx="8">
                  <c:v>1.5376402009121976E-6</c:v>
                </c:pt>
                <c:pt idx="9">
                  <c:v>2.6411729282485329E-6</c:v>
                </c:pt>
                <c:pt idx="10">
                  <c:v>3.1906322548560669E-6</c:v>
                </c:pt>
                <c:pt idx="11">
                  <c:v>9.5718967645682006E-7</c:v>
                </c:pt>
                <c:pt idx="12">
                  <c:v>3.0752804018243951E-6</c:v>
                </c:pt>
                <c:pt idx="13">
                  <c:v>9.2258412054731845E-7</c:v>
                </c:pt>
                <c:pt idx="14">
                  <c:v>5.2823458564970657E-6</c:v>
                </c:pt>
                <c:pt idx="15">
                  <c:v>1.5847037569491198E-6</c:v>
                </c:pt>
                <c:pt idx="18">
                  <c:v>2.952078241757645E-6</c:v>
                </c:pt>
                <c:pt idx="19">
                  <c:v>6.8834287379557941E-6</c:v>
                </c:pt>
                <c:pt idx="20">
                  <c:v>1.5953161274280334E-6</c:v>
                </c:pt>
                <c:pt idx="21">
                  <c:v>1.996832994925711E-6</c:v>
                </c:pt>
              </c:numCache>
            </c:numRef>
          </c:val>
          <c:extLst>
            <c:ext xmlns:c16="http://schemas.microsoft.com/office/drawing/2014/chart" uri="{C3380CC4-5D6E-409C-BE32-E72D297353CC}">
              <c16:uniqueId val="{0000000A-0564-4922-B51B-1B8AE1077F08}"/>
            </c:ext>
          </c:extLst>
        </c:ser>
        <c:ser>
          <c:idx val="11"/>
          <c:order val="11"/>
          <c:tx>
            <c:strRef>
              <c:f>LCIA_CC!$B$19:$C$19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LCIA_CC!$AA$19:$BA$19</c15:sqref>
                  </c15:fullRef>
                </c:ext>
              </c:extLst>
              <c:f>(LCIA_CC!$AB$19,LCIA_CC!$AD$19:$AF$19,LCIA_CC!$AH$19:$AV$19,LCIA_CC!$AX$19:$AY$19,LCIA_CC!$BA$19)</c:f>
              <c:numCache>
                <c:formatCode>General</c:formatCode>
                <c:ptCount val="22"/>
                <c:pt idx="0">
                  <c:v>1.5851695986181217E-4</c:v>
                </c:pt>
                <c:pt idx="1">
                  <c:v>1.3632829357682795E-4</c:v>
                </c:pt>
                <c:pt idx="2">
                  <c:v>1.5851695986181217E-4</c:v>
                </c:pt>
                <c:pt idx="3">
                  <c:v>1.4195722002769461E-4</c:v>
                </c:pt>
                <c:pt idx="4">
                  <c:v>9.4420393666005698E-5</c:v>
                </c:pt>
                <c:pt idx="5">
                  <c:v>1.4195722002769461E-4</c:v>
                </c:pt>
                <c:pt idx="6">
                  <c:v>1.5851695986181217E-4</c:v>
                </c:pt>
                <c:pt idx="7">
                  <c:v>1.5851695986181217E-4</c:v>
                </c:pt>
                <c:pt idx="8">
                  <c:v>1.4195722002769461E-4</c:v>
                </c:pt>
                <c:pt idx="9">
                  <c:v>1.4195722002769461E-4</c:v>
                </c:pt>
                <c:pt idx="10">
                  <c:v>2.8391444005538923E-4</c:v>
                </c:pt>
                <c:pt idx="11">
                  <c:v>8.5174332016616763E-5</c:v>
                </c:pt>
                <c:pt idx="12">
                  <c:v>2.8391444005538923E-4</c:v>
                </c:pt>
                <c:pt idx="13">
                  <c:v>8.5174332016616763E-5</c:v>
                </c:pt>
                <c:pt idx="14">
                  <c:v>2.8391444005538923E-4</c:v>
                </c:pt>
                <c:pt idx="15">
                  <c:v>8.5174332016616763E-5</c:v>
                </c:pt>
                <c:pt idx="18">
                  <c:v>1.5851695986181217E-4</c:v>
                </c:pt>
                <c:pt idx="19">
                  <c:v>1.3632829357682795E-4</c:v>
                </c:pt>
                <c:pt idx="20">
                  <c:v>1.4195722002769461E-4</c:v>
                </c:pt>
                <c:pt idx="21">
                  <c:v>9.4420393666005698E-5</c:v>
                </c:pt>
              </c:numCache>
            </c:numRef>
          </c:val>
          <c:extLst>
            <c:ext xmlns:c16="http://schemas.microsoft.com/office/drawing/2014/chart" uri="{C3380CC4-5D6E-409C-BE32-E72D297353CC}">
              <c16:uniqueId val="{0000000B-0564-4922-B51B-1B8AE1077F08}"/>
            </c:ext>
          </c:extLst>
        </c:ser>
        <c:ser>
          <c:idx val="12"/>
          <c:order val="12"/>
          <c:tx>
            <c:strRef>
              <c:f>LCIA_CC!$B$20:$C$20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LCIA_CC!$AA$20:$BA$20</c15:sqref>
                  </c15:fullRef>
                </c:ext>
              </c:extLst>
              <c:f>(LCIA_CC!$AB$20,LCIA_CC!$AD$20:$AF$20,LCIA_CC!$AH$20:$AV$20,LCIA_CC!$AX$20:$AY$20,LCIA_CC!$BA$20)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8.5174332016616763E-5</c:v>
                </c:pt>
                <c:pt idx="12">
                  <c:v>0</c:v>
                </c:pt>
                <c:pt idx="13">
                  <c:v>8.5174332016616763E-5</c:v>
                </c:pt>
                <c:pt idx="14">
                  <c:v>0</c:v>
                </c:pt>
                <c:pt idx="15">
                  <c:v>8.5174332016616763E-5</c:v>
                </c:pt>
                <c:pt idx="18">
                  <c:v>0</c:v>
                </c:pt>
                <c:pt idx="19">
                  <c:v>0</c:v>
                </c:pt>
                <c:pt idx="20">
                  <c:v>0</c:v>
                </c:pt>
                <c:pt idx="21">
                  <c:v>0</c:v>
                </c:pt>
              </c:numCache>
            </c:numRef>
          </c:val>
          <c:extLst>
            <c:ext xmlns:c16="http://schemas.microsoft.com/office/drawing/2014/chart" uri="{C3380CC4-5D6E-409C-BE32-E72D297353CC}">
              <c16:uniqueId val="{0000000C-0564-4922-B51B-1B8AE1077F08}"/>
            </c:ext>
          </c:extLst>
        </c:ser>
        <c:ser>
          <c:idx val="13"/>
          <c:order val="13"/>
          <c:tx>
            <c:strRef>
              <c:f>LCIA_CC!$B$21:$C$21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LCIA_CC!$AA$21:$BA$21</c15:sqref>
                  </c15:fullRef>
                </c:ext>
              </c:extLst>
              <c:f>(LCIA_CC!$AB$21,LCIA_CC!$AD$21:$AF$21,LCIA_CC!$AH$21:$AV$21,LCIA_CC!$AX$21:$AY$21,LCIA_CC!$BA$21)</c:f>
              <c:numCache>
                <c:formatCode>General</c:formatCode>
                <c:ptCount val="22"/>
                <c:pt idx="0">
                  <c:v>5.0578356504101619E-5</c:v>
                </c:pt>
                <c:pt idx="1">
                  <c:v>4.9097247255633463E-5</c:v>
                </c:pt>
                <c:pt idx="2">
                  <c:v>5.0578356504101619E-5</c:v>
                </c:pt>
                <c:pt idx="3">
                  <c:v>5.038005040484935E-5</c:v>
                </c:pt>
                <c:pt idx="4">
                  <c:v>3.0103213675635297E-5</c:v>
                </c:pt>
                <c:pt idx="5">
                  <c:v>5.038005040484935E-5</c:v>
                </c:pt>
                <c:pt idx="6">
                  <c:v>5.0578356504101619E-5</c:v>
                </c:pt>
                <c:pt idx="7">
                  <c:v>1.097813929486938E-4</c:v>
                </c:pt>
                <c:pt idx="8">
                  <c:v>5.038005040484935E-5</c:v>
                </c:pt>
                <c:pt idx="9">
                  <c:v>1.093509653644292E-4</c:v>
                </c:pt>
                <c:pt idx="10">
                  <c:v>1.007601008096987E-4</c:v>
                </c:pt>
                <c:pt idx="11">
                  <c:v>3.0228030242909613E-5</c:v>
                </c:pt>
                <c:pt idx="12">
                  <c:v>1.007601008096987E-4</c:v>
                </c:pt>
                <c:pt idx="13">
                  <c:v>3.0228030242909613E-5</c:v>
                </c:pt>
                <c:pt idx="14">
                  <c:v>2.187019307288584E-4</c:v>
                </c:pt>
                <c:pt idx="15">
                  <c:v>6.5610579218657524E-5</c:v>
                </c:pt>
                <c:pt idx="18">
                  <c:v>5.0578356504101619E-5</c:v>
                </c:pt>
                <c:pt idx="19">
                  <c:v>4.9097247255633463E-5</c:v>
                </c:pt>
                <c:pt idx="20">
                  <c:v>5.038005040484935E-5</c:v>
                </c:pt>
                <c:pt idx="21">
                  <c:v>3.0103213675635297E-5</c:v>
                </c:pt>
              </c:numCache>
            </c:numRef>
          </c:val>
          <c:extLst>
            <c:ext xmlns:c16="http://schemas.microsoft.com/office/drawing/2014/chart" uri="{C3380CC4-5D6E-409C-BE32-E72D297353CC}">
              <c16:uniqueId val="{0000000D-0564-4922-B51B-1B8AE1077F08}"/>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LCIA_CC!$P$174</c:f>
              <c:strCache>
                <c:ptCount val="1"/>
                <c:pt idx="0">
                  <c:v>AGS</c:v>
                </c:pt>
              </c:strCache>
            </c:strRef>
          </c:tx>
          <c:spPr>
            <a:solidFill>
              <a:schemeClr val="accent2">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LCIA_CC!$Q$174:$V$174</c:f>
              <c:numCache>
                <c:formatCode>0.00</c:formatCode>
                <c:ptCount val="6"/>
                <c:pt idx="0">
                  <c:v>2.8865147892155482E-2</c:v>
                </c:pt>
                <c:pt idx="1">
                  <c:v>3.1699357331498736E-2</c:v>
                </c:pt>
                <c:pt idx="2">
                  <c:v>5.3158394909694193E-2</c:v>
                </c:pt>
                <c:pt idx="3">
                  <c:v>0.5339295695275732</c:v>
                </c:pt>
                <c:pt idx="4">
                  <c:v>0.24483288447687598</c:v>
                </c:pt>
                <c:pt idx="5">
                  <c:v>0.13658660193083338</c:v>
                </c:pt>
              </c:numCache>
            </c:numRef>
          </c:val>
          <c:extLst>
            <c:ext xmlns:c16="http://schemas.microsoft.com/office/drawing/2014/chart" uri="{C3380CC4-5D6E-409C-BE32-E72D297353CC}">
              <c16:uniqueId val="{00000000-205B-401B-BC52-2AF88B74F5FA}"/>
            </c:ext>
          </c:extLst>
        </c:ser>
        <c:ser>
          <c:idx val="1"/>
          <c:order val="1"/>
          <c:tx>
            <c:strRef>
              <c:f>LCIA_CC!$P$175</c:f>
              <c:strCache>
                <c:ptCount val="1"/>
                <c:pt idx="0">
                  <c:v>EGS</c:v>
                </c:pt>
              </c:strCache>
            </c:strRef>
          </c:tx>
          <c:spPr>
            <a:solidFill>
              <a:schemeClr val="accent3">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LCIA_CC!$Q$175:$V$175</c:f>
              <c:numCache>
                <c:formatCode>0.00</c:formatCode>
                <c:ptCount val="6"/>
                <c:pt idx="0">
                  <c:v>3.4996123117293221E-2</c:v>
                </c:pt>
                <c:pt idx="1">
                  <c:v>2.0662134741277004E-2</c:v>
                </c:pt>
                <c:pt idx="2">
                  <c:v>6.4215408284694006E-2</c:v>
                </c:pt>
                <c:pt idx="3">
                  <c:v>0.46809879200252896</c:v>
                </c:pt>
                <c:pt idx="4">
                  <c:v>0.31137040326780929</c:v>
                </c:pt>
                <c:pt idx="5">
                  <c:v>0.2149169624952981</c:v>
                </c:pt>
              </c:numCache>
            </c:numRef>
          </c:val>
          <c:extLst>
            <c:ext xmlns:c16="http://schemas.microsoft.com/office/drawing/2014/chart" uri="{C3380CC4-5D6E-409C-BE32-E72D297353CC}">
              <c16:uniqueId val="{00000001-205B-401B-BC52-2AF88B74F5FA}"/>
            </c:ext>
          </c:extLst>
        </c:ser>
        <c:ser>
          <c:idx val="2"/>
          <c:order val="2"/>
          <c:tx>
            <c:strRef>
              <c:f>LCIA_CC!$P$176</c:f>
              <c:strCache>
                <c:ptCount val="1"/>
                <c:pt idx="0">
                  <c:v>Large solar</c:v>
                </c:pt>
              </c:strCache>
            </c:strRef>
          </c:tx>
          <c:spPr>
            <a:solidFill>
              <a:schemeClr val="accent4">
                <a:lumMod val="40000"/>
                <a:lumOff val="60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LCIA_CC!$Q$176:$V$176</c:f>
              <c:numCache>
                <c:formatCode>0.00</c:formatCode>
                <c:ptCount val="6"/>
                <c:pt idx="0">
                  <c:v>6.6640055617541688E-2</c:v>
                </c:pt>
                <c:pt idx="1">
                  <c:v>1</c:v>
                </c:pt>
                <c:pt idx="2">
                  <c:v>1</c:v>
                </c:pt>
                <c:pt idx="3">
                  <c:v>1</c:v>
                </c:pt>
                <c:pt idx="4">
                  <c:v>1</c:v>
                </c:pt>
                <c:pt idx="5">
                  <c:v>0.99158227649040465</c:v>
                </c:pt>
              </c:numCache>
            </c:numRef>
          </c:val>
          <c:extLst>
            <c:ext xmlns:c16="http://schemas.microsoft.com/office/drawing/2014/chart" uri="{C3380CC4-5D6E-409C-BE32-E72D297353CC}">
              <c16:uniqueId val="{00000002-205B-401B-BC52-2AF88B74F5FA}"/>
            </c:ext>
          </c:extLst>
        </c:ser>
        <c:ser>
          <c:idx val="3"/>
          <c:order val="3"/>
          <c:tx>
            <c:strRef>
              <c:f>LCIA_CC!$P$177</c:f>
              <c:strCache>
                <c:ptCount val="1"/>
                <c:pt idx="0">
                  <c:v>Wind onshore &gt;3 MW</c:v>
                </c:pt>
              </c:strCache>
            </c:strRef>
          </c:tx>
          <c:spPr>
            <a:solidFill>
              <a:schemeClr val="accent5">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LCIA_CC!$Q$177:$V$177</c:f>
              <c:numCache>
                <c:formatCode>0.00</c:formatCode>
                <c:ptCount val="6"/>
                <c:pt idx="0">
                  <c:v>5.8896411826068397E-2</c:v>
                </c:pt>
                <c:pt idx="1">
                  <c:v>0.35920431030853983</c:v>
                </c:pt>
                <c:pt idx="2">
                  <c:v>0.38482914926125716</c:v>
                </c:pt>
                <c:pt idx="3">
                  <c:v>0.51157815227121772</c:v>
                </c:pt>
                <c:pt idx="4">
                  <c:v>0.88368638308757463</c:v>
                </c:pt>
                <c:pt idx="5">
                  <c:v>0.54239825625759053</c:v>
                </c:pt>
              </c:numCache>
            </c:numRef>
          </c:val>
          <c:extLst>
            <c:ext xmlns:c16="http://schemas.microsoft.com/office/drawing/2014/chart" uri="{C3380CC4-5D6E-409C-BE32-E72D297353CC}">
              <c16:uniqueId val="{00000003-205B-401B-BC52-2AF88B74F5FA}"/>
            </c:ext>
          </c:extLst>
        </c:ser>
        <c:ser>
          <c:idx val="5"/>
          <c:order val="4"/>
          <c:tx>
            <c:strRef>
              <c:f>LCIA_CC!$P$178</c:f>
              <c:strCache>
                <c:ptCount val="1"/>
                <c:pt idx="0">
                  <c:v>Hydro, run-of-river</c:v>
                </c:pt>
              </c:strCache>
            </c:strRef>
          </c:tx>
          <c:spPr>
            <a:solidFill>
              <a:srgbClr val="FFC000"/>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LCIA_CC!$Q$178:$V$178</c:f>
              <c:numCache>
                <c:formatCode>0.00</c:formatCode>
                <c:ptCount val="6"/>
                <c:pt idx="0">
                  <c:v>6.49859512702264E-3</c:v>
                </c:pt>
                <c:pt idx="1">
                  <c:v>2.5224545925391223E-3</c:v>
                </c:pt>
                <c:pt idx="2">
                  <c:v>1.2906997143107045E-2</c:v>
                </c:pt>
                <c:pt idx="3">
                  <c:v>2.2312480621251744E-2</c:v>
                </c:pt>
                <c:pt idx="4">
                  <c:v>0.12069674803380698</c:v>
                </c:pt>
                <c:pt idx="5">
                  <c:v>5.7991448739440975E-2</c:v>
                </c:pt>
              </c:numCache>
            </c:numRef>
          </c:val>
          <c:extLst>
            <c:ext xmlns:c16="http://schemas.microsoft.com/office/drawing/2014/chart" uri="{C3380CC4-5D6E-409C-BE32-E72D297353CC}">
              <c16:uniqueId val="{00000005-205B-401B-BC52-2AF88B74F5FA}"/>
            </c:ext>
          </c:extLst>
        </c:ser>
        <c:ser>
          <c:idx val="6"/>
          <c:order val="5"/>
          <c:tx>
            <c:strRef>
              <c:f>LCIA_CC!$P$179</c:f>
              <c:strCache>
                <c:ptCount val="1"/>
                <c:pt idx="0">
                  <c:v>Hydro, reservoir</c:v>
                </c:pt>
              </c:strCache>
            </c:strRef>
          </c:tx>
          <c:spPr>
            <a:solidFill>
              <a:schemeClr val="accent1">
                <a:lumMod val="50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LCIA_CC!$Q$179:$V$179</c:f>
              <c:numCache>
                <c:formatCode>0.00</c:formatCode>
                <c:ptCount val="6"/>
                <c:pt idx="0">
                  <c:v>1.0836651874402175E-2</c:v>
                </c:pt>
                <c:pt idx="1">
                  <c:v>3.7462241177398498E-3</c:v>
                </c:pt>
                <c:pt idx="2">
                  <c:v>1.7277514898039515E-2</c:v>
                </c:pt>
                <c:pt idx="3">
                  <c:v>1.8942215074382443E-2</c:v>
                </c:pt>
                <c:pt idx="4">
                  <c:v>0.17400930037532134</c:v>
                </c:pt>
                <c:pt idx="5">
                  <c:v>6.8729865275240401E-2</c:v>
                </c:pt>
              </c:numCache>
            </c:numRef>
          </c:val>
          <c:extLst>
            <c:ext xmlns:c16="http://schemas.microsoft.com/office/drawing/2014/chart" uri="{C3380CC4-5D6E-409C-BE32-E72D297353CC}">
              <c16:uniqueId val="{00000006-205B-401B-BC52-2AF88B74F5FA}"/>
            </c:ext>
          </c:extLst>
        </c:ser>
        <c:ser>
          <c:idx val="4"/>
          <c:order val="6"/>
          <c:tx>
            <c:strRef>
              <c:f>LCIA_CC!$P$180</c:f>
              <c:strCache>
                <c:ptCount val="1"/>
                <c:pt idx="0">
                  <c:v>Natural gas</c:v>
                </c:pt>
              </c:strCache>
            </c:strRef>
          </c:tx>
          <c:spPr>
            <a:solidFill>
              <a:schemeClr val="accent6">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LCIA_CC!$Q$180:$V$180</c:f>
              <c:numCache>
                <c:formatCode>0.00</c:formatCode>
                <c:ptCount val="6"/>
                <c:pt idx="0">
                  <c:v>1</c:v>
                </c:pt>
                <c:pt idx="1">
                  <c:v>8.0367431457487939E-3</c:v>
                </c:pt>
                <c:pt idx="2">
                  <c:v>0.18830881101984762</c:v>
                </c:pt>
                <c:pt idx="3">
                  <c:v>5.9760339680756162E-2</c:v>
                </c:pt>
                <c:pt idx="4">
                  <c:v>0.14094541705666014</c:v>
                </c:pt>
                <c:pt idx="5">
                  <c:v>1</c:v>
                </c:pt>
              </c:numCache>
            </c:numRef>
          </c:val>
          <c:extLst>
            <c:ext xmlns:c16="http://schemas.microsoft.com/office/drawing/2014/chart" uri="{C3380CC4-5D6E-409C-BE32-E72D297353CC}">
              <c16:uniqueId val="{00000004-205B-401B-BC52-2AF88B74F5FA}"/>
            </c:ext>
          </c:extLst>
        </c:ser>
        <c:dLbls>
          <c:showLegendKey val="0"/>
          <c:showVal val="0"/>
          <c:showCatName val="0"/>
          <c:showSerName val="0"/>
          <c:showPercent val="0"/>
          <c:showBubbleSize val="0"/>
        </c:dLbls>
        <c:gapWidth val="219"/>
        <c:overlap val="-27"/>
        <c:axId val="32859392"/>
        <c:axId val="32839232"/>
      </c:barChart>
      <c:catAx>
        <c:axId val="328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32839232"/>
        <c:crosses val="autoZero"/>
        <c:auto val="1"/>
        <c:lblAlgn val="ctr"/>
        <c:lblOffset val="100"/>
        <c:noMultiLvlLbl val="0"/>
      </c:catAx>
      <c:valAx>
        <c:axId val="328392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a:t>Normalisation to 1 = maximum score in each impact category</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3285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stacked"/>
        <c:varyColors val="0"/>
        <c:ser>
          <c:idx val="0"/>
          <c:order val="0"/>
          <c:tx>
            <c:strRef>
              <c:f>ags_CA_seed!$Q$5:$R$5</c:f>
              <c:strCache>
                <c:ptCount val="2"/>
                <c:pt idx="0">
                  <c:v>Well construction</c:v>
                </c:pt>
                <c:pt idx="1">
                  <c:v>Energy use, vertical</c:v>
                </c:pt>
              </c:strCache>
            </c:strRef>
          </c:tx>
          <c:spPr>
            <a:solidFill>
              <a:schemeClr val="accent1"/>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ags_CA_seed!$S$5:$Y$5</c:f>
              <c:numCache>
                <c:formatCode>General</c:formatCode>
                <c:ptCount val="7"/>
                <c:pt idx="0">
                  <c:v>1.0507706690942477E-2</c:v>
                </c:pt>
                <c:pt idx="1">
                  <c:v>7.0603162368485057E-3</c:v>
                </c:pt>
                <c:pt idx="2">
                  <c:v>1.427260029645118E-3</c:v>
                </c:pt>
                <c:pt idx="3">
                  <c:v>7.3933636790597702E-3</c:v>
                </c:pt>
                <c:pt idx="4">
                  <c:v>3.6237833675218059E-2</c:v>
                </c:pt>
                <c:pt idx="5">
                  <c:v>7.3000068689717508E-3</c:v>
                </c:pt>
                <c:pt idx="6">
                  <c:v>1.1391781651193596E-2</c:v>
                </c:pt>
              </c:numCache>
            </c:numRef>
          </c:val>
          <c:extLst>
            <c:ext xmlns:c16="http://schemas.microsoft.com/office/drawing/2014/chart" uri="{C3380CC4-5D6E-409C-BE32-E72D297353CC}">
              <c16:uniqueId val="{00000000-26D7-4B09-B48B-74A1B9CDCD67}"/>
            </c:ext>
          </c:extLst>
        </c:ser>
        <c:ser>
          <c:idx val="1"/>
          <c:order val="1"/>
          <c:tx>
            <c:strRef>
              <c:f>ags_CA_seed!$Q$6:$R$6</c:f>
              <c:strCache>
                <c:ptCount val="2"/>
                <c:pt idx="0">
                  <c:v>Well construction</c:v>
                </c:pt>
                <c:pt idx="1">
                  <c:v>Energy use, horizontal</c:v>
                </c:pt>
              </c:strCache>
            </c:strRef>
          </c:tx>
          <c:spPr>
            <a:solidFill>
              <a:schemeClr val="accent2"/>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ags_CA_seed!$S$6:$Y$6</c:f>
              <c:numCache>
                <c:formatCode>General</c:formatCode>
                <c:ptCount val="7"/>
                <c:pt idx="0">
                  <c:v>5.4610255859541851E-2</c:v>
                </c:pt>
                <c:pt idx="1">
                  <c:v>3.6693608556463871E-2</c:v>
                </c:pt>
                <c:pt idx="2">
                  <c:v>7.8012389880808405E-3</c:v>
                </c:pt>
                <c:pt idx="3">
                  <c:v>3.8910575427632106E-2</c:v>
                </c:pt>
                <c:pt idx="4">
                  <c:v>0.18833389882351792</c:v>
                </c:pt>
                <c:pt idx="5">
                  <c:v>3.7939319645703684E-2</c:v>
                </c:pt>
                <c:pt idx="6">
                  <c:v>5.9204936811185951E-2</c:v>
                </c:pt>
              </c:numCache>
            </c:numRef>
          </c:val>
          <c:extLst>
            <c:ext xmlns:c16="http://schemas.microsoft.com/office/drawing/2014/chart" uri="{C3380CC4-5D6E-409C-BE32-E72D297353CC}">
              <c16:uniqueId val="{00000001-26D7-4B09-B48B-74A1B9CDCD67}"/>
            </c:ext>
          </c:extLst>
        </c:ser>
        <c:ser>
          <c:idx val="2"/>
          <c:order val="2"/>
          <c:tx>
            <c:strRef>
              <c:f>ags_CA_seed!$Q$7:$R$7</c:f>
              <c:strCache>
                <c:ptCount val="2"/>
                <c:pt idx="0">
                  <c:v>Well construction</c:v>
                </c:pt>
                <c:pt idx="1">
                  <c:v>Casing, steel</c:v>
                </c:pt>
              </c:strCache>
            </c:strRef>
          </c:tx>
          <c:spPr>
            <a:solidFill>
              <a:schemeClr val="accent3"/>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ags_CA_seed!$S$7:$Y$7</c:f>
              <c:numCache>
                <c:formatCode>General</c:formatCode>
                <c:ptCount val="7"/>
                <c:pt idx="0">
                  <c:v>0.66246144792944073</c:v>
                </c:pt>
                <c:pt idx="1">
                  <c:v>0.74393905026674978</c:v>
                </c:pt>
                <c:pt idx="2">
                  <c:v>5.2098414717625489E-2</c:v>
                </c:pt>
                <c:pt idx="3">
                  <c:v>0.78329273093323348</c:v>
                </c:pt>
                <c:pt idx="4">
                  <c:v>0.55129372633971718</c:v>
                </c:pt>
                <c:pt idx="5">
                  <c:v>0.76627110577017876</c:v>
                </c:pt>
                <c:pt idx="6">
                  <c:v>0.68182947176519215</c:v>
                </c:pt>
              </c:numCache>
            </c:numRef>
          </c:val>
          <c:extLst>
            <c:ext xmlns:c16="http://schemas.microsoft.com/office/drawing/2014/chart" uri="{C3380CC4-5D6E-409C-BE32-E72D297353CC}">
              <c16:uniqueId val="{00000002-26D7-4B09-B48B-74A1B9CDCD67}"/>
            </c:ext>
          </c:extLst>
        </c:ser>
        <c:ser>
          <c:idx val="3"/>
          <c:order val="3"/>
          <c:tx>
            <c:strRef>
              <c:f>ags_CA_seed!$Q$8:$R$8</c:f>
              <c:strCache>
                <c:ptCount val="2"/>
                <c:pt idx="0">
                  <c:v>Well construction</c:v>
                </c:pt>
                <c:pt idx="1">
                  <c:v>Casing, cement</c:v>
                </c:pt>
              </c:strCache>
            </c:strRef>
          </c:tx>
          <c:spPr>
            <a:solidFill>
              <a:schemeClr val="accent4"/>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ags_CA_seed!$S$8:$Y$8</c:f>
              <c:numCache>
                <c:formatCode>General</c:formatCode>
                <c:ptCount val="7"/>
                <c:pt idx="0">
                  <c:v>0.1212794808175064</c:v>
                </c:pt>
                <c:pt idx="1">
                  <c:v>5.236701576546491E-2</c:v>
                </c:pt>
                <c:pt idx="2">
                  <c:v>1.68082193743507E-3</c:v>
                </c:pt>
                <c:pt idx="3">
                  <c:v>1.6906955877784648E-2</c:v>
                </c:pt>
                <c:pt idx="4">
                  <c:v>5.7310295086567528E-2</c:v>
                </c:pt>
                <c:pt idx="5">
                  <c:v>2.351481375261387E-2</c:v>
                </c:pt>
                <c:pt idx="6">
                  <c:v>7.6578762566174172E-2</c:v>
                </c:pt>
              </c:numCache>
            </c:numRef>
          </c:val>
          <c:extLst>
            <c:ext xmlns:c16="http://schemas.microsoft.com/office/drawing/2014/chart" uri="{C3380CC4-5D6E-409C-BE32-E72D297353CC}">
              <c16:uniqueId val="{00000003-26D7-4B09-B48B-74A1B9CDCD67}"/>
            </c:ext>
          </c:extLst>
        </c:ser>
        <c:ser>
          <c:idx val="4"/>
          <c:order val="4"/>
          <c:tx>
            <c:strRef>
              <c:f>ags_CA_seed!$Q$9:$R$9</c:f>
              <c:strCache>
                <c:ptCount val="2"/>
                <c:pt idx="0">
                  <c:v>Well construction</c:v>
                </c:pt>
                <c:pt idx="1">
                  <c:v>Casing, water</c:v>
                </c:pt>
              </c:strCache>
            </c:strRef>
          </c:tx>
          <c:spPr>
            <a:solidFill>
              <a:schemeClr val="accent5"/>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ags_CA_seed!$S$9:$Y$9</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26D7-4B09-B48B-74A1B9CDCD67}"/>
            </c:ext>
          </c:extLst>
        </c:ser>
        <c:ser>
          <c:idx val="5"/>
          <c:order val="5"/>
          <c:tx>
            <c:strRef>
              <c:f>ags_CA_seed!$Q$10:$R$10</c:f>
              <c:strCache>
                <c:ptCount val="2"/>
                <c:pt idx="0">
                  <c:v>Well construction</c:v>
                </c:pt>
                <c:pt idx="1">
                  <c:v>Drilling equipment</c:v>
                </c:pt>
              </c:strCache>
            </c:strRef>
          </c:tx>
          <c:spPr>
            <a:solidFill>
              <a:schemeClr val="accent6"/>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ags_CA_seed!$S$10:$Y$10</c:f>
              <c:numCache>
                <c:formatCode>General</c:formatCode>
                <c:ptCount val="7"/>
                <c:pt idx="0">
                  <c:v>6.4780907114040456E-2</c:v>
                </c:pt>
                <c:pt idx="1">
                  <c:v>4.3709686551039302E-2</c:v>
                </c:pt>
                <c:pt idx="2">
                  <c:v>5.5451239821344162E-3</c:v>
                </c:pt>
                <c:pt idx="3">
                  <c:v>6.7360521977239782E-2</c:v>
                </c:pt>
                <c:pt idx="4">
                  <c:v>6.0478003256085752E-2</c:v>
                </c:pt>
                <c:pt idx="5">
                  <c:v>4.6903721181188442E-2</c:v>
                </c:pt>
                <c:pt idx="6">
                  <c:v>6.1072000766822107E-2</c:v>
                </c:pt>
              </c:numCache>
            </c:numRef>
          </c:val>
          <c:extLst>
            <c:ext xmlns:c16="http://schemas.microsoft.com/office/drawing/2014/chart" uri="{C3380CC4-5D6E-409C-BE32-E72D297353CC}">
              <c16:uniqueId val="{00000005-26D7-4B09-B48B-74A1B9CDCD67}"/>
            </c:ext>
          </c:extLst>
        </c:ser>
        <c:ser>
          <c:idx val="6"/>
          <c:order val="6"/>
          <c:tx>
            <c:strRef>
              <c:f>ags_CA_seed!$Q$11:$R$11</c:f>
              <c:strCache>
                <c:ptCount val="2"/>
                <c:pt idx="0">
                  <c:v>Well construction</c:v>
                </c:pt>
                <c:pt idx="1">
                  <c:v>Drilling waste</c:v>
                </c:pt>
              </c:strCache>
            </c:strRef>
          </c:tx>
          <c:spPr>
            <a:solidFill>
              <a:schemeClr val="accent1">
                <a:lumMod val="6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ags_CA_seed!$S$11:$Y$11</c:f>
              <c:numCache>
                <c:formatCode>General</c:formatCode>
                <c:ptCount val="7"/>
                <c:pt idx="0">
                  <c:v>6.6243995569821735E-3</c:v>
                </c:pt>
                <c:pt idx="1">
                  <c:v>7.3718743851915684E-3</c:v>
                </c:pt>
                <c:pt idx="2">
                  <c:v>0.91765087642850673</c:v>
                </c:pt>
                <c:pt idx="3">
                  <c:v>1.1344250197039241E-3</c:v>
                </c:pt>
                <c:pt idx="4">
                  <c:v>1.8662654002308827E-2</c:v>
                </c:pt>
                <c:pt idx="5">
                  <c:v>1.0249496952463978E-2</c:v>
                </c:pt>
                <c:pt idx="6">
                  <c:v>1.782283057903198E-2</c:v>
                </c:pt>
              </c:numCache>
            </c:numRef>
          </c:val>
          <c:extLst>
            <c:ext xmlns:c16="http://schemas.microsoft.com/office/drawing/2014/chart" uri="{C3380CC4-5D6E-409C-BE32-E72D297353CC}">
              <c16:uniqueId val="{00000006-26D7-4B09-B48B-74A1B9CDCD67}"/>
            </c:ext>
          </c:extLst>
        </c:ser>
        <c:ser>
          <c:idx val="7"/>
          <c:order val="7"/>
          <c:tx>
            <c:strRef>
              <c:f>ags_CA_seed!$Q$12:$R$12</c:f>
              <c:strCache>
                <c:ptCount val="2"/>
                <c:pt idx="0">
                  <c:v>CO₂</c:v>
                </c:pt>
                <c:pt idx="1">
                  <c:v>Total</c:v>
                </c:pt>
              </c:strCache>
            </c:strRef>
          </c:tx>
          <c:spPr>
            <a:solidFill>
              <a:schemeClr val="accent2">
                <a:lumMod val="6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ags_CA_seed!$S$12:$Y$12</c:f>
              <c:numCache>
                <c:formatCode>General</c:formatCode>
                <c:ptCount val="7"/>
                <c:pt idx="0">
                  <c:v>7.0847687181396493E-3</c:v>
                </c:pt>
                <c:pt idx="1">
                  <c:v>7.9725205868744417E-3</c:v>
                </c:pt>
                <c:pt idx="2">
                  <c:v>2.3238154012341738E-3</c:v>
                </c:pt>
                <c:pt idx="3">
                  <c:v>9.2367242178554108E-3</c:v>
                </c:pt>
                <c:pt idx="4">
                  <c:v>2.349325279270743E-2</c:v>
                </c:pt>
                <c:pt idx="5">
                  <c:v>6.2177124933639897E-3</c:v>
                </c:pt>
                <c:pt idx="6">
                  <c:v>9.3688707369482208E-3</c:v>
                </c:pt>
              </c:numCache>
            </c:numRef>
          </c:val>
          <c:extLst>
            <c:ext xmlns:c16="http://schemas.microsoft.com/office/drawing/2014/chart" uri="{C3380CC4-5D6E-409C-BE32-E72D297353CC}">
              <c16:uniqueId val="{00000007-26D7-4B09-B48B-74A1B9CDCD67}"/>
            </c:ext>
          </c:extLst>
        </c:ser>
        <c:ser>
          <c:idx val="8"/>
          <c:order val="8"/>
          <c:tx>
            <c:strRef>
              <c:f>ags_CA_seed!$Q$13:$R$13</c:f>
              <c:strCache>
                <c:ptCount val="2"/>
                <c:pt idx="0">
                  <c:v>CO₂</c:v>
                </c:pt>
                <c:pt idx="1">
                  <c:v>Capture</c:v>
                </c:pt>
              </c:strCache>
            </c:strRef>
          </c:tx>
          <c:spPr>
            <a:solidFill>
              <a:schemeClr val="accent3">
                <a:lumMod val="6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ags_CA_seed!$S$13:$Y$13</c:f>
              <c:numCache>
                <c:formatCode>General</c:formatCode>
                <c:ptCount val="7"/>
              </c:numCache>
            </c:numRef>
          </c:val>
          <c:extLst>
            <c:ext xmlns:c16="http://schemas.microsoft.com/office/drawing/2014/chart" uri="{C3380CC4-5D6E-409C-BE32-E72D297353CC}">
              <c16:uniqueId val="{00000008-26D7-4B09-B48B-74A1B9CDCD67}"/>
            </c:ext>
          </c:extLst>
        </c:ser>
        <c:ser>
          <c:idx val="9"/>
          <c:order val="9"/>
          <c:tx>
            <c:strRef>
              <c:f>ags_CA_seed!$Q$14:$R$14</c:f>
              <c:strCache>
                <c:ptCount val="2"/>
                <c:pt idx="0">
                  <c:v>CO₂</c:v>
                </c:pt>
                <c:pt idx="1">
                  <c:v>Storage</c:v>
                </c:pt>
              </c:strCache>
            </c:strRef>
          </c:tx>
          <c:spPr>
            <a:solidFill>
              <a:schemeClr val="accent4">
                <a:lumMod val="6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ags_CA_seed!$S$14:$Y$14</c:f>
              <c:numCache>
                <c:formatCode>General</c:formatCode>
                <c:ptCount val="7"/>
              </c:numCache>
            </c:numRef>
          </c:val>
          <c:extLst>
            <c:ext xmlns:c16="http://schemas.microsoft.com/office/drawing/2014/chart" uri="{C3380CC4-5D6E-409C-BE32-E72D297353CC}">
              <c16:uniqueId val="{00000009-26D7-4B09-B48B-74A1B9CDCD67}"/>
            </c:ext>
          </c:extLst>
        </c:ser>
        <c:ser>
          <c:idx val="10"/>
          <c:order val="10"/>
          <c:tx>
            <c:strRef>
              <c:f>ags_CA_seed!$Q$15:$R$15</c:f>
              <c:strCache>
                <c:ptCount val="2"/>
                <c:pt idx="0">
                  <c:v>CO₂</c:v>
                </c:pt>
                <c:pt idx="1">
                  <c:v>Transport</c:v>
                </c:pt>
              </c:strCache>
            </c:strRef>
          </c:tx>
          <c:spPr>
            <a:solidFill>
              <a:schemeClr val="accent5">
                <a:lumMod val="6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ags_CA_seed!$S$15:$Y$15</c:f>
              <c:numCache>
                <c:formatCode>General</c:formatCode>
                <c:ptCount val="7"/>
              </c:numCache>
            </c:numRef>
          </c:val>
          <c:extLst>
            <c:ext xmlns:c16="http://schemas.microsoft.com/office/drawing/2014/chart" uri="{C3380CC4-5D6E-409C-BE32-E72D297353CC}">
              <c16:uniqueId val="{0000000A-26D7-4B09-B48B-74A1B9CDCD67}"/>
            </c:ext>
          </c:extLst>
        </c:ser>
        <c:ser>
          <c:idx val="11"/>
          <c:order val="11"/>
          <c:tx>
            <c:strRef>
              <c:f>ags_CA_seed!$Q$16:$R$16</c:f>
              <c:strCache>
                <c:ptCount val="2"/>
                <c:pt idx="0">
                  <c:v>CO₂</c:v>
                </c:pt>
                <c:pt idx="1">
                  <c:v>Conditioning</c:v>
                </c:pt>
              </c:strCache>
            </c:strRef>
          </c:tx>
          <c:spPr>
            <a:solidFill>
              <a:schemeClr val="accent6">
                <a:lumMod val="6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ags_CA_seed!$S$16:$Y$16</c:f>
              <c:numCache>
                <c:formatCode>General</c:formatCode>
                <c:ptCount val="7"/>
              </c:numCache>
            </c:numRef>
          </c:val>
          <c:extLst>
            <c:ext xmlns:c16="http://schemas.microsoft.com/office/drawing/2014/chart" uri="{C3380CC4-5D6E-409C-BE32-E72D297353CC}">
              <c16:uniqueId val="{0000000B-26D7-4B09-B48B-74A1B9CDCD67}"/>
            </c:ext>
          </c:extLst>
        </c:ser>
        <c:ser>
          <c:idx val="12"/>
          <c:order val="12"/>
          <c:tx>
            <c:strRef>
              <c:f>ags_CA_seed!$Q$17:$R$17</c:f>
              <c:strCache>
                <c:ptCount val="2"/>
                <c:pt idx="0">
                  <c:v>CO₂</c:v>
                </c:pt>
                <c:pt idx="1">
                  <c:v>Pumping</c:v>
                </c:pt>
              </c:strCache>
            </c:strRef>
          </c:tx>
          <c:spPr>
            <a:solidFill>
              <a:schemeClr val="accent1">
                <a:lumMod val="80000"/>
                <a:lumOff val="2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ags_CA_seed!$S$17:$Y$17</c:f>
              <c:numCache>
                <c:formatCode>General</c:formatCode>
                <c:ptCount val="7"/>
              </c:numCache>
            </c:numRef>
          </c:val>
          <c:extLst>
            <c:ext xmlns:c16="http://schemas.microsoft.com/office/drawing/2014/chart" uri="{C3380CC4-5D6E-409C-BE32-E72D297353CC}">
              <c16:uniqueId val="{0000000C-26D7-4B09-B48B-74A1B9CDCD67}"/>
            </c:ext>
          </c:extLst>
        </c:ser>
        <c:ser>
          <c:idx val="13"/>
          <c:order val="13"/>
          <c:tx>
            <c:strRef>
              <c:f>ags_CA_seed!$Q$18:$R$18</c:f>
              <c:strCache>
                <c:ptCount val="2"/>
                <c:pt idx="0">
                  <c:v>Surface plant</c:v>
                </c:pt>
              </c:strCache>
            </c:strRef>
          </c:tx>
          <c:spPr>
            <a:solidFill>
              <a:schemeClr val="accent2">
                <a:lumMod val="80000"/>
                <a:lumOff val="2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ags_CA_seed!$S$18:$Y$18</c:f>
              <c:numCache>
                <c:formatCode>General</c:formatCode>
                <c:ptCount val="7"/>
                <c:pt idx="0">
                  <c:v>6.4908886683986589E-2</c:v>
                </c:pt>
                <c:pt idx="1">
                  <c:v>9.7293555440087692E-2</c:v>
                </c:pt>
                <c:pt idx="2">
                  <c:v>1.117951104566846E-2</c:v>
                </c:pt>
                <c:pt idx="3">
                  <c:v>7.4177401280579647E-2</c:v>
                </c:pt>
                <c:pt idx="4">
                  <c:v>5.9517060715113888E-2</c:v>
                </c:pt>
                <c:pt idx="5">
                  <c:v>9.9855565946833105E-2</c:v>
                </c:pt>
                <c:pt idx="6">
                  <c:v>7.7595067000649581E-2</c:v>
                </c:pt>
              </c:numCache>
            </c:numRef>
          </c:val>
          <c:extLst>
            <c:ext xmlns:c16="http://schemas.microsoft.com/office/drawing/2014/chart" uri="{C3380CC4-5D6E-409C-BE32-E72D297353CC}">
              <c16:uniqueId val="{0000000D-26D7-4B09-B48B-74A1B9CDCD67}"/>
            </c:ext>
          </c:extLst>
        </c:ser>
        <c:ser>
          <c:idx val="14"/>
          <c:order val="14"/>
          <c:tx>
            <c:strRef>
              <c:f>ags_CA_seed!$Q$19:$R$19</c:f>
              <c:strCache>
                <c:ptCount val="2"/>
                <c:pt idx="0">
                  <c:v>Maintenance</c:v>
                </c:pt>
              </c:strCache>
            </c:strRef>
          </c:tx>
          <c:spPr>
            <a:solidFill>
              <a:schemeClr val="accent3">
                <a:lumMod val="80000"/>
                <a:lumOff val="2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ags_CA_seed!$S$19:$Y$19</c:f>
              <c:numCache>
                <c:formatCode>General</c:formatCode>
                <c:ptCount val="7"/>
                <c:pt idx="0">
                  <c:v>3.5423843590698221E-4</c:v>
                </c:pt>
                <c:pt idx="1">
                  <c:v>3.9862602934371519E-4</c:v>
                </c:pt>
                <c:pt idx="2">
                  <c:v>1.161907700617081E-4</c:v>
                </c:pt>
                <c:pt idx="3">
                  <c:v>4.6183621089275479E-4</c:v>
                </c:pt>
                <c:pt idx="4">
                  <c:v>1.1746626396352581E-3</c:v>
                </c:pt>
                <c:pt idx="5">
                  <c:v>3.1088562466819689E-4</c:v>
                </c:pt>
                <c:pt idx="6">
                  <c:v>4.6844353684740732E-4</c:v>
                </c:pt>
              </c:numCache>
            </c:numRef>
          </c:val>
          <c:extLst>
            <c:ext xmlns:c16="http://schemas.microsoft.com/office/drawing/2014/chart" uri="{C3380CC4-5D6E-409C-BE32-E72D297353CC}">
              <c16:uniqueId val="{0000000E-26D7-4B09-B48B-74A1B9CDCD67}"/>
            </c:ext>
          </c:extLst>
        </c:ser>
        <c:ser>
          <c:idx val="15"/>
          <c:order val="15"/>
          <c:tx>
            <c:strRef>
              <c:f>ags_CA_seed!$Q$20:$R$20</c:f>
              <c:strCache>
                <c:ptCount val="2"/>
                <c:pt idx="0">
                  <c:v>EoL</c:v>
                </c:pt>
              </c:strCache>
            </c:strRef>
          </c:tx>
          <c:spPr>
            <a:solidFill>
              <a:schemeClr val="accent4">
                <a:lumMod val="80000"/>
                <a:lumOff val="20000"/>
              </a:schemeClr>
            </a:solidFill>
            <a:ln>
              <a:noFill/>
            </a:ln>
            <a:effectLst/>
          </c:spPr>
          <c:invertIfNegative val="0"/>
          <c:cat>
            <c:strRef>
              <c:f>ags_CA_seed!$S$4:$Y$4</c:f>
              <c:strCache>
                <c:ptCount val="7"/>
                <c:pt idx="0">
                  <c:v>IPCC 2021-climate change-global warming potential (GWP100)</c:v>
                </c:pt>
                <c:pt idx="1">
                  <c:v>EF v3.1-acidification-accumulated exceedance (AE)</c:v>
                </c:pt>
                <c:pt idx="2">
                  <c:v>EF v3.1-ecotoxicity: freshwater-comparative toxic unit for ecosystems (CTUe)</c:v>
                </c:pt>
                <c:pt idx="3">
                  <c:v>EF v3.1-material resources: metals/minerals-abiotic depletion potential (ADP): elements (ultimate reserves)</c:v>
                </c:pt>
                <c:pt idx="4">
                  <c:v>EF v3.1-ozone depletion-ozone depletion potential (ODP)</c:v>
                </c:pt>
                <c:pt idx="5">
                  <c:v>EF v3.1-particulate matter formation-impact on human health</c:v>
                </c:pt>
                <c:pt idx="6">
                  <c:v>EF v3.1-photochemical oxidant formation: human health-tropospheric ozone concentration increase</c:v>
                </c:pt>
              </c:strCache>
            </c:strRef>
          </c:cat>
          <c:val>
            <c:numRef>
              <c:f>ags_CA_seed!$S$20:$Y$20</c:f>
              <c:numCache>
                <c:formatCode>General</c:formatCode>
                <c:ptCount val="7"/>
                <c:pt idx="0">
                  <c:v>7.3838473846801521E-3</c:v>
                </c:pt>
                <c:pt idx="1">
                  <c:v>3.188256164991085E-3</c:v>
                </c:pt>
                <c:pt idx="2">
                  <c:v>1.023333261585954E-4</c:v>
                </c:pt>
                <c:pt idx="3">
                  <c:v>1.0293446269689459E-3</c:v>
                </c:pt>
                <c:pt idx="4">
                  <c:v>3.489217381520231E-3</c:v>
                </c:pt>
                <c:pt idx="5">
                  <c:v>1.431650225232626E-3</c:v>
                </c:pt>
                <c:pt idx="6">
                  <c:v>4.6623377003661044E-3</c:v>
                </c:pt>
              </c:numCache>
            </c:numRef>
          </c:val>
          <c:extLst>
            <c:ext xmlns:c16="http://schemas.microsoft.com/office/drawing/2014/chart" uri="{C3380CC4-5D6E-409C-BE32-E72D297353CC}">
              <c16:uniqueId val="{0000000F-26D7-4B09-B48B-74A1B9CDCD67}"/>
            </c:ext>
          </c:extLst>
        </c:ser>
        <c:dLbls>
          <c:showLegendKey val="0"/>
          <c:showVal val="0"/>
          <c:showCatName val="0"/>
          <c:showSerName val="0"/>
          <c:showPercent val="0"/>
          <c:showBubbleSize val="0"/>
        </c:dLbls>
        <c:gapWidth val="150"/>
        <c:overlap val="100"/>
        <c:axId val="1539277263"/>
        <c:axId val="1539295983"/>
      </c:barChart>
      <c:catAx>
        <c:axId val="153927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39295983"/>
        <c:crosses val="autoZero"/>
        <c:auto val="1"/>
        <c:lblAlgn val="ctr"/>
        <c:lblOffset val="100"/>
        <c:noMultiLvlLbl val="0"/>
      </c:catAx>
      <c:valAx>
        <c:axId val="153929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39277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Swiss electricity climate change impacts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clustered"/>
        <c:varyColors val="0"/>
        <c:ser>
          <c:idx val="0"/>
          <c:order val="0"/>
          <c:tx>
            <c:strRef>
              <c:f>LCIA_CC!$O$48</c:f>
              <c:strCache>
                <c:ptCount val="1"/>
                <c:pt idx="0">
                  <c:v>CH_electricity</c:v>
                </c:pt>
              </c:strCache>
            </c:strRef>
          </c:tx>
          <c:spPr>
            <a:solidFill>
              <a:schemeClr val="accent1"/>
            </a:solidFill>
            <a:ln>
              <a:noFill/>
            </a:ln>
            <a:effectLst/>
          </c:spPr>
          <c:invertIfNegative val="0"/>
          <c:cat>
            <c:strRef>
              <c:f>LCIA_CH_20250508!$C$38:$C$44</c:f>
              <c:strCache>
                <c:ptCount val="7"/>
                <c:pt idx="0">
                  <c:v>Current 2019</c:v>
                </c:pt>
                <c:pt idx="1">
                  <c:v>BAU 2030</c:v>
                </c:pt>
                <c:pt idx="2">
                  <c:v>BAU 2040</c:v>
                </c:pt>
                <c:pt idx="3">
                  <c:v>BAU 2050</c:v>
                </c:pt>
                <c:pt idx="4">
                  <c:v>INNOV 2030</c:v>
                </c:pt>
                <c:pt idx="5">
                  <c:v>INNOV 2040</c:v>
                </c:pt>
                <c:pt idx="6">
                  <c:v>INNOV 2050</c:v>
                </c:pt>
              </c:strCache>
            </c:strRef>
          </c:cat>
          <c:val>
            <c:numRef>
              <c:f>LCIA_CC!$P$48:$V$48</c:f>
              <c:numCache>
                <c:formatCode>General</c:formatCode>
                <c:ptCount val="7"/>
                <c:pt idx="0">
                  <c:v>1.6584060573758899E-2</c:v>
                </c:pt>
                <c:pt idx="1">
                  <c:v>4.8410119656207597E-2</c:v>
                </c:pt>
                <c:pt idx="2">
                  <c:v>8.4488561457447903E-2</c:v>
                </c:pt>
                <c:pt idx="3">
                  <c:v>0.112878989498265</c:v>
                </c:pt>
                <c:pt idx="4">
                  <c:v>2.61610425922475E-2</c:v>
                </c:pt>
                <c:pt idx="5">
                  <c:v>3.0636019413625301E-2</c:v>
                </c:pt>
                <c:pt idx="6">
                  <c:v>3.27453801360841E-2</c:v>
                </c:pt>
              </c:numCache>
            </c:numRef>
          </c:val>
          <c:extLst>
            <c:ext xmlns:c16="http://schemas.microsoft.com/office/drawing/2014/chart" uri="{C3380CC4-5D6E-409C-BE32-E72D297353CC}">
              <c16:uniqueId val="{00000000-D1B0-4AD7-964A-82CB3AB29A11}"/>
            </c:ext>
          </c:extLst>
        </c:ser>
        <c:dLbls>
          <c:showLegendKey val="0"/>
          <c:showVal val="0"/>
          <c:showCatName val="0"/>
          <c:showSerName val="0"/>
          <c:showPercent val="0"/>
          <c:showBubbleSize val="0"/>
        </c:dLbls>
        <c:gapWidth val="219"/>
        <c:overlap val="-27"/>
        <c:axId val="1831914671"/>
        <c:axId val="1638393375"/>
      </c:barChart>
      <c:catAx>
        <c:axId val="18319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8393375"/>
        <c:crosses val="autoZero"/>
        <c:auto val="1"/>
        <c:lblAlgn val="ctr"/>
        <c:lblOffset val="100"/>
        <c:noMultiLvlLbl val="0"/>
      </c:catAx>
      <c:valAx>
        <c:axId val="1638393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Greenhouse gas emissions
[kg CO₂-eq/kWh]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8319146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CH"/>
              <a:t>Swiss electricity production scenarios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Electricity_mixes!$A$3</c:f>
              <c:strCache>
                <c:ptCount val="1"/>
                <c:pt idx="0">
                  <c:v>ECONOMIC AND DEMOGRAPHIC ASSUMPTIONS</c:v>
                </c:pt>
              </c:strCache>
            </c:strRef>
          </c:tx>
          <c:spPr>
            <a:solidFill>
              <a:schemeClr val="accent1"/>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Electricity_mixes!$B$3:$AH$3</c15:sqref>
                  </c15:fullRef>
                </c:ext>
              </c:extLst>
              <c:f>(Electricity_mixes!$B$3:$E$3,Electricity_mixes!$W$3:$Y$3)</c:f>
            </c:numRef>
          </c:val>
          <c:extLst>
            <c:ext xmlns:c16="http://schemas.microsoft.com/office/drawing/2014/chart" uri="{C3380CC4-5D6E-409C-BE32-E72D297353CC}">
              <c16:uniqueId val="{00000000-09B3-4B62-8010-B7FEFFF3261D}"/>
            </c:ext>
          </c:extLst>
        </c:ser>
        <c:ser>
          <c:idx val="1"/>
          <c:order val="1"/>
          <c:tx>
            <c:strRef>
              <c:f>Electricity_mixes!$A$4</c:f>
              <c:strCache>
                <c:ptCount val="1"/>
                <c:pt idx="0">
                  <c:v>Population (million)</c:v>
                </c:pt>
              </c:strCache>
            </c:strRef>
          </c:tx>
          <c:spPr>
            <a:solidFill>
              <a:schemeClr val="accent2"/>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Electricity_mixes!$B$4:$AH$4</c15:sqref>
                  </c15:fullRef>
                </c:ext>
              </c:extLst>
              <c:f>(Electricity_mixes!$B$4:$E$4,Electricity_mixes!$W$4:$Y$4)</c:f>
            </c:numRef>
          </c:val>
          <c:extLst>
            <c:ext xmlns:c16="http://schemas.microsoft.com/office/drawing/2014/chart" uri="{C3380CC4-5D6E-409C-BE32-E72D297353CC}">
              <c16:uniqueId val="{00000001-09B3-4B62-8010-B7FEFFF3261D}"/>
            </c:ext>
          </c:extLst>
        </c:ser>
        <c:ser>
          <c:idx val="2"/>
          <c:order val="2"/>
          <c:tx>
            <c:strRef>
              <c:f>Electricity_mixes!$A$5</c:f>
              <c:strCache>
                <c:ptCount val="1"/>
                <c:pt idx="0">
                  <c:v>Gross Domestic Product (BCHF2010)22</c:v>
                </c:pt>
              </c:strCache>
            </c:strRef>
          </c:tx>
          <c:spPr>
            <a:solidFill>
              <a:schemeClr val="accent3"/>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Electricity_mixes!$B$5:$AH$5</c15:sqref>
                  </c15:fullRef>
                </c:ext>
              </c:extLst>
              <c:f>(Electricity_mixes!$B$5:$E$5,Electricity_mixes!$W$5:$Y$5)</c:f>
            </c:numRef>
          </c:val>
          <c:extLst>
            <c:ext xmlns:c16="http://schemas.microsoft.com/office/drawing/2014/chart" uri="{C3380CC4-5D6E-409C-BE32-E72D297353CC}">
              <c16:uniqueId val="{00000002-09B3-4B62-8010-B7FEFFF3261D}"/>
            </c:ext>
          </c:extLst>
        </c:ser>
        <c:ser>
          <c:idx val="3"/>
          <c:order val="3"/>
          <c:tx>
            <c:strRef>
              <c:f>Electricity_mixes!$A$6</c:f>
              <c:strCache>
                <c:ptCount val="1"/>
                <c:pt idx="0">
                  <c:v>Gross Value Added Industry (BCHF2010)22</c:v>
                </c:pt>
              </c:strCache>
            </c:strRef>
          </c:tx>
          <c:spPr>
            <a:solidFill>
              <a:schemeClr val="accent4"/>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Electricity_mixes!$B$6:$AH$6</c15:sqref>
                  </c15:fullRef>
                </c:ext>
              </c:extLst>
              <c:f>(Electricity_mixes!$B$6:$E$6,Electricity_mixes!$W$6:$Y$6)</c:f>
            </c:numRef>
          </c:val>
          <c:extLst>
            <c:ext xmlns:c16="http://schemas.microsoft.com/office/drawing/2014/chart" uri="{C3380CC4-5D6E-409C-BE32-E72D297353CC}">
              <c16:uniqueId val="{00000003-09B3-4B62-8010-B7FEFFF3261D}"/>
            </c:ext>
          </c:extLst>
        </c:ser>
        <c:ser>
          <c:idx val="4"/>
          <c:order val="4"/>
          <c:tx>
            <c:strRef>
              <c:f>Electricity_mixes!$A$7</c:f>
              <c:strCache>
                <c:ptCount val="1"/>
                <c:pt idx="0">
                  <c:v>Gross Value Added Services (BCHF2010)22</c:v>
                </c:pt>
              </c:strCache>
            </c:strRef>
          </c:tx>
          <c:spPr>
            <a:solidFill>
              <a:schemeClr val="accent5"/>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Electricity_mixes!$B$7:$AH$7</c15:sqref>
                  </c15:fullRef>
                </c:ext>
              </c:extLst>
              <c:f>(Electricity_mixes!$B$7:$E$7,Electricity_mixes!$W$7:$Y$7)</c:f>
            </c:numRef>
          </c:val>
          <c:extLst>
            <c:ext xmlns:c16="http://schemas.microsoft.com/office/drawing/2014/chart" uri="{C3380CC4-5D6E-409C-BE32-E72D297353CC}">
              <c16:uniqueId val="{00000004-09B3-4B62-8010-B7FEFFF3261D}"/>
            </c:ext>
          </c:extLst>
        </c:ser>
        <c:ser>
          <c:idx val="5"/>
          <c:order val="5"/>
          <c:tx>
            <c:strRef>
              <c:f>Electricity_mixes!$A$8</c:f>
              <c:strCache>
                <c:ptCount val="1"/>
                <c:pt idx="0">
                  <c:v>Energy Reference Area Industry14</c:v>
                </c:pt>
              </c:strCache>
            </c:strRef>
          </c:tx>
          <c:spPr>
            <a:solidFill>
              <a:schemeClr val="accent6"/>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Electricity_mixes!$B$8:$AH$8</c15:sqref>
                  </c15:fullRef>
                </c:ext>
              </c:extLst>
              <c:f>(Electricity_mixes!$B$8:$E$8,Electricity_mixes!$W$8:$Y$8)</c:f>
            </c:numRef>
          </c:val>
          <c:extLst>
            <c:ext xmlns:c16="http://schemas.microsoft.com/office/drawing/2014/chart" uri="{C3380CC4-5D6E-409C-BE32-E72D297353CC}">
              <c16:uniqueId val="{00000005-09B3-4B62-8010-B7FEFFF3261D}"/>
            </c:ext>
          </c:extLst>
        </c:ser>
        <c:ser>
          <c:idx val="6"/>
          <c:order val="6"/>
          <c:tx>
            <c:strRef>
              <c:f>Electricity_mixes!$A$9</c:f>
              <c:strCache>
                <c:ptCount val="1"/>
                <c:pt idx="0">
                  <c:v>Energy Reference Area Services</c:v>
                </c:pt>
              </c:strCache>
            </c:strRef>
          </c:tx>
          <c:spPr>
            <a:solidFill>
              <a:schemeClr val="accent1">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Electricity_mixes!$B$9:$AH$9</c15:sqref>
                  </c15:fullRef>
                </c:ext>
              </c:extLst>
              <c:f>(Electricity_mixes!$B$9:$E$9,Electricity_mixes!$W$9:$Y$9)</c:f>
            </c:numRef>
          </c:val>
          <c:extLst>
            <c:ext xmlns:c16="http://schemas.microsoft.com/office/drawing/2014/chart" uri="{C3380CC4-5D6E-409C-BE32-E72D297353CC}">
              <c16:uniqueId val="{00000006-09B3-4B62-8010-B7FEFFF3261D}"/>
            </c:ext>
          </c:extLst>
        </c:ser>
        <c:ser>
          <c:idx val="7"/>
          <c:order val="7"/>
          <c:tx>
            <c:strRef>
              <c:f>Electricity_mixes!$A$10</c:f>
              <c:strCache>
                <c:ptCount val="1"/>
                <c:pt idx="0">
                  <c:v>Energy Reference Area Residential15</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Electricity_mixes!$B$10:$AH$10</c15:sqref>
                  </c15:fullRef>
                </c:ext>
              </c:extLst>
              <c:f>(Electricity_mixes!$B$10:$E$10,Electricity_mixes!$W$10:$Y$10)</c:f>
            </c:numRef>
          </c:val>
          <c:extLst>
            <c:ext xmlns:c16="http://schemas.microsoft.com/office/drawing/2014/chart" uri="{C3380CC4-5D6E-409C-BE32-E72D297353CC}">
              <c16:uniqueId val="{00000007-09B3-4B62-8010-B7FEFFF3261D}"/>
            </c:ext>
          </c:extLst>
        </c:ser>
        <c:ser>
          <c:idx val="8"/>
          <c:order val="8"/>
          <c:tx>
            <c:strRef>
              <c:f>Electricity_mixes!$A$11</c:f>
              <c:strCache>
                <c:ptCount val="1"/>
                <c:pt idx="0">
                  <c:v>UPSTREAM SECTOR</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Electricity_mixes!$B$11:$AH$11</c15:sqref>
                  </c15:fullRef>
                </c:ext>
              </c:extLst>
              <c:f>(Electricity_mixes!$B$11:$E$11,Electricity_mixes!$W$11:$Y$11)</c:f>
            </c:numRef>
          </c:val>
          <c:extLst>
            <c:ext xmlns:c16="http://schemas.microsoft.com/office/drawing/2014/chart" uri="{C3380CC4-5D6E-409C-BE32-E72D297353CC}">
              <c16:uniqueId val="{00000008-09B3-4B62-8010-B7FEFFF3261D}"/>
            </c:ext>
          </c:extLst>
        </c:ser>
        <c:ser>
          <c:idx val="9"/>
          <c:order val="9"/>
          <c:tx>
            <c:strRef>
              <c:f>Electricity_mixes!$A$12</c:f>
              <c:strCache>
                <c:ptCount val="1"/>
                <c:pt idx="0">
                  <c:v>Domestic Production (PJ/yr.)</c:v>
                </c:pt>
              </c:strCache>
            </c:strRef>
          </c:tx>
          <c:spPr>
            <a:solidFill>
              <a:schemeClr val="accent4">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Electricity_mixes!$B$12:$AH$12</c15:sqref>
                  </c15:fullRef>
                </c:ext>
              </c:extLst>
              <c:f>(Electricity_mixes!$B$12:$E$12,Electricity_mixes!$W$12:$Y$12)</c:f>
            </c:numRef>
          </c:val>
          <c:extLst>
            <c:ext xmlns:c16="http://schemas.microsoft.com/office/drawing/2014/chart" uri="{C3380CC4-5D6E-409C-BE32-E72D297353CC}">
              <c16:uniqueId val="{00000009-09B3-4B62-8010-B7FEFFF3261D}"/>
            </c:ext>
          </c:extLst>
        </c:ser>
        <c:ser>
          <c:idx val="10"/>
          <c:order val="10"/>
          <c:tx>
            <c:strRef>
              <c:f>Electricity_mixes!$A$13</c:f>
              <c:strCache>
                <c:ptCount val="1"/>
                <c:pt idx="0">
                  <c:v>Woody biomass</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Electricity_mixes!$B$13:$AH$13</c15:sqref>
                  </c15:fullRef>
                </c:ext>
              </c:extLst>
              <c:f>(Electricity_mixes!$B$13:$E$13,Electricity_mixes!$W$13:$Y$13)</c:f>
            </c:numRef>
          </c:val>
          <c:extLst>
            <c:ext xmlns:c16="http://schemas.microsoft.com/office/drawing/2014/chart" uri="{C3380CC4-5D6E-409C-BE32-E72D297353CC}">
              <c16:uniqueId val="{0000000A-09B3-4B62-8010-B7FEFFF3261D}"/>
            </c:ext>
          </c:extLst>
        </c:ser>
        <c:ser>
          <c:idx val="11"/>
          <c:order val="11"/>
          <c:tx>
            <c:strRef>
              <c:f>Electricity_mixes!$A$14</c:f>
              <c:strCache>
                <c:ptCount val="1"/>
                <c:pt idx="0">
                  <c:v>Waste (incl. non renewable waste)1</c:v>
                </c:pt>
              </c:strCache>
            </c:strRef>
          </c:tx>
          <c:spPr>
            <a:solidFill>
              <a:schemeClr val="accent6">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Electricity_mixes!$B$14:$AH$14</c15:sqref>
                  </c15:fullRef>
                </c:ext>
              </c:extLst>
              <c:f>(Electricity_mixes!$B$14:$E$14,Electricity_mixes!$W$14:$Y$14)</c:f>
            </c:numRef>
          </c:val>
          <c:extLst>
            <c:ext xmlns:c16="http://schemas.microsoft.com/office/drawing/2014/chart" uri="{C3380CC4-5D6E-409C-BE32-E72D297353CC}">
              <c16:uniqueId val="{0000000B-09B3-4B62-8010-B7FEFFF3261D}"/>
            </c:ext>
          </c:extLst>
        </c:ser>
        <c:ser>
          <c:idx val="12"/>
          <c:order val="12"/>
          <c:tx>
            <c:strRef>
              <c:f>Electricity_mixes!$A$15</c:f>
              <c:strCache>
                <c:ptCount val="1"/>
                <c:pt idx="0">
                  <c:v>Manure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Electricity_mixes!$B$15:$AH$15</c15:sqref>
                  </c15:fullRef>
                </c:ext>
              </c:extLst>
              <c:f>(Electricity_mixes!$B$15:$E$15,Electricity_mixes!$W$15:$Y$15)</c:f>
            </c:numRef>
          </c:val>
          <c:extLst>
            <c:ext xmlns:c16="http://schemas.microsoft.com/office/drawing/2014/chart" uri="{C3380CC4-5D6E-409C-BE32-E72D297353CC}">
              <c16:uniqueId val="{0000000C-09B3-4B62-8010-B7FEFFF3261D}"/>
            </c:ext>
          </c:extLst>
        </c:ser>
        <c:ser>
          <c:idx val="13"/>
          <c:order val="13"/>
          <c:tx>
            <c:strRef>
              <c:f>Electricity_mixes!$A$16</c:f>
              <c:strCache>
                <c:ptCount val="1"/>
                <c:pt idx="0">
                  <c:v>Hydro (incl. pump)</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Electricity_mixes!$B$16:$AH$16</c15:sqref>
                  </c15:fullRef>
                </c:ext>
              </c:extLst>
              <c:f>(Electricity_mixes!$B$16:$E$16,Electricity_mixes!$W$16:$Y$16)</c:f>
            </c:numRef>
          </c:val>
          <c:extLst>
            <c:ext xmlns:c16="http://schemas.microsoft.com/office/drawing/2014/chart" uri="{C3380CC4-5D6E-409C-BE32-E72D297353CC}">
              <c16:uniqueId val="{0000000D-09B3-4B62-8010-B7FEFFF3261D}"/>
            </c:ext>
          </c:extLst>
        </c:ser>
        <c:ser>
          <c:idx val="14"/>
          <c:order val="14"/>
          <c:tx>
            <c:strRef>
              <c:f>Electricity_mixes!$A$17</c:f>
              <c:strCache>
                <c:ptCount val="1"/>
                <c:pt idx="0">
                  <c:v>Solar</c:v>
                </c:pt>
              </c:strCache>
            </c:strRef>
          </c:tx>
          <c:spPr>
            <a:solidFill>
              <a:schemeClr val="accent3">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Electricity_mixes!$B$17:$AH$17</c15:sqref>
                  </c15:fullRef>
                </c:ext>
              </c:extLst>
              <c:f>(Electricity_mixes!$B$17:$E$17,Electricity_mixes!$W$17:$Y$17)</c:f>
            </c:numRef>
          </c:val>
          <c:extLst>
            <c:ext xmlns:c16="http://schemas.microsoft.com/office/drawing/2014/chart" uri="{C3380CC4-5D6E-409C-BE32-E72D297353CC}">
              <c16:uniqueId val="{0000000E-09B3-4B62-8010-B7FEFFF3261D}"/>
            </c:ext>
          </c:extLst>
        </c:ser>
        <c:ser>
          <c:idx val="15"/>
          <c:order val="15"/>
          <c:tx>
            <c:strRef>
              <c:f>Electricity_mixes!$A$18</c:f>
              <c:strCache>
                <c:ptCount val="1"/>
                <c:pt idx="0">
                  <c:v>Wind</c:v>
                </c:pt>
              </c:strCache>
            </c:strRef>
          </c:tx>
          <c:spPr>
            <a:solidFill>
              <a:schemeClr val="accent4">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Electricity_mixes!$B$18:$AH$18</c15:sqref>
                  </c15:fullRef>
                </c:ext>
              </c:extLst>
              <c:f>(Electricity_mixes!$B$18:$E$18,Electricity_mixes!$W$18:$Y$18)</c:f>
            </c:numRef>
          </c:val>
          <c:extLst>
            <c:ext xmlns:c16="http://schemas.microsoft.com/office/drawing/2014/chart" uri="{C3380CC4-5D6E-409C-BE32-E72D297353CC}">
              <c16:uniqueId val="{0000000F-09B3-4B62-8010-B7FEFFF3261D}"/>
            </c:ext>
          </c:extLst>
        </c:ser>
        <c:ser>
          <c:idx val="16"/>
          <c:order val="16"/>
          <c:tx>
            <c:strRef>
              <c:f>Electricity_mixes!$A$19</c:f>
              <c:strCache>
                <c:ptCount val="1"/>
                <c:pt idx="0">
                  <c:v>Deep geothermal</c:v>
                </c:pt>
              </c:strCache>
            </c:strRef>
          </c:tx>
          <c:spPr>
            <a:solidFill>
              <a:schemeClr val="accent5">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Electricity_mixes!$B$19:$AH$19</c15:sqref>
                  </c15:fullRef>
                </c:ext>
              </c:extLst>
              <c:f>(Electricity_mixes!$B$19:$E$19,Electricity_mixes!$W$19:$Y$19)</c:f>
            </c:numRef>
          </c:val>
          <c:extLst>
            <c:ext xmlns:c16="http://schemas.microsoft.com/office/drawing/2014/chart" uri="{C3380CC4-5D6E-409C-BE32-E72D297353CC}">
              <c16:uniqueId val="{00000010-09B3-4B62-8010-B7FEFFF3261D}"/>
            </c:ext>
          </c:extLst>
        </c:ser>
        <c:ser>
          <c:idx val="17"/>
          <c:order val="17"/>
          <c:tx>
            <c:strRef>
              <c:f>Electricity_mixes!$A$20</c:f>
              <c:strCache>
                <c:ptCount val="1"/>
                <c:pt idx="0">
                  <c:v>Environmental heat</c:v>
                </c:pt>
              </c:strCache>
            </c:strRef>
          </c:tx>
          <c:spPr>
            <a:solidFill>
              <a:schemeClr val="accent6">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Electricity_mixes!$B$20:$AH$20</c15:sqref>
                  </c15:fullRef>
                </c:ext>
              </c:extLst>
              <c:f>(Electricity_mixes!$B$20:$E$20,Electricity_mixes!$W$20:$Y$20)</c:f>
            </c:numRef>
          </c:val>
          <c:extLst>
            <c:ext xmlns:c16="http://schemas.microsoft.com/office/drawing/2014/chart" uri="{C3380CC4-5D6E-409C-BE32-E72D297353CC}">
              <c16:uniqueId val="{00000011-09B3-4B62-8010-B7FEFFF3261D}"/>
            </c:ext>
          </c:extLst>
        </c:ser>
        <c:ser>
          <c:idx val="18"/>
          <c:order val="18"/>
          <c:tx>
            <c:strRef>
              <c:f>Electricity_mixes!$A$21</c:f>
              <c:strCache>
                <c:ptCount val="1"/>
                <c:pt idx="0">
                  <c:v>Net Imports (PJ/yr.)</c:v>
                </c:pt>
              </c:strCache>
            </c:strRef>
          </c:tx>
          <c:spPr>
            <a:solidFill>
              <a:schemeClr val="accent1">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Electricity_mixes!$B$21:$AH$21</c15:sqref>
                  </c15:fullRef>
                </c:ext>
              </c:extLst>
              <c:f>(Electricity_mixes!$B$21:$E$21,Electricity_mixes!$W$21:$Y$21)</c:f>
            </c:numRef>
          </c:val>
          <c:extLst>
            <c:ext xmlns:c16="http://schemas.microsoft.com/office/drawing/2014/chart" uri="{C3380CC4-5D6E-409C-BE32-E72D297353CC}">
              <c16:uniqueId val="{00000012-09B3-4B62-8010-B7FEFFF3261D}"/>
            </c:ext>
          </c:extLst>
        </c:ser>
        <c:ser>
          <c:idx val="19"/>
          <c:order val="19"/>
          <c:tx>
            <c:strRef>
              <c:f>Electricity_mixes!$A$22</c:f>
              <c:strCache>
                <c:ptCount val="1"/>
                <c:pt idx="0">
                  <c:v>Coal</c:v>
                </c:pt>
              </c:strCache>
            </c:strRef>
          </c:tx>
          <c:spPr>
            <a:solidFill>
              <a:schemeClr val="accent2">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Electricity_mixes!$B$22:$AH$22</c15:sqref>
                  </c15:fullRef>
                </c:ext>
              </c:extLst>
              <c:f>(Electricity_mixes!$B$22:$E$22,Electricity_mixes!$W$22:$Y$22)</c:f>
            </c:numRef>
          </c:val>
          <c:extLst>
            <c:ext xmlns:c16="http://schemas.microsoft.com/office/drawing/2014/chart" uri="{C3380CC4-5D6E-409C-BE32-E72D297353CC}">
              <c16:uniqueId val="{00000013-09B3-4B62-8010-B7FEFFF3261D}"/>
            </c:ext>
          </c:extLst>
        </c:ser>
        <c:ser>
          <c:idx val="20"/>
          <c:order val="20"/>
          <c:tx>
            <c:strRef>
              <c:f>Electricity_mixes!$A$23</c:f>
              <c:strCache>
                <c:ptCount val="1"/>
                <c:pt idx="0">
                  <c:v>Crude oil and oil products2</c:v>
                </c:pt>
              </c:strCache>
            </c:strRef>
          </c:tx>
          <c:spPr>
            <a:solidFill>
              <a:schemeClr val="accent3">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Electricity_mixes!$B$23:$AH$23</c15:sqref>
                  </c15:fullRef>
                </c:ext>
              </c:extLst>
              <c:f>(Electricity_mixes!$B$23:$E$23,Electricity_mixes!$W$23:$Y$23)</c:f>
            </c:numRef>
          </c:val>
          <c:extLst>
            <c:ext xmlns:c16="http://schemas.microsoft.com/office/drawing/2014/chart" uri="{C3380CC4-5D6E-409C-BE32-E72D297353CC}">
              <c16:uniqueId val="{00000014-09B3-4B62-8010-B7FEFFF3261D}"/>
            </c:ext>
          </c:extLst>
        </c:ser>
        <c:ser>
          <c:idx val="21"/>
          <c:order val="21"/>
          <c:tx>
            <c:strRef>
              <c:f>Electricity_mixes!$A$24</c:f>
              <c:strCache>
                <c:ptCount val="1"/>
                <c:pt idx="0">
                  <c:v>Natural gas</c:v>
                </c:pt>
              </c:strCache>
            </c:strRef>
          </c:tx>
          <c:spPr>
            <a:solidFill>
              <a:schemeClr val="accent4">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Electricity_mixes!$B$24:$AH$24</c15:sqref>
                  </c15:fullRef>
                </c:ext>
              </c:extLst>
              <c:f>(Electricity_mixes!$B$24:$E$24,Electricity_mixes!$W$24:$Y$24)</c:f>
            </c:numRef>
          </c:val>
          <c:extLst>
            <c:ext xmlns:c16="http://schemas.microsoft.com/office/drawing/2014/chart" uri="{C3380CC4-5D6E-409C-BE32-E72D297353CC}">
              <c16:uniqueId val="{00000015-09B3-4B62-8010-B7FEFFF3261D}"/>
            </c:ext>
          </c:extLst>
        </c:ser>
        <c:ser>
          <c:idx val="22"/>
          <c:order val="22"/>
          <c:tx>
            <c:strRef>
              <c:f>Electricity_mixes!$A$25</c:f>
              <c:strCache>
                <c:ptCount val="1"/>
                <c:pt idx="0">
                  <c:v>Uranium</c:v>
                </c:pt>
              </c:strCache>
            </c:strRef>
          </c:tx>
          <c:spPr>
            <a:solidFill>
              <a:schemeClr val="accent5">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Electricity_mixes!$B$25:$AH$25</c15:sqref>
                  </c15:fullRef>
                </c:ext>
              </c:extLst>
              <c:f>(Electricity_mixes!$B$25:$E$25,Electricity_mixes!$W$25:$Y$25)</c:f>
            </c:numRef>
          </c:val>
          <c:extLst>
            <c:ext xmlns:c16="http://schemas.microsoft.com/office/drawing/2014/chart" uri="{C3380CC4-5D6E-409C-BE32-E72D297353CC}">
              <c16:uniqueId val="{00000016-09B3-4B62-8010-B7FEFFF3261D}"/>
            </c:ext>
          </c:extLst>
        </c:ser>
        <c:ser>
          <c:idx val="23"/>
          <c:order val="23"/>
          <c:tx>
            <c:strRef>
              <c:f>Electricity_mixes!$A$26</c:f>
              <c:strCache>
                <c:ptCount val="1"/>
                <c:pt idx="0">
                  <c:v>Biofuels/e-fuels (liquids or gases)</c:v>
                </c:pt>
              </c:strCache>
            </c:strRef>
          </c:tx>
          <c:spPr>
            <a:solidFill>
              <a:schemeClr val="accent6">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Electricity_mixes!$B$26:$AH$26</c15:sqref>
                  </c15:fullRef>
                </c:ext>
              </c:extLst>
              <c:f>(Electricity_mixes!$B$26:$E$26,Electricity_mixes!$W$26:$Y$26)</c:f>
            </c:numRef>
          </c:val>
          <c:extLst>
            <c:ext xmlns:c16="http://schemas.microsoft.com/office/drawing/2014/chart" uri="{C3380CC4-5D6E-409C-BE32-E72D297353CC}">
              <c16:uniqueId val="{00000017-09B3-4B62-8010-B7FEFFF3261D}"/>
            </c:ext>
          </c:extLst>
        </c:ser>
        <c:ser>
          <c:idx val="24"/>
          <c:order val="24"/>
          <c:tx>
            <c:strRef>
              <c:f>Electricity_mixes!$A$27</c:f>
              <c:strCache>
                <c:ptCount val="1"/>
                <c:pt idx="0">
                  <c:v>Electricity</c:v>
                </c:pt>
              </c:strCache>
            </c:strRef>
          </c:tx>
          <c:spPr>
            <a:solidFill>
              <a:schemeClr val="accent1">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Electricity_mixes!$B$27:$AH$27</c15:sqref>
                  </c15:fullRef>
                </c:ext>
              </c:extLst>
              <c:f>(Electricity_mixes!$B$27:$E$27,Electricity_mixes!$W$27:$Y$27)</c:f>
            </c:numRef>
          </c:val>
          <c:extLst>
            <c:ext xmlns:c16="http://schemas.microsoft.com/office/drawing/2014/chart" uri="{C3380CC4-5D6E-409C-BE32-E72D297353CC}">
              <c16:uniqueId val="{00000018-09B3-4B62-8010-B7FEFFF3261D}"/>
            </c:ext>
          </c:extLst>
        </c:ser>
        <c:ser>
          <c:idx val="25"/>
          <c:order val="25"/>
          <c:tx>
            <c:strRef>
              <c:f>Electricity_mixes!$A$28</c:f>
              <c:strCache>
                <c:ptCount val="1"/>
                <c:pt idx="0">
                  <c:v>Hydrogen</c:v>
                </c:pt>
              </c:strCache>
            </c:strRef>
          </c:tx>
          <c:spPr>
            <a:solidFill>
              <a:schemeClr val="accent2">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Electricity_mixes!$B$28:$AH$28</c15:sqref>
                  </c15:fullRef>
                </c:ext>
              </c:extLst>
              <c:f>(Electricity_mixes!$B$28:$E$28,Electricity_mixes!$W$28:$Y$28)</c:f>
            </c:numRef>
          </c:val>
          <c:extLst>
            <c:ext xmlns:c16="http://schemas.microsoft.com/office/drawing/2014/chart" uri="{C3380CC4-5D6E-409C-BE32-E72D297353CC}">
              <c16:uniqueId val="{00000019-09B3-4B62-8010-B7FEFFF3261D}"/>
            </c:ext>
          </c:extLst>
        </c:ser>
        <c:ser>
          <c:idx val="26"/>
          <c:order val="26"/>
          <c:tx>
            <c:strRef>
              <c:f>Electricity_mixes!$A$29</c:f>
              <c:strCache>
                <c:ptCount val="1"/>
                <c:pt idx="0">
                  <c:v>Primary energy consumption (PJ/yr.)</c:v>
                </c:pt>
              </c:strCache>
            </c:strRef>
          </c:tx>
          <c:spPr>
            <a:solidFill>
              <a:schemeClr val="accent3">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Electricity_mixes!$B$29:$AH$29</c15:sqref>
                  </c15:fullRef>
                </c:ext>
              </c:extLst>
              <c:f>(Electricity_mixes!$B$29:$E$29,Electricity_mixes!$W$29:$Y$29)</c:f>
            </c:numRef>
          </c:val>
          <c:extLst>
            <c:ext xmlns:c16="http://schemas.microsoft.com/office/drawing/2014/chart" uri="{C3380CC4-5D6E-409C-BE32-E72D297353CC}">
              <c16:uniqueId val="{0000001A-09B3-4B62-8010-B7FEFFF3261D}"/>
            </c:ext>
          </c:extLst>
        </c:ser>
        <c:ser>
          <c:idx val="27"/>
          <c:order val="27"/>
          <c:tx>
            <c:strRef>
              <c:f>Electricity_mixes!$A$30</c:f>
              <c:strCache>
                <c:ptCount val="1"/>
                <c:pt idx="0">
                  <c:v>Coal</c:v>
                </c:pt>
              </c:strCache>
            </c:strRef>
          </c:tx>
          <c:spPr>
            <a:solidFill>
              <a:schemeClr val="accent4">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Electricity_mixes!$B$30:$AH$30</c15:sqref>
                  </c15:fullRef>
                </c:ext>
              </c:extLst>
              <c:f>(Electricity_mixes!$B$30:$E$30,Electricity_mixes!$W$30:$Y$30)</c:f>
            </c:numRef>
          </c:val>
          <c:extLst>
            <c:ext xmlns:c16="http://schemas.microsoft.com/office/drawing/2014/chart" uri="{C3380CC4-5D6E-409C-BE32-E72D297353CC}">
              <c16:uniqueId val="{0000001B-09B3-4B62-8010-B7FEFFF3261D}"/>
            </c:ext>
          </c:extLst>
        </c:ser>
        <c:ser>
          <c:idx val="28"/>
          <c:order val="28"/>
          <c:tx>
            <c:strRef>
              <c:f>Electricity_mixes!$A$31</c:f>
              <c:strCache>
                <c:ptCount val="1"/>
                <c:pt idx="0">
                  <c:v>Crude oil and oil products2</c:v>
                </c:pt>
              </c:strCache>
            </c:strRef>
          </c:tx>
          <c:spPr>
            <a:solidFill>
              <a:schemeClr val="accent5">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Electricity_mixes!$B$31:$AH$31</c15:sqref>
                  </c15:fullRef>
                </c:ext>
              </c:extLst>
              <c:f>(Electricity_mixes!$B$31:$E$31,Electricity_mixes!$W$31:$Y$31)</c:f>
            </c:numRef>
          </c:val>
          <c:extLst>
            <c:ext xmlns:c16="http://schemas.microsoft.com/office/drawing/2014/chart" uri="{C3380CC4-5D6E-409C-BE32-E72D297353CC}">
              <c16:uniqueId val="{0000001C-09B3-4B62-8010-B7FEFFF3261D}"/>
            </c:ext>
          </c:extLst>
        </c:ser>
        <c:ser>
          <c:idx val="29"/>
          <c:order val="29"/>
          <c:tx>
            <c:strRef>
              <c:f>Electricity_mixes!$A$32</c:f>
              <c:strCache>
                <c:ptCount val="1"/>
                <c:pt idx="0">
                  <c:v>Natural gas</c:v>
                </c:pt>
              </c:strCache>
            </c:strRef>
          </c:tx>
          <c:spPr>
            <a:solidFill>
              <a:schemeClr val="accent6">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Electricity_mixes!$B$32:$AH$32</c15:sqref>
                  </c15:fullRef>
                </c:ext>
              </c:extLst>
              <c:f>(Electricity_mixes!$B$32:$E$32,Electricity_mixes!$W$32:$Y$32)</c:f>
            </c:numRef>
          </c:val>
          <c:extLst>
            <c:ext xmlns:c16="http://schemas.microsoft.com/office/drawing/2014/chart" uri="{C3380CC4-5D6E-409C-BE32-E72D297353CC}">
              <c16:uniqueId val="{0000001D-09B3-4B62-8010-B7FEFFF3261D}"/>
            </c:ext>
          </c:extLst>
        </c:ser>
        <c:ser>
          <c:idx val="30"/>
          <c:order val="30"/>
          <c:tx>
            <c:strRef>
              <c:f>Electricity_mixes!$A$33</c:f>
              <c:strCache>
                <c:ptCount val="1"/>
                <c:pt idx="0">
                  <c:v>Uranium</c:v>
                </c:pt>
              </c:strCache>
            </c:strRef>
          </c:tx>
          <c:spPr>
            <a:solidFill>
              <a:schemeClr val="accent1">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Electricity_mixes!$B$33:$AH$33</c15:sqref>
                  </c15:fullRef>
                </c:ext>
              </c:extLst>
              <c:f>(Electricity_mixes!$B$33:$E$33,Electricity_mixes!$W$33:$Y$33)</c:f>
            </c:numRef>
          </c:val>
          <c:extLst>
            <c:ext xmlns:c16="http://schemas.microsoft.com/office/drawing/2014/chart" uri="{C3380CC4-5D6E-409C-BE32-E72D297353CC}">
              <c16:uniqueId val="{0000001E-09B3-4B62-8010-B7FEFFF3261D}"/>
            </c:ext>
          </c:extLst>
        </c:ser>
        <c:ser>
          <c:idx val="31"/>
          <c:order val="31"/>
          <c:tx>
            <c:strRef>
              <c:f>Electricity_mixes!$A$34</c:f>
              <c:strCache>
                <c:ptCount val="1"/>
                <c:pt idx="0">
                  <c:v>Woody biomass</c:v>
                </c:pt>
              </c:strCache>
            </c:strRef>
          </c:tx>
          <c:spPr>
            <a:solidFill>
              <a:schemeClr val="accent2">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Electricity_mixes!$B$34:$AH$34</c15:sqref>
                  </c15:fullRef>
                </c:ext>
              </c:extLst>
              <c:f>(Electricity_mixes!$B$34:$E$34,Electricity_mixes!$W$34:$Y$34)</c:f>
            </c:numRef>
          </c:val>
          <c:extLst>
            <c:ext xmlns:c16="http://schemas.microsoft.com/office/drawing/2014/chart" uri="{C3380CC4-5D6E-409C-BE32-E72D297353CC}">
              <c16:uniqueId val="{0000001F-09B3-4B62-8010-B7FEFFF3261D}"/>
            </c:ext>
          </c:extLst>
        </c:ser>
        <c:ser>
          <c:idx val="32"/>
          <c:order val="32"/>
          <c:tx>
            <c:strRef>
              <c:f>Electricity_mixes!$A$35</c:f>
              <c:strCache>
                <c:ptCount val="1"/>
                <c:pt idx="0">
                  <c:v>Waste (incl. non renewable waste)</c:v>
                </c:pt>
              </c:strCache>
            </c:strRef>
          </c:tx>
          <c:spPr>
            <a:solidFill>
              <a:schemeClr val="accent3">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Electricity_mixes!$B$35:$AH$35</c15:sqref>
                  </c15:fullRef>
                </c:ext>
              </c:extLst>
              <c:f>(Electricity_mixes!$B$35:$E$35,Electricity_mixes!$W$35:$Y$35)</c:f>
            </c:numRef>
          </c:val>
          <c:extLst>
            <c:ext xmlns:c16="http://schemas.microsoft.com/office/drawing/2014/chart" uri="{C3380CC4-5D6E-409C-BE32-E72D297353CC}">
              <c16:uniqueId val="{00000020-09B3-4B62-8010-B7FEFFF3261D}"/>
            </c:ext>
          </c:extLst>
        </c:ser>
        <c:ser>
          <c:idx val="33"/>
          <c:order val="33"/>
          <c:tx>
            <c:strRef>
              <c:f>Electricity_mixes!$A$36</c:f>
              <c:strCache>
                <c:ptCount val="1"/>
                <c:pt idx="0">
                  <c:v>Manure1</c:v>
                </c:pt>
              </c:strCache>
            </c:strRef>
          </c:tx>
          <c:spPr>
            <a:solidFill>
              <a:schemeClr val="accent4">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Electricity_mixes!$B$36:$AH$36</c15:sqref>
                  </c15:fullRef>
                </c:ext>
              </c:extLst>
              <c:f>(Electricity_mixes!$B$36:$E$36,Electricity_mixes!$W$36:$Y$36)</c:f>
            </c:numRef>
          </c:val>
          <c:extLst>
            <c:ext xmlns:c16="http://schemas.microsoft.com/office/drawing/2014/chart" uri="{C3380CC4-5D6E-409C-BE32-E72D297353CC}">
              <c16:uniqueId val="{00000021-09B3-4B62-8010-B7FEFFF3261D}"/>
            </c:ext>
          </c:extLst>
        </c:ser>
        <c:ser>
          <c:idx val="34"/>
          <c:order val="34"/>
          <c:tx>
            <c:strRef>
              <c:f>Electricity_mixes!$A$37</c:f>
              <c:strCache>
                <c:ptCount val="1"/>
                <c:pt idx="0">
                  <c:v>Biofuels/e-fuels (liquids or gases)</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Electricity_mixes!$B$37:$AH$37</c15:sqref>
                  </c15:fullRef>
                </c:ext>
              </c:extLst>
              <c:f>(Electricity_mixes!$B$37:$E$37,Electricity_mixes!$W$37:$Y$37)</c:f>
            </c:numRef>
          </c:val>
          <c:extLst>
            <c:ext xmlns:c16="http://schemas.microsoft.com/office/drawing/2014/chart" uri="{C3380CC4-5D6E-409C-BE32-E72D297353CC}">
              <c16:uniqueId val="{00000022-09B3-4B62-8010-B7FEFFF3261D}"/>
            </c:ext>
          </c:extLst>
        </c:ser>
        <c:ser>
          <c:idx val="35"/>
          <c:order val="35"/>
          <c:tx>
            <c:strRef>
              <c:f>Electricity_mixes!$A$38</c:f>
              <c:strCache>
                <c:ptCount val="1"/>
                <c:pt idx="0">
                  <c:v>Hydro (incl. pump)</c:v>
                </c:pt>
              </c:strCache>
            </c:strRef>
          </c:tx>
          <c:spPr>
            <a:solidFill>
              <a:schemeClr val="accent6">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Electricity_mixes!$B$38:$AH$38</c15:sqref>
                  </c15:fullRef>
                </c:ext>
              </c:extLst>
              <c:f>(Electricity_mixes!$B$38:$E$38,Electricity_mixes!$W$38:$Y$38)</c:f>
            </c:numRef>
          </c:val>
          <c:extLst>
            <c:ext xmlns:c16="http://schemas.microsoft.com/office/drawing/2014/chart" uri="{C3380CC4-5D6E-409C-BE32-E72D297353CC}">
              <c16:uniqueId val="{00000023-09B3-4B62-8010-B7FEFFF3261D}"/>
            </c:ext>
          </c:extLst>
        </c:ser>
        <c:ser>
          <c:idx val="36"/>
          <c:order val="36"/>
          <c:tx>
            <c:strRef>
              <c:f>Electricity_mixes!$A$39</c:f>
              <c:strCache>
                <c:ptCount val="1"/>
                <c:pt idx="0">
                  <c:v>Solar</c:v>
                </c:pt>
              </c:strCache>
            </c:strRef>
          </c:tx>
          <c:spPr>
            <a:solidFill>
              <a:schemeClr val="accent1">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Electricity_mixes!$B$39:$AH$39</c15:sqref>
                  </c15:fullRef>
                </c:ext>
              </c:extLst>
              <c:f>(Electricity_mixes!$B$39:$E$39,Electricity_mixes!$W$39:$Y$39)</c:f>
            </c:numRef>
          </c:val>
          <c:extLst>
            <c:ext xmlns:c16="http://schemas.microsoft.com/office/drawing/2014/chart" uri="{C3380CC4-5D6E-409C-BE32-E72D297353CC}">
              <c16:uniqueId val="{00000024-09B3-4B62-8010-B7FEFFF3261D}"/>
            </c:ext>
          </c:extLst>
        </c:ser>
        <c:ser>
          <c:idx val="37"/>
          <c:order val="37"/>
          <c:tx>
            <c:strRef>
              <c:f>Electricity_mixes!$A$40</c:f>
              <c:strCache>
                <c:ptCount val="1"/>
                <c:pt idx="0">
                  <c:v>Wind</c:v>
                </c:pt>
              </c:strCache>
            </c:strRef>
          </c:tx>
          <c:spPr>
            <a:solidFill>
              <a:schemeClr val="accent2">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Electricity_mixes!$B$40:$AH$40</c15:sqref>
                  </c15:fullRef>
                </c:ext>
              </c:extLst>
              <c:f>(Electricity_mixes!$B$40:$E$40,Electricity_mixes!$W$40:$Y$40)</c:f>
            </c:numRef>
          </c:val>
          <c:extLst>
            <c:ext xmlns:c16="http://schemas.microsoft.com/office/drawing/2014/chart" uri="{C3380CC4-5D6E-409C-BE32-E72D297353CC}">
              <c16:uniqueId val="{00000025-09B3-4B62-8010-B7FEFFF3261D}"/>
            </c:ext>
          </c:extLst>
        </c:ser>
        <c:ser>
          <c:idx val="38"/>
          <c:order val="38"/>
          <c:tx>
            <c:strRef>
              <c:f>Electricity_mixes!$A$41</c:f>
              <c:strCache>
                <c:ptCount val="1"/>
                <c:pt idx="0">
                  <c:v>Deep geothermal</c:v>
                </c:pt>
              </c:strCache>
            </c:strRef>
          </c:tx>
          <c:spPr>
            <a:solidFill>
              <a:schemeClr val="accent3">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Electricity_mixes!$B$41:$AH$41</c15:sqref>
                  </c15:fullRef>
                </c:ext>
              </c:extLst>
              <c:f>(Electricity_mixes!$B$41:$E$41,Electricity_mixes!$W$41:$Y$41)</c:f>
            </c:numRef>
          </c:val>
          <c:extLst>
            <c:ext xmlns:c16="http://schemas.microsoft.com/office/drawing/2014/chart" uri="{C3380CC4-5D6E-409C-BE32-E72D297353CC}">
              <c16:uniqueId val="{00000026-09B3-4B62-8010-B7FEFFF3261D}"/>
            </c:ext>
          </c:extLst>
        </c:ser>
        <c:ser>
          <c:idx val="39"/>
          <c:order val="39"/>
          <c:tx>
            <c:strRef>
              <c:f>Electricity_mixes!$A$42</c:f>
              <c:strCache>
                <c:ptCount val="1"/>
                <c:pt idx="0">
                  <c:v>Environmental heat</c:v>
                </c:pt>
              </c:strCache>
            </c:strRef>
          </c:tx>
          <c:spPr>
            <a:solidFill>
              <a:schemeClr val="accent4">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Electricity_mixes!$B$42:$AH$42</c15:sqref>
                  </c15:fullRef>
                </c:ext>
              </c:extLst>
              <c:f>(Electricity_mixes!$B$42:$E$42,Electricity_mixes!$W$42:$Y$42)</c:f>
            </c:numRef>
          </c:val>
          <c:extLst>
            <c:ext xmlns:c16="http://schemas.microsoft.com/office/drawing/2014/chart" uri="{C3380CC4-5D6E-409C-BE32-E72D297353CC}">
              <c16:uniqueId val="{00000027-09B3-4B62-8010-B7FEFFF3261D}"/>
            </c:ext>
          </c:extLst>
        </c:ser>
        <c:ser>
          <c:idx val="40"/>
          <c:order val="40"/>
          <c:tx>
            <c:strRef>
              <c:f>Electricity_mixes!$A$43</c:f>
              <c:strCache>
                <c:ptCount val="1"/>
                <c:pt idx="0">
                  <c:v>Electricity</c:v>
                </c:pt>
              </c:strCache>
            </c:strRef>
          </c:tx>
          <c:spPr>
            <a:solidFill>
              <a:schemeClr val="accent5">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Electricity_mixes!$B$43:$AH$43</c15:sqref>
                  </c15:fullRef>
                </c:ext>
              </c:extLst>
              <c:f>(Electricity_mixes!$B$43:$E$43,Electricity_mixes!$W$43:$Y$43)</c:f>
            </c:numRef>
          </c:val>
          <c:extLst>
            <c:ext xmlns:c16="http://schemas.microsoft.com/office/drawing/2014/chart" uri="{C3380CC4-5D6E-409C-BE32-E72D297353CC}">
              <c16:uniqueId val="{00000028-09B3-4B62-8010-B7FEFFF3261D}"/>
            </c:ext>
          </c:extLst>
        </c:ser>
        <c:ser>
          <c:idx val="41"/>
          <c:order val="41"/>
          <c:tx>
            <c:strRef>
              <c:f>Electricity_mixes!$A$44</c:f>
              <c:strCache>
                <c:ptCount val="1"/>
                <c:pt idx="0">
                  <c:v>Hydrogen</c:v>
                </c:pt>
              </c:strCache>
            </c:strRef>
          </c:tx>
          <c:spPr>
            <a:solidFill>
              <a:schemeClr val="accent6">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Electricity_mixes!$B$44:$AH$44</c15:sqref>
                  </c15:fullRef>
                </c:ext>
              </c:extLst>
              <c:f>(Electricity_mixes!$B$44:$E$44,Electricity_mixes!$W$44:$Y$44)</c:f>
            </c:numRef>
          </c:val>
          <c:extLst>
            <c:ext xmlns:c16="http://schemas.microsoft.com/office/drawing/2014/chart" uri="{C3380CC4-5D6E-409C-BE32-E72D297353CC}">
              <c16:uniqueId val="{00000029-09B3-4B62-8010-B7FEFFF3261D}"/>
            </c:ext>
          </c:extLst>
        </c:ser>
        <c:ser>
          <c:idx val="42"/>
          <c:order val="42"/>
          <c:tx>
            <c:strRef>
              <c:f>Electricity_mixes!$A$45</c:f>
              <c:strCache>
                <c:ptCount val="1"/>
                <c:pt idx="0">
                  <c:v>ENERGY CONVERSION SECTOR</c:v>
                </c:pt>
              </c:strCache>
            </c:strRef>
          </c:tx>
          <c:spPr>
            <a:solidFill>
              <a:schemeClr val="accent1">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Electricity_mixes!$B$45:$AH$45</c15:sqref>
                  </c15:fullRef>
                </c:ext>
              </c:extLst>
              <c:f>(Electricity_mixes!$B$45:$E$45,Electricity_mixes!$W$45:$Y$45)</c:f>
            </c:numRef>
          </c:val>
          <c:extLst>
            <c:ext xmlns:c16="http://schemas.microsoft.com/office/drawing/2014/chart" uri="{C3380CC4-5D6E-409C-BE32-E72D297353CC}">
              <c16:uniqueId val="{0000002A-09B3-4B62-8010-B7FEFFF3261D}"/>
            </c:ext>
          </c:extLst>
        </c:ser>
        <c:ser>
          <c:idx val="43"/>
          <c:order val="43"/>
          <c:tx>
            <c:strRef>
              <c:f>Electricity_mixes!$A$46</c:f>
              <c:strCache>
                <c:ptCount val="1"/>
                <c:pt idx="0">
                  <c:v>Fuel input for electricity and CHPs (PJ/yr.)3</c:v>
                </c:pt>
              </c:strCache>
            </c:strRef>
          </c:tx>
          <c:spPr>
            <a:solidFill>
              <a:schemeClr val="accent2">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Electricity_mixes!$B$46:$AH$46</c15:sqref>
                  </c15:fullRef>
                </c:ext>
              </c:extLst>
              <c:f>(Electricity_mixes!$B$46:$E$46,Electricity_mixes!$W$46:$Y$46)</c:f>
            </c:numRef>
          </c:val>
          <c:extLst>
            <c:ext xmlns:c16="http://schemas.microsoft.com/office/drawing/2014/chart" uri="{C3380CC4-5D6E-409C-BE32-E72D297353CC}">
              <c16:uniqueId val="{0000002B-09B3-4B62-8010-B7FEFFF3261D}"/>
            </c:ext>
          </c:extLst>
        </c:ser>
        <c:ser>
          <c:idx val="44"/>
          <c:order val="44"/>
          <c:tx>
            <c:strRef>
              <c:f>Electricity_mixes!$A$47</c:f>
              <c:strCache>
                <c:ptCount val="1"/>
                <c:pt idx="0">
                  <c:v>Oil products (incl. bioliquids and synthetic liquids)</c:v>
                </c:pt>
              </c:strCache>
            </c:strRef>
          </c:tx>
          <c:spPr>
            <a:solidFill>
              <a:schemeClr val="accent3">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Electricity_mixes!$B$47:$AH$47</c15:sqref>
                  </c15:fullRef>
                </c:ext>
              </c:extLst>
              <c:f>(Electricity_mixes!$B$47:$E$47,Electricity_mixes!$W$47:$Y$47)</c:f>
            </c:numRef>
          </c:val>
          <c:extLst>
            <c:ext xmlns:c16="http://schemas.microsoft.com/office/drawing/2014/chart" uri="{C3380CC4-5D6E-409C-BE32-E72D297353CC}">
              <c16:uniqueId val="{0000002C-09B3-4B62-8010-B7FEFFF3261D}"/>
            </c:ext>
          </c:extLst>
        </c:ser>
        <c:ser>
          <c:idx val="45"/>
          <c:order val="45"/>
          <c:tx>
            <c:strRef>
              <c:f>Electricity_mixes!$A$48</c:f>
              <c:strCache>
                <c:ptCount val="1"/>
                <c:pt idx="0">
                  <c:v>Gas (natural gas and biomethane)4</c:v>
                </c:pt>
              </c:strCache>
            </c:strRef>
          </c:tx>
          <c:spPr>
            <a:solidFill>
              <a:schemeClr val="accent4">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Electricity_mixes!$B$48:$AH$48</c15:sqref>
                  </c15:fullRef>
                </c:ext>
              </c:extLst>
              <c:f>(Electricity_mixes!$B$48:$E$48,Electricity_mixes!$W$48:$Y$48)</c:f>
            </c:numRef>
          </c:val>
          <c:extLst>
            <c:ext xmlns:c16="http://schemas.microsoft.com/office/drawing/2014/chart" uri="{C3380CC4-5D6E-409C-BE32-E72D297353CC}">
              <c16:uniqueId val="{0000002D-09B3-4B62-8010-B7FEFFF3261D}"/>
            </c:ext>
          </c:extLst>
        </c:ser>
        <c:ser>
          <c:idx val="46"/>
          <c:order val="46"/>
          <c:tx>
            <c:strRef>
              <c:f>Electricity_mixes!$A$49</c:f>
              <c:strCache>
                <c:ptCount val="1"/>
                <c:pt idx="0">
                  <c:v>Uranium</c:v>
                </c:pt>
              </c:strCache>
            </c:strRef>
          </c:tx>
          <c:spPr>
            <a:solidFill>
              <a:schemeClr val="accent5">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Electricity_mixes!$B$49:$AH$49</c15:sqref>
                  </c15:fullRef>
                </c:ext>
              </c:extLst>
              <c:f>(Electricity_mixes!$B$49:$E$49,Electricity_mixes!$W$49:$Y$49)</c:f>
            </c:numRef>
          </c:val>
          <c:extLst>
            <c:ext xmlns:c16="http://schemas.microsoft.com/office/drawing/2014/chart" uri="{C3380CC4-5D6E-409C-BE32-E72D297353CC}">
              <c16:uniqueId val="{0000002E-09B3-4B62-8010-B7FEFFF3261D}"/>
            </c:ext>
          </c:extLst>
        </c:ser>
        <c:ser>
          <c:idx val="47"/>
          <c:order val="47"/>
          <c:tx>
            <c:strRef>
              <c:f>Electricity_mixes!$A$50</c:f>
              <c:strCache>
                <c:ptCount val="1"/>
                <c:pt idx="0">
                  <c:v>Woody biomass</c:v>
                </c:pt>
              </c:strCache>
            </c:strRef>
          </c:tx>
          <c:spPr>
            <a:solidFill>
              <a:schemeClr val="accent6">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Electricity_mixes!$B$50:$AH$50</c15:sqref>
                  </c15:fullRef>
                </c:ext>
              </c:extLst>
              <c:f>(Electricity_mixes!$B$50:$E$50,Electricity_mixes!$W$50:$Y$50)</c:f>
            </c:numRef>
          </c:val>
          <c:extLst>
            <c:ext xmlns:c16="http://schemas.microsoft.com/office/drawing/2014/chart" uri="{C3380CC4-5D6E-409C-BE32-E72D297353CC}">
              <c16:uniqueId val="{0000002F-09B3-4B62-8010-B7FEFFF3261D}"/>
            </c:ext>
          </c:extLst>
        </c:ser>
        <c:ser>
          <c:idx val="48"/>
          <c:order val="48"/>
          <c:tx>
            <c:strRef>
              <c:f>Electricity_mixes!$A$51</c:f>
              <c:strCache>
                <c:ptCount val="1"/>
                <c:pt idx="0">
                  <c:v>Waste (incl. non renewable waste)</c:v>
                </c:pt>
              </c:strCache>
            </c:strRef>
          </c:tx>
          <c:spPr>
            <a:solidFill>
              <a:schemeClr val="accent1">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Electricity_mixes!$B$51:$AH$51</c15:sqref>
                  </c15:fullRef>
                </c:ext>
              </c:extLst>
              <c:f>(Electricity_mixes!$B$51:$E$51,Electricity_mixes!$W$51:$Y$51)</c:f>
            </c:numRef>
          </c:val>
          <c:extLst>
            <c:ext xmlns:c16="http://schemas.microsoft.com/office/drawing/2014/chart" uri="{C3380CC4-5D6E-409C-BE32-E72D297353CC}">
              <c16:uniqueId val="{00000030-09B3-4B62-8010-B7FEFFF3261D}"/>
            </c:ext>
          </c:extLst>
        </c:ser>
        <c:ser>
          <c:idx val="49"/>
          <c:order val="49"/>
          <c:tx>
            <c:strRef>
              <c:f>Electricity_mixes!$A$52</c:f>
              <c:strCache>
                <c:ptCount val="1"/>
                <c:pt idx="0">
                  <c:v>Biogas</c:v>
                </c:pt>
              </c:strCache>
            </c:strRef>
          </c:tx>
          <c:spPr>
            <a:solidFill>
              <a:schemeClr val="accent2">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Electricity_mixes!$B$52:$AH$52</c15:sqref>
                  </c15:fullRef>
                </c:ext>
              </c:extLst>
              <c:f>(Electricity_mixes!$B$52:$E$52,Electricity_mixes!$W$52:$Y$52)</c:f>
            </c:numRef>
          </c:val>
          <c:extLst>
            <c:ext xmlns:c16="http://schemas.microsoft.com/office/drawing/2014/chart" uri="{C3380CC4-5D6E-409C-BE32-E72D297353CC}">
              <c16:uniqueId val="{00000031-09B3-4B62-8010-B7FEFFF3261D}"/>
            </c:ext>
          </c:extLst>
        </c:ser>
        <c:ser>
          <c:idx val="50"/>
          <c:order val="50"/>
          <c:tx>
            <c:strRef>
              <c:f>Electricity_mixes!$A$53</c:f>
              <c:strCache>
                <c:ptCount val="1"/>
                <c:pt idx="0">
                  <c:v>Hydro (excluding pump storage)</c:v>
                </c:pt>
              </c:strCache>
            </c:strRef>
          </c:tx>
          <c:spPr>
            <a:solidFill>
              <a:schemeClr val="accent3">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Electricity_mixes!$B$53:$AH$53</c15:sqref>
                  </c15:fullRef>
                </c:ext>
              </c:extLst>
              <c:f>(Electricity_mixes!$B$53:$E$53,Electricity_mixes!$W$53:$Y$53)</c:f>
            </c:numRef>
          </c:val>
          <c:extLst>
            <c:ext xmlns:c16="http://schemas.microsoft.com/office/drawing/2014/chart" uri="{C3380CC4-5D6E-409C-BE32-E72D297353CC}">
              <c16:uniqueId val="{00000032-09B3-4B62-8010-B7FEFFF3261D}"/>
            </c:ext>
          </c:extLst>
        </c:ser>
        <c:ser>
          <c:idx val="51"/>
          <c:order val="51"/>
          <c:tx>
            <c:strRef>
              <c:f>Electricity_mixes!$A$54</c:f>
              <c:strCache>
                <c:ptCount val="1"/>
                <c:pt idx="0">
                  <c:v>Solar</c:v>
                </c:pt>
              </c:strCache>
            </c:strRef>
          </c:tx>
          <c:spPr>
            <a:solidFill>
              <a:schemeClr val="accent4">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Electricity_mixes!$B$54:$AH$54</c15:sqref>
                  </c15:fullRef>
                </c:ext>
              </c:extLst>
              <c:f>(Electricity_mixes!$B$54:$E$54,Electricity_mixes!$W$54:$Y$54)</c:f>
            </c:numRef>
          </c:val>
          <c:extLst>
            <c:ext xmlns:c16="http://schemas.microsoft.com/office/drawing/2014/chart" uri="{C3380CC4-5D6E-409C-BE32-E72D297353CC}">
              <c16:uniqueId val="{00000033-09B3-4B62-8010-B7FEFFF3261D}"/>
            </c:ext>
          </c:extLst>
        </c:ser>
        <c:ser>
          <c:idx val="52"/>
          <c:order val="52"/>
          <c:tx>
            <c:strRef>
              <c:f>Electricity_mixes!$A$55</c:f>
              <c:strCache>
                <c:ptCount val="1"/>
                <c:pt idx="0">
                  <c:v>Wind</c:v>
                </c:pt>
              </c:strCache>
            </c:strRef>
          </c:tx>
          <c:spPr>
            <a:solidFill>
              <a:schemeClr val="accent5">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Electricity_mixes!$B$55:$AH$55</c15:sqref>
                  </c15:fullRef>
                </c:ext>
              </c:extLst>
              <c:f>(Electricity_mixes!$B$55:$E$55,Electricity_mixes!$W$55:$Y$55)</c:f>
            </c:numRef>
          </c:val>
          <c:extLst>
            <c:ext xmlns:c16="http://schemas.microsoft.com/office/drawing/2014/chart" uri="{C3380CC4-5D6E-409C-BE32-E72D297353CC}">
              <c16:uniqueId val="{00000034-09B3-4B62-8010-B7FEFFF3261D}"/>
            </c:ext>
          </c:extLst>
        </c:ser>
        <c:ser>
          <c:idx val="53"/>
          <c:order val="53"/>
          <c:tx>
            <c:strRef>
              <c:f>Electricity_mixes!$A$56</c:f>
              <c:strCache>
                <c:ptCount val="1"/>
                <c:pt idx="0">
                  <c:v>Deep geothermal</c:v>
                </c:pt>
              </c:strCache>
            </c:strRef>
          </c:tx>
          <c:spPr>
            <a:solidFill>
              <a:schemeClr val="accent6">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Electricity_mixes!$B$56:$AH$56</c15:sqref>
                  </c15:fullRef>
                </c:ext>
              </c:extLst>
              <c:f>(Electricity_mixes!$B$56:$E$56,Electricity_mixes!$W$56:$Y$56)</c:f>
            </c:numRef>
          </c:val>
          <c:extLst>
            <c:ext xmlns:c16="http://schemas.microsoft.com/office/drawing/2014/chart" uri="{C3380CC4-5D6E-409C-BE32-E72D297353CC}">
              <c16:uniqueId val="{00000035-09B3-4B62-8010-B7FEFFF3261D}"/>
            </c:ext>
          </c:extLst>
        </c:ser>
        <c:ser>
          <c:idx val="54"/>
          <c:order val="54"/>
          <c:tx>
            <c:strRef>
              <c:f>Electricity_mixes!$A$57</c:f>
              <c:strCache>
                <c:ptCount val="1"/>
                <c:pt idx="0">
                  <c:v>Hydrogen</c:v>
                </c:pt>
              </c:strCache>
            </c:strRef>
          </c:tx>
          <c:spPr>
            <a:solidFill>
              <a:schemeClr val="accent1"/>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Electricity_mixes!$B$57:$AH$57</c15:sqref>
                  </c15:fullRef>
                </c:ext>
              </c:extLst>
              <c:f>(Electricity_mixes!$B$57:$E$57,Electricity_mixes!$W$57:$Y$57)</c:f>
            </c:numRef>
          </c:val>
          <c:extLst>
            <c:ext xmlns:c16="http://schemas.microsoft.com/office/drawing/2014/chart" uri="{C3380CC4-5D6E-409C-BE32-E72D297353CC}">
              <c16:uniqueId val="{00000036-09B3-4B62-8010-B7FEFFF3261D}"/>
            </c:ext>
          </c:extLst>
        </c:ser>
        <c:ser>
          <c:idx val="55"/>
          <c:order val="55"/>
          <c:tx>
            <c:strRef>
              <c:f>Electricity_mixes!$A$58</c:f>
              <c:strCache>
                <c:ptCount val="1"/>
                <c:pt idx="0">
                  <c:v>Electricity consumption in storages (TWh/yr.)</c:v>
                </c:pt>
              </c:strCache>
            </c:strRef>
          </c:tx>
          <c:spPr>
            <a:solidFill>
              <a:schemeClr val="accent2"/>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Electricity_mixes!$B$58:$AH$58</c15:sqref>
                  </c15:fullRef>
                </c:ext>
              </c:extLst>
              <c:f>(Electricity_mixes!$B$58:$E$58,Electricity_mixes!$W$58:$Y$58)</c:f>
            </c:numRef>
          </c:val>
          <c:extLst>
            <c:ext xmlns:c16="http://schemas.microsoft.com/office/drawing/2014/chart" uri="{C3380CC4-5D6E-409C-BE32-E72D297353CC}">
              <c16:uniqueId val="{00000037-09B3-4B62-8010-B7FEFFF3261D}"/>
            </c:ext>
          </c:extLst>
        </c:ser>
        <c:ser>
          <c:idx val="56"/>
          <c:order val="56"/>
          <c:tx>
            <c:strRef>
              <c:f>Electricity_mixes!$A$59</c:f>
              <c:strCache>
                <c:ptCount val="1"/>
                <c:pt idx="0">
                  <c:v>Pump storage consumption </c:v>
                </c:pt>
              </c:strCache>
            </c:strRef>
          </c:tx>
          <c:spPr>
            <a:solidFill>
              <a:schemeClr val="accent3"/>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Electricity_mixes!$B$59:$AH$59</c15:sqref>
                  </c15:fullRef>
                </c:ext>
              </c:extLst>
              <c:f>(Electricity_mixes!$B$59:$E$59,Electricity_mixes!$W$59:$Y$59)</c:f>
            </c:numRef>
          </c:val>
          <c:extLst>
            <c:ext xmlns:c16="http://schemas.microsoft.com/office/drawing/2014/chart" uri="{C3380CC4-5D6E-409C-BE32-E72D297353CC}">
              <c16:uniqueId val="{00000038-09B3-4B62-8010-B7FEFFF3261D}"/>
            </c:ext>
          </c:extLst>
        </c:ser>
        <c:ser>
          <c:idx val="57"/>
          <c:order val="57"/>
          <c:tx>
            <c:strRef>
              <c:f>Electricity_mixes!$A$60</c:f>
              <c:strCache>
                <c:ptCount val="1"/>
                <c:pt idx="0">
                  <c:v>Stationary Batteries and CAES</c:v>
                </c:pt>
              </c:strCache>
            </c:strRef>
          </c:tx>
          <c:spPr>
            <a:solidFill>
              <a:schemeClr val="accent4"/>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Electricity_mixes!$B$60:$AH$60</c15:sqref>
                  </c15:fullRef>
                </c:ext>
              </c:extLst>
              <c:f>(Electricity_mixes!$B$60:$E$60,Electricity_mixes!$W$60:$Y$60)</c:f>
            </c:numRef>
          </c:val>
          <c:extLst>
            <c:ext xmlns:c16="http://schemas.microsoft.com/office/drawing/2014/chart" uri="{C3380CC4-5D6E-409C-BE32-E72D297353CC}">
              <c16:uniqueId val="{00000039-09B3-4B62-8010-B7FEFFF3261D}"/>
            </c:ext>
          </c:extLst>
        </c:ser>
        <c:ser>
          <c:idx val="58"/>
          <c:order val="58"/>
          <c:tx>
            <c:strRef>
              <c:f>Electricity_mixes!$A$61</c:f>
              <c:strCache>
                <c:ptCount val="1"/>
                <c:pt idx="0">
                  <c:v>Fuel input in centralised heat plants5 (PJ/yr.)</c:v>
                </c:pt>
              </c:strCache>
            </c:strRef>
          </c:tx>
          <c:spPr>
            <a:solidFill>
              <a:schemeClr val="accent5"/>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Electricity_mixes!$B$61:$AH$61</c15:sqref>
                  </c15:fullRef>
                </c:ext>
              </c:extLst>
              <c:f>(Electricity_mixes!$B$61:$E$61,Electricity_mixes!$W$61:$Y$61)</c:f>
            </c:numRef>
          </c:val>
          <c:extLst>
            <c:ext xmlns:c16="http://schemas.microsoft.com/office/drawing/2014/chart" uri="{C3380CC4-5D6E-409C-BE32-E72D297353CC}">
              <c16:uniqueId val="{0000003A-09B3-4B62-8010-B7FEFFF3261D}"/>
            </c:ext>
          </c:extLst>
        </c:ser>
        <c:ser>
          <c:idx val="59"/>
          <c:order val="59"/>
          <c:tx>
            <c:strRef>
              <c:f>Electricity_mixes!$A$62</c:f>
              <c:strCache>
                <c:ptCount val="1"/>
                <c:pt idx="0">
                  <c:v>Oil products</c:v>
                </c:pt>
              </c:strCache>
            </c:strRef>
          </c:tx>
          <c:spPr>
            <a:solidFill>
              <a:schemeClr val="accent6"/>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Electricity_mixes!$B$62:$AH$62</c15:sqref>
                  </c15:fullRef>
                </c:ext>
              </c:extLst>
              <c:f>(Electricity_mixes!$B$62:$E$62,Electricity_mixes!$W$62:$Y$62)</c:f>
            </c:numRef>
          </c:val>
          <c:extLst>
            <c:ext xmlns:c16="http://schemas.microsoft.com/office/drawing/2014/chart" uri="{C3380CC4-5D6E-409C-BE32-E72D297353CC}">
              <c16:uniqueId val="{0000003B-09B3-4B62-8010-B7FEFFF3261D}"/>
            </c:ext>
          </c:extLst>
        </c:ser>
        <c:ser>
          <c:idx val="60"/>
          <c:order val="60"/>
          <c:tx>
            <c:strRef>
              <c:f>Electricity_mixes!$A$63</c:f>
              <c:strCache>
                <c:ptCount val="1"/>
                <c:pt idx="0">
                  <c:v>Gas (natural gas and biomethane)4</c:v>
                </c:pt>
              </c:strCache>
            </c:strRef>
          </c:tx>
          <c:spPr>
            <a:solidFill>
              <a:schemeClr val="accent1">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Electricity_mixes!$B$63:$AH$63</c15:sqref>
                  </c15:fullRef>
                </c:ext>
              </c:extLst>
              <c:f>(Electricity_mixes!$B$63:$E$63,Electricity_mixes!$W$63:$Y$63)</c:f>
            </c:numRef>
          </c:val>
          <c:extLst>
            <c:ext xmlns:c16="http://schemas.microsoft.com/office/drawing/2014/chart" uri="{C3380CC4-5D6E-409C-BE32-E72D297353CC}">
              <c16:uniqueId val="{0000003C-09B3-4B62-8010-B7FEFFF3261D}"/>
            </c:ext>
          </c:extLst>
        </c:ser>
        <c:ser>
          <c:idx val="61"/>
          <c:order val="61"/>
          <c:tx>
            <c:strRef>
              <c:f>Electricity_mixes!$A$64</c:f>
              <c:strCache>
                <c:ptCount val="1"/>
                <c:pt idx="0">
                  <c:v>Woody biomass</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Electricity_mixes!$B$64:$AH$64</c15:sqref>
                  </c15:fullRef>
                </c:ext>
              </c:extLst>
              <c:f>(Electricity_mixes!$B$64:$E$64,Electricity_mixes!$W$64:$Y$64)</c:f>
            </c:numRef>
          </c:val>
          <c:extLst>
            <c:ext xmlns:c16="http://schemas.microsoft.com/office/drawing/2014/chart" uri="{C3380CC4-5D6E-409C-BE32-E72D297353CC}">
              <c16:uniqueId val="{0000003D-09B3-4B62-8010-B7FEFFF3261D}"/>
            </c:ext>
          </c:extLst>
        </c:ser>
        <c:ser>
          <c:idx val="62"/>
          <c:order val="62"/>
          <c:tx>
            <c:strRef>
              <c:f>Electricity_mixes!$A$65</c:f>
              <c:strCache>
                <c:ptCount val="1"/>
                <c:pt idx="0">
                  <c:v>Biogas</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Electricity_mixes!$B$65:$AH$65</c15:sqref>
                  </c15:fullRef>
                </c:ext>
              </c:extLst>
              <c:f>(Electricity_mixes!$B$65:$E$65,Electricity_mixes!$W$65:$Y$65)</c:f>
            </c:numRef>
          </c:val>
          <c:extLst>
            <c:ext xmlns:c16="http://schemas.microsoft.com/office/drawing/2014/chart" uri="{C3380CC4-5D6E-409C-BE32-E72D297353CC}">
              <c16:uniqueId val="{0000003E-09B3-4B62-8010-B7FEFFF3261D}"/>
            </c:ext>
          </c:extLst>
        </c:ser>
        <c:ser>
          <c:idx val="63"/>
          <c:order val="63"/>
          <c:tx>
            <c:strRef>
              <c:f>Electricity_mixes!$A$66</c:f>
              <c:strCache>
                <c:ptCount val="1"/>
                <c:pt idx="0">
                  <c:v>Solar (thermal)</c:v>
                </c:pt>
              </c:strCache>
            </c:strRef>
          </c:tx>
          <c:spPr>
            <a:solidFill>
              <a:schemeClr val="accent4">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Electricity_mixes!$B$66:$AH$66</c15:sqref>
                  </c15:fullRef>
                </c:ext>
              </c:extLst>
              <c:f>(Electricity_mixes!$B$66:$E$66,Electricity_mixes!$W$66:$Y$66)</c:f>
            </c:numRef>
          </c:val>
          <c:extLst>
            <c:ext xmlns:c16="http://schemas.microsoft.com/office/drawing/2014/chart" uri="{C3380CC4-5D6E-409C-BE32-E72D297353CC}">
              <c16:uniqueId val="{0000003F-09B3-4B62-8010-B7FEFFF3261D}"/>
            </c:ext>
          </c:extLst>
        </c:ser>
        <c:ser>
          <c:idx val="64"/>
          <c:order val="64"/>
          <c:tx>
            <c:strRef>
              <c:f>Electricity_mixes!$A$67</c:f>
              <c:strCache>
                <c:ptCount val="1"/>
                <c:pt idx="0">
                  <c:v>Deep geothermal</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Electricity_mixes!$B$67:$AH$67</c15:sqref>
                  </c15:fullRef>
                </c:ext>
              </c:extLst>
              <c:f>(Electricity_mixes!$B$67:$E$67,Electricity_mixes!$W$67:$Y$67)</c:f>
            </c:numRef>
          </c:val>
          <c:extLst>
            <c:ext xmlns:c16="http://schemas.microsoft.com/office/drawing/2014/chart" uri="{C3380CC4-5D6E-409C-BE32-E72D297353CC}">
              <c16:uniqueId val="{00000040-09B3-4B62-8010-B7FEFFF3261D}"/>
            </c:ext>
          </c:extLst>
        </c:ser>
        <c:ser>
          <c:idx val="65"/>
          <c:order val="65"/>
          <c:tx>
            <c:strRef>
              <c:f>Electricity_mixes!$A$68</c:f>
              <c:strCache>
                <c:ptCount val="1"/>
                <c:pt idx="0">
                  <c:v>Electricity (heat pumps)</c:v>
                </c:pt>
              </c:strCache>
            </c:strRef>
          </c:tx>
          <c:spPr>
            <a:solidFill>
              <a:schemeClr val="accent6">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Electricity_mixes!$B$68:$AH$68</c15:sqref>
                  </c15:fullRef>
                </c:ext>
              </c:extLst>
              <c:f>(Electricity_mixes!$B$68:$E$68,Electricity_mixes!$W$68:$Y$68)</c:f>
            </c:numRef>
          </c:val>
          <c:extLst>
            <c:ext xmlns:c16="http://schemas.microsoft.com/office/drawing/2014/chart" uri="{C3380CC4-5D6E-409C-BE32-E72D297353CC}">
              <c16:uniqueId val="{00000041-09B3-4B62-8010-B7FEFFF3261D}"/>
            </c:ext>
          </c:extLst>
        </c:ser>
        <c:ser>
          <c:idx val="66"/>
          <c:order val="66"/>
          <c:tx>
            <c:strRef>
              <c:f>Electricity_mixes!$A$69</c:f>
              <c:strCache>
                <c:ptCount val="1"/>
                <c:pt idx="0">
                  <c:v>Fuel input for hydrogen production (PJ/yr.)</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Electricity_mixes!$B$69:$AH$69</c15:sqref>
                  </c15:fullRef>
                </c:ext>
              </c:extLst>
              <c:f>(Electricity_mixes!$B$69:$E$69,Electricity_mixes!$W$69:$Y$69)</c:f>
            </c:numRef>
          </c:val>
          <c:extLst>
            <c:ext xmlns:c16="http://schemas.microsoft.com/office/drawing/2014/chart" uri="{C3380CC4-5D6E-409C-BE32-E72D297353CC}">
              <c16:uniqueId val="{00000042-09B3-4B62-8010-B7FEFFF3261D}"/>
            </c:ext>
          </c:extLst>
        </c:ser>
        <c:ser>
          <c:idx val="67"/>
          <c:order val="67"/>
          <c:tx>
            <c:strRef>
              <c:f>Electricity_mixes!$A$70</c:f>
              <c:strCache>
                <c:ptCount val="1"/>
                <c:pt idx="0">
                  <c:v>Gas (natural gas and biomethane)4</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Electricity_mixes!$B$70:$AH$70</c15:sqref>
                  </c15:fullRef>
                </c:ext>
              </c:extLst>
              <c:f>(Electricity_mixes!$B$70:$E$70,Electricity_mixes!$W$70:$Y$70)</c:f>
            </c:numRef>
          </c:val>
          <c:extLst>
            <c:ext xmlns:c16="http://schemas.microsoft.com/office/drawing/2014/chart" uri="{C3380CC4-5D6E-409C-BE32-E72D297353CC}">
              <c16:uniqueId val="{00000043-09B3-4B62-8010-B7FEFFF3261D}"/>
            </c:ext>
          </c:extLst>
        </c:ser>
        <c:ser>
          <c:idx val="68"/>
          <c:order val="68"/>
          <c:tx>
            <c:strRef>
              <c:f>Electricity_mixes!$A$71</c:f>
              <c:strCache>
                <c:ptCount val="1"/>
                <c:pt idx="0">
                  <c:v>Woody biomass</c:v>
                </c:pt>
              </c:strCache>
            </c:strRef>
          </c:tx>
          <c:spPr>
            <a:solidFill>
              <a:schemeClr val="accent3">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Electricity_mixes!$B$71:$AH$71</c15:sqref>
                  </c15:fullRef>
                </c:ext>
              </c:extLst>
              <c:f>(Electricity_mixes!$B$71:$E$71,Electricity_mixes!$W$71:$Y$71)</c:f>
            </c:numRef>
          </c:val>
          <c:extLst>
            <c:ext xmlns:c16="http://schemas.microsoft.com/office/drawing/2014/chart" uri="{C3380CC4-5D6E-409C-BE32-E72D297353CC}">
              <c16:uniqueId val="{00000044-09B3-4B62-8010-B7FEFFF3261D}"/>
            </c:ext>
          </c:extLst>
        </c:ser>
        <c:ser>
          <c:idx val="69"/>
          <c:order val="69"/>
          <c:tx>
            <c:strRef>
              <c:f>Electricity_mixes!$A$72</c:f>
              <c:strCache>
                <c:ptCount val="1"/>
                <c:pt idx="0">
                  <c:v>Electricity</c:v>
                </c:pt>
              </c:strCache>
            </c:strRef>
          </c:tx>
          <c:spPr>
            <a:solidFill>
              <a:schemeClr val="accent4">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Electricity_mixes!$B$72:$AH$72</c15:sqref>
                  </c15:fullRef>
                </c:ext>
              </c:extLst>
              <c:f>(Electricity_mixes!$B$72:$E$72,Electricity_mixes!$W$72:$Y$72)</c:f>
            </c:numRef>
          </c:val>
          <c:extLst>
            <c:ext xmlns:c16="http://schemas.microsoft.com/office/drawing/2014/chart" uri="{C3380CC4-5D6E-409C-BE32-E72D297353CC}">
              <c16:uniqueId val="{00000045-09B3-4B62-8010-B7FEFFF3261D}"/>
            </c:ext>
          </c:extLst>
        </c:ser>
        <c:ser>
          <c:idx val="70"/>
          <c:order val="70"/>
          <c:tx>
            <c:strRef>
              <c:f>Electricity_mixes!$A$73</c:f>
              <c:strCache>
                <c:ptCount val="1"/>
                <c:pt idx="0">
                  <c:v>Fuel input for production of domestic biofuels and synfuels7,8,20 (PJ/yr.)</c:v>
                </c:pt>
              </c:strCache>
            </c:strRef>
          </c:tx>
          <c:spPr>
            <a:solidFill>
              <a:schemeClr val="accent5">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Electricity_mixes!$B$73:$AH$73</c15:sqref>
                  </c15:fullRef>
                </c:ext>
              </c:extLst>
              <c:f>(Electricity_mixes!$B$73:$E$73,Electricity_mixes!$W$73:$Y$73)</c:f>
            </c:numRef>
          </c:val>
          <c:extLst>
            <c:ext xmlns:c16="http://schemas.microsoft.com/office/drawing/2014/chart" uri="{C3380CC4-5D6E-409C-BE32-E72D297353CC}">
              <c16:uniqueId val="{00000046-09B3-4B62-8010-B7FEFFF3261D}"/>
            </c:ext>
          </c:extLst>
        </c:ser>
        <c:ser>
          <c:idx val="71"/>
          <c:order val="71"/>
          <c:tx>
            <c:strRef>
              <c:f>Electricity_mixes!$A$74</c:f>
              <c:strCache>
                <c:ptCount val="1"/>
                <c:pt idx="0">
                  <c:v>Manure</c:v>
                </c:pt>
              </c:strCache>
            </c:strRef>
          </c:tx>
          <c:spPr>
            <a:solidFill>
              <a:schemeClr val="accent6">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Electricity_mixes!$B$74:$AH$74</c15:sqref>
                  </c15:fullRef>
                </c:ext>
              </c:extLst>
              <c:f>(Electricity_mixes!$B$74:$E$74,Electricity_mixes!$W$74:$Y$74)</c:f>
            </c:numRef>
          </c:val>
          <c:extLst>
            <c:ext xmlns:c16="http://schemas.microsoft.com/office/drawing/2014/chart" uri="{C3380CC4-5D6E-409C-BE32-E72D297353CC}">
              <c16:uniqueId val="{00000047-09B3-4B62-8010-B7FEFFF3261D}"/>
            </c:ext>
          </c:extLst>
        </c:ser>
        <c:ser>
          <c:idx val="72"/>
          <c:order val="72"/>
          <c:tx>
            <c:strRef>
              <c:f>Electricity_mixes!$A$75</c:f>
              <c:strCache>
                <c:ptCount val="1"/>
                <c:pt idx="0">
                  <c:v>Wastes1</c:v>
                </c:pt>
              </c:strCache>
            </c:strRef>
          </c:tx>
          <c:spPr>
            <a:solidFill>
              <a:schemeClr val="accent1">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Electricity_mixes!$B$75:$AH$75</c15:sqref>
                  </c15:fullRef>
                </c:ext>
              </c:extLst>
              <c:f>(Electricity_mixes!$B$75:$E$75,Electricity_mixes!$W$75:$Y$75)</c:f>
            </c:numRef>
          </c:val>
          <c:extLst>
            <c:ext xmlns:c16="http://schemas.microsoft.com/office/drawing/2014/chart" uri="{C3380CC4-5D6E-409C-BE32-E72D297353CC}">
              <c16:uniqueId val="{00000048-09B3-4B62-8010-B7FEFFF3261D}"/>
            </c:ext>
          </c:extLst>
        </c:ser>
        <c:ser>
          <c:idx val="73"/>
          <c:order val="73"/>
          <c:tx>
            <c:strRef>
              <c:f>Electricity_mixes!$A$76</c:f>
              <c:strCache>
                <c:ptCount val="1"/>
                <c:pt idx="0">
                  <c:v>Woody biomass</c:v>
                </c:pt>
              </c:strCache>
            </c:strRef>
          </c:tx>
          <c:spPr>
            <a:solidFill>
              <a:schemeClr val="accent2">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Electricity_mixes!$B$76:$AH$76</c15:sqref>
                  </c15:fullRef>
                </c:ext>
              </c:extLst>
              <c:f>(Electricity_mixes!$B$76:$E$76,Electricity_mixes!$W$76:$Y$76)</c:f>
            </c:numRef>
          </c:val>
          <c:extLst>
            <c:ext xmlns:c16="http://schemas.microsoft.com/office/drawing/2014/chart" uri="{C3380CC4-5D6E-409C-BE32-E72D297353CC}">
              <c16:uniqueId val="{00000049-09B3-4B62-8010-B7FEFFF3261D}"/>
            </c:ext>
          </c:extLst>
        </c:ser>
        <c:ser>
          <c:idx val="74"/>
          <c:order val="74"/>
          <c:tx>
            <c:strRef>
              <c:f>Electricity_mixes!$A$77</c:f>
              <c:strCache>
                <c:ptCount val="1"/>
                <c:pt idx="0">
                  <c:v>Electricity</c:v>
                </c:pt>
              </c:strCache>
            </c:strRef>
          </c:tx>
          <c:spPr>
            <a:solidFill>
              <a:schemeClr val="accent3">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Electricity_mixes!$B$77:$AH$77</c15:sqref>
                  </c15:fullRef>
                </c:ext>
              </c:extLst>
              <c:f>(Electricity_mixes!$B$77:$E$77,Electricity_mixes!$W$77:$Y$77)</c:f>
            </c:numRef>
          </c:val>
          <c:extLst>
            <c:ext xmlns:c16="http://schemas.microsoft.com/office/drawing/2014/chart" uri="{C3380CC4-5D6E-409C-BE32-E72D297353CC}">
              <c16:uniqueId val="{0000004A-09B3-4B62-8010-B7FEFFF3261D}"/>
            </c:ext>
          </c:extLst>
        </c:ser>
        <c:ser>
          <c:idx val="75"/>
          <c:order val="75"/>
          <c:tx>
            <c:strRef>
              <c:f>Electricity_mixes!$A$78</c:f>
              <c:strCache>
                <c:ptCount val="1"/>
                <c:pt idx="0">
                  <c:v>Hydrogen</c:v>
                </c:pt>
              </c:strCache>
            </c:strRef>
          </c:tx>
          <c:spPr>
            <a:solidFill>
              <a:schemeClr val="accent4">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Electricity_mixes!$B$78:$AH$78</c15:sqref>
                  </c15:fullRef>
                </c:ext>
              </c:extLst>
              <c:f>(Electricity_mixes!$B$78:$E$78,Electricity_mixes!$W$78:$Y$78)</c:f>
            </c:numRef>
          </c:val>
          <c:extLst>
            <c:ext xmlns:c16="http://schemas.microsoft.com/office/drawing/2014/chart" uri="{C3380CC4-5D6E-409C-BE32-E72D297353CC}">
              <c16:uniqueId val="{0000004B-09B3-4B62-8010-B7FEFFF3261D}"/>
            </c:ext>
          </c:extLst>
        </c:ser>
        <c:ser>
          <c:idx val="76"/>
          <c:order val="76"/>
          <c:tx>
            <c:strRef>
              <c:f>Electricity_mixes!$A$79</c:f>
              <c:strCache>
                <c:ptCount val="1"/>
                <c:pt idx="0">
                  <c:v>Fuel input in Direct Air Capture (PJ/yr.)</c:v>
                </c:pt>
              </c:strCache>
            </c:strRef>
          </c:tx>
          <c:spPr>
            <a:solidFill>
              <a:schemeClr val="accent5">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Electricity_mixes!$B$79:$AH$79</c15:sqref>
                  </c15:fullRef>
                </c:ext>
              </c:extLst>
              <c:f>(Electricity_mixes!$B$79:$E$79,Electricity_mixes!$W$79:$Y$79)</c:f>
            </c:numRef>
          </c:val>
          <c:extLst>
            <c:ext xmlns:c16="http://schemas.microsoft.com/office/drawing/2014/chart" uri="{C3380CC4-5D6E-409C-BE32-E72D297353CC}">
              <c16:uniqueId val="{0000004C-09B3-4B62-8010-B7FEFFF3261D}"/>
            </c:ext>
          </c:extLst>
        </c:ser>
        <c:ser>
          <c:idx val="77"/>
          <c:order val="77"/>
          <c:tx>
            <c:strRef>
              <c:f>Electricity_mixes!$A$80</c:f>
              <c:strCache>
                <c:ptCount val="1"/>
                <c:pt idx="0">
                  <c:v>Electricity</c:v>
                </c:pt>
              </c:strCache>
            </c:strRef>
          </c:tx>
          <c:spPr>
            <a:solidFill>
              <a:schemeClr val="accent6">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Electricity_mixes!$B$80:$AH$80</c15:sqref>
                  </c15:fullRef>
                </c:ext>
              </c:extLst>
              <c:f>(Electricity_mixes!$B$80:$E$80,Electricity_mixes!$W$80:$Y$80)</c:f>
            </c:numRef>
          </c:val>
          <c:extLst>
            <c:ext xmlns:c16="http://schemas.microsoft.com/office/drawing/2014/chart" uri="{C3380CC4-5D6E-409C-BE32-E72D297353CC}">
              <c16:uniqueId val="{0000004D-09B3-4B62-8010-B7FEFFF3261D}"/>
            </c:ext>
          </c:extLst>
        </c:ser>
        <c:ser>
          <c:idx val="78"/>
          <c:order val="78"/>
          <c:tx>
            <c:strRef>
              <c:f>Electricity_mixes!$A$81</c:f>
              <c:strCache>
                <c:ptCount val="1"/>
                <c:pt idx="0">
                  <c:v>Heat</c:v>
                </c:pt>
              </c:strCache>
            </c:strRef>
          </c:tx>
          <c:spPr>
            <a:solidFill>
              <a:schemeClr val="accent1">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Electricity_mixes!$B$81:$AH$81</c15:sqref>
                  </c15:fullRef>
                </c:ext>
              </c:extLst>
              <c:f>(Electricity_mixes!$B$81:$E$81,Electricity_mixes!$W$81:$Y$81)</c:f>
            </c:numRef>
          </c:val>
          <c:extLst>
            <c:ext xmlns:c16="http://schemas.microsoft.com/office/drawing/2014/chart" uri="{C3380CC4-5D6E-409C-BE32-E72D297353CC}">
              <c16:uniqueId val="{0000004E-09B3-4B62-8010-B7FEFFF3261D}"/>
            </c:ext>
          </c:extLst>
        </c:ser>
        <c:ser>
          <c:idx val="80"/>
          <c:order val="79"/>
          <c:tx>
            <c:strRef>
              <c:f>Electricity_mixes!$A$83</c:f>
              <c:strCache>
                <c:ptCount val="1"/>
                <c:pt idx="0">
                  <c:v>Oil products</c:v>
                </c:pt>
              </c:strCache>
            </c:strRef>
          </c:tx>
          <c:spPr>
            <a:solidFill>
              <a:schemeClr val="accent3">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Electricity_mixes!$B$83:$AH$83</c15:sqref>
                  </c15:fullRef>
                </c:ext>
              </c:extLst>
              <c:f>(Electricity_mixes!$B$83:$E$83,Electricity_mixes!$W$83:$Y$83)</c:f>
              <c:numCache>
                <c:formatCode>0.0</c:formatCode>
                <c:ptCount val="7"/>
                <c:pt idx="0">
                  <c:v>3.1399999999999997E-2</c:v>
                </c:pt>
                <c:pt idx="1">
                  <c:v>3.7773014257229636E-6</c:v>
                </c:pt>
                <c:pt idx="2">
                  <c:v>3.4846251473050711E-6</c:v>
                </c:pt>
                <c:pt idx="3">
                  <c:v>2.8782479719248176E-6</c:v>
                </c:pt>
                <c:pt idx="4">
                  <c:v>0</c:v>
                </c:pt>
                <c:pt idx="5">
                  <c:v>0</c:v>
                </c:pt>
                <c:pt idx="6">
                  <c:v>0</c:v>
                </c:pt>
              </c:numCache>
            </c:numRef>
          </c:val>
          <c:extLst>
            <c:ext xmlns:c16="http://schemas.microsoft.com/office/drawing/2014/chart" uri="{C3380CC4-5D6E-409C-BE32-E72D297353CC}">
              <c16:uniqueId val="{0000004F-09B3-4B62-8010-B7FEFFF3261D}"/>
            </c:ext>
          </c:extLst>
        </c:ser>
        <c:ser>
          <c:idx val="81"/>
          <c:order val="80"/>
          <c:tx>
            <c:strRef>
              <c:f>Electricity_mixes!$A$84</c:f>
              <c:strCache>
                <c:ptCount val="1"/>
                <c:pt idx="0">
                  <c:v>Gas (natural gas and biomethane)4</c:v>
                </c:pt>
              </c:strCache>
            </c:strRef>
          </c:tx>
          <c:spPr>
            <a:solidFill>
              <a:schemeClr val="accent4">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Electricity_mixes!$B$84:$AH$84</c15:sqref>
                  </c15:fullRef>
                </c:ext>
              </c:extLst>
              <c:f>(Electricity_mixes!$B$84:$E$84,Electricity_mixes!$W$84:$Y$84)</c:f>
              <c:numCache>
                <c:formatCode>0.0</c:formatCode>
                <c:ptCount val="7"/>
                <c:pt idx="0">
                  <c:v>0.66359999999999975</c:v>
                </c:pt>
                <c:pt idx="1">
                  <c:v>3.9163972342442945</c:v>
                </c:pt>
                <c:pt idx="2">
                  <c:v>7.0676819404315676</c:v>
                </c:pt>
                <c:pt idx="3">
                  <c:v>9.8715564871683021</c:v>
                </c:pt>
                <c:pt idx="4">
                  <c:v>1.5488760409186031</c:v>
                </c:pt>
                <c:pt idx="5">
                  <c:v>1.8510996395253216</c:v>
                </c:pt>
                <c:pt idx="6">
                  <c:v>2.1189415514815915</c:v>
                </c:pt>
              </c:numCache>
            </c:numRef>
          </c:val>
          <c:extLst>
            <c:ext xmlns:c16="http://schemas.microsoft.com/office/drawing/2014/chart" uri="{C3380CC4-5D6E-409C-BE32-E72D297353CC}">
              <c16:uniqueId val="{00000050-09B3-4B62-8010-B7FEFFF3261D}"/>
            </c:ext>
          </c:extLst>
        </c:ser>
        <c:ser>
          <c:idx val="82"/>
          <c:order val="81"/>
          <c:tx>
            <c:strRef>
              <c:f>Electricity_mixes!$A$85</c:f>
              <c:strCache>
                <c:ptCount val="1"/>
                <c:pt idx="0">
                  <c:v>Gas (natural gas and biomethane)4 with CCS</c:v>
                </c:pt>
              </c:strCache>
            </c:strRef>
          </c:tx>
          <c:spPr>
            <a:solidFill>
              <a:schemeClr val="accent5">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Electricity_mixes!$B$85:$AH$85</c15:sqref>
                  </c15:fullRef>
                </c:ext>
              </c:extLst>
              <c:f>(Electricity_mixes!$B$85:$E$85,Electricity_mixes!$W$85:$Y$85)</c:f>
              <c:numCache>
                <c:formatCode>0.0</c:formatCode>
                <c:ptCount val="7"/>
                <c:pt idx="0">
                  <c:v>0</c:v>
                </c:pt>
                <c:pt idx="1">
                  <c:v>0</c:v>
                </c:pt>
                <c:pt idx="2">
                  <c:v>0</c:v>
                </c:pt>
                <c:pt idx="3">
                  <c:v>0</c:v>
                </c:pt>
                <c:pt idx="4">
                  <c:v>0</c:v>
                </c:pt>
                <c:pt idx="5">
                  <c:v>0.4783378434177496</c:v>
                </c:pt>
                <c:pt idx="6">
                  <c:v>0.99105814058466879</c:v>
                </c:pt>
              </c:numCache>
            </c:numRef>
          </c:val>
          <c:extLst>
            <c:ext xmlns:c16="http://schemas.microsoft.com/office/drawing/2014/chart" uri="{C3380CC4-5D6E-409C-BE32-E72D297353CC}">
              <c16:uniqueId val="{00000051-09B3-4B62-8010-B7FEFFF3261D}"/>
            </c:ext>
          </c:extLst>
        </c:ser>
        <c:ser>
          <c:idx val="83"/>
          <c:order val="82"/>
          <c:tx>
            <c:strRef>
              <c:f>Electricity_mixes!$A$86</c:f>
              <c:strCache>
                <c:ptCount val="1"/>
                <c:pt idx="0">
                  <c:v>Nuclear power plants</c:v>
                </c:pt>
              </c:strCache>
            </c:strRef>
          </c:tx>
          <c:spPr>
            <a:solidFill>
              <a:schemeClr val="accent6">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Electricity_mixes!$B$86:$AH$86</c15:sqref>
                  </c15:fullRef>
                </c:ext>
              </c:extLst>
              <c:f>(Electricity_mixes!$B$86:$E$86,Electricity_mixes!$W$86:$Y$86)</c:f>
              <c:numCache>
                <c:formatCode>0.0</c:formatCode>
                <c:ptCount val="7"/>
                <c:pt idx="0">
                  <c:v>25.280555555555555</c:v>
                </c:pt>
                <c:pt idx="1">
                  <c:v>18.826001565945941</c:v>
                </c:pt>
                <c:pt idx="2">
                  <c:v>7.7786902660440509</c:v>
                </c:pt>
                <c:pt idx="3">
                  <c:v>0</c:v>
                </c:pt>
                <c:pt idx="4">
                  <c:v>18.826001603147333</c:v>
                </c:pt>
                <c:pt idx="5">
                  <c:v>7.7786902656111572</c:v>
                </c:pt>
                <c:pt idx="6">
                  <c:v>0</c:v>
                </c:pt>
              </c:numCache>
            </c:numRef>
          </c:val>
          <c:extLst>
            <c:ext xmlns:c16="http://schemas.microsoft.com/office/drawing/2014/chart" uri="{C3380CC4-5D6E-409C-BE32-E72D297353CC}">
              <c16:uniqueId val="{00000052-09B3-4B62-8010-B7FEFFF3261D}"/>
            </c:ext>
          </c:extLst>
        </c:ser>
        <c:ser>
          <c:idx val="84"/>
          <c:order val="83"/>
          <c:tx>
            <c:strRef>
              <c:f>Electricity_mixes!$A$87</c:f>
              <c:strCache>
                <c:ptCount val="1"/>
                <c:pt idx="0">
                  <c:v>Woody biomass</c:v>
                </c:pt>
              </c:strCache>
            </c:strRef>
          </c:tx>
          <c:spPr>
            <a:solidFill>
              <a:schemeClr val="accent1">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Electricity_mixes!$B$87:$AH$87</c15:sqref>
                  </c15:fullRef>
                </c:ext>
              </c:extLst>
              <c:f>(Electricity_mixes!$B$87:$E$87,Electricity_mixes!$W$87:$Y$87)</c:f>
              <c:numCache>
                <c:formatCode>0.0</c:formatCode>
                <c:ptCount val="7"/>
                <c:pt idx="0">
                  <c:v>0.31277777777777777</c:v>
                </c:pt>
                <c:pt idx="1">
                  <c:v>0.57558624257245505</c:v>
                </c:pt>
                <c:pt idx="2">
                  <c:v>0.57558775921997019</c:v>
                </c:pt>
                <c:pt idx="3">
                  <c:v>0.57558910145904985</c:v>
                </c:pt>
                <c:pt idx="4">
                  <c:v>0.87366634712665836</c:v>
                </c:pt>
                <c:pt idx="5">
                  <c:v>1.1805319717865179</c:v>
                </c:pt>
                <c:pt idx="6">
                  <c:v>0.55195245536228066</c:v>
                </c:pt>
              </c:numCache>
            </c:numRef>
          </c:val>
          <c:extLst>
            <c:ext xmlns:c16="http://schemas.microsoft.com/office/drawing/2014/chart" uri="{C3380CC4-5D6E-409C-BE32-E72D297353CC}">
              <c16:uniqueId val="{00000053-09B3-4B62-8010-B7FEFFF3261D}"/>
            </c:ext>
          </c:extLst>
        </c:ser>
        <c:ser>
          <c:idx val="85"/>
          <c:order val="84"/>
          <c:tx>
            <c:strRef>
              <c:f>Electricity_mixes!$A$88</c:f>
              <c:strCache>
                <c:ptCount val="1"/>
                <c:pt idx="0">
                  <c:v>Woody biomass with CCS</c:v>
                </c:pt>
              </c:strCache>
            </c:strRef>
          </c:tx>
          <c:spPr>
            <a:solidFill>
              <a:schemeClr val="accent2">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Electricity_mixes!$B$88:$AH$88</c15:sqref>
                  </c15:fullRef>
                </c:ext>
              </c:extLst>
              <c:f>(Electricity_mixes!$B$88:$E$88,Electricity_mixes!$W$88:$Y$88)</c:f>
              <c:numCache>
                <c:formatCode>0.0</c:formatCode>
                <c:ptCount val="7"/>
                <c:pt idx="0">
                  <c:v>0</c:v>
                </c:pt>
                <c:pt idx="1">
                  <c:v>0</c:v>
                </c:pt>
                <c:pt idx="2">
                  <c:v>0</c:v>
                </c:pt>
                <c:pt idx="3">
                  <c:v>0</c:v>
                </c:pt>
                <c:pt idx="4">
                  <c:v>0</c:v>
                </c:pt>
                <c:pt idx="5">
                  <c:v>1.9194629029313928E-2</c:v>
                </c:pt>
                <c:pt idx="6">
                  <c:v>0.69552866227449617</c:v>
                </c:pt>
              </c:numCache>
            </c:numRef>
          </c:val>
          <c:extLst>
            <c:ext xmlns:c16="http://schemas.microsoft.com/office/drawing/2014/chart" uri="{C3380CC4-5D6E-409C-BE32-E72D297353CC}">
              <c16:uniqueId val="{00000054-09B3-4B62-8010-B7FEFFF3261D}"/>
            </c:ext>
          </c:extLst>
        </c:ser>
        <c:ser>
          <c:idx val="86"/>
          <c:order val="85"/>
          <c:tx>
            <c:strRef>
              <c:f>Electricity_mixes!$A$89</c:f>
              <c:strCache>
                <c:ptCount val="1"/>
                <c:pt idx="0">
                  <c:v>Waste (incl. non renewable waste)</c:v>
                </c:pt>
              </c:strCache>
            </c:strRef>
          </c:tx>
          <c:spPr>
            <a:solidFill>
              <a:schemeClr val="accent3">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Electricity_mixes!$B$89:$AH$89</c15:sqref>
                  </c15:fullRef>
                </c:ext>
              </c:extLst>
              <c:f>(Electricity_mixes!$B$89:$E$89,Electricity_mixes!$W$89:$Y$89)</c:f>
              <c:numCache>
                <c:formatCode>0.0</c:formatCode>
                <c:ptCount val="7"/>
                <c:pt idx="0">
                  <c:v>2.355</c:v>
                </c:pt>
                <c:pt idx="1">
                  <c:v>2.5158929381514628</c:v>
                </c:pt>
                <c:pt idx="2">
                  <c:v>2.5539046922692075</c:v>
                </c:pt>
                <c:pt idx="3">
                  <c:v>2.6001007117714767</c:v>
                </c:pt>
                <c:pt idx="4">
                  <c:v>2.5156692314703082</c:v>
                </c:pt>
                <c:pt idx="5">
                  <c:v>2.079632561129912</c:v>
                </c:pt>
                <c:pt idx="6">
                  <c:v>1.2223217834036684</c:v>
                </c:pt>
              </c:numCache>
            </c:numRef>
          </c:val>
          <c:extLst>
            <c:ext xmlns:c16="http://schemas.microsoft.com/office/drawing/2014/chart" uri="{C3380CC4-5D6E-409C-BE32-E72D297353CC}">
              <c16:uniqueId val="{00000055-09B3-4B62-8010-B7FEFFF3261D}"/>
            </c:ext>
          </c:extLst>
        </c:ser>
        <c:ser>
          <c:idx val="87"/>
          <c:order val="86"/>
          <c:tx>
            <c:strRef>
              <c:f>Electricity_mixes!$A$90</c:f>
              <c:strCache>
                <c:ptCount val="1"/>
                <c:pt idx="0">
                  <c:v>Waste with CCS</c:v>
                </c:pt>
              </c:strCache>
            </c:strRef>
          </c:tx>
          <c:spPr>
            <a:solidFill>
              <a:schemeClr val="accent4">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Electricity_mixes!$B$90:$AH$90</c15:sqref>
                  </c15:fullRef>
                </c:ext>
              </c:extLst>
              <c:f>(Electricity_mixes!$B$90:$E$90,Electricity_mixes!$W$90:$Y$90)</c:f>
              <c:numCache>
                <c:formatCode>0.0</c:formatCode>
                <c:ptCount val="7"/>
                <c:pt idx="0">
                  <c:v>0</c:v>
                </c:pt>
                <c:pt idx="1">
                  <c:v>0</c:v>
                </c:pt>
                <c:pt idx="2">
                  <c:v>0</c:v>
                </c:pt>
                <c:pt idx="3">
                  <c:v>0</c:v>
                </c:pt>
                <c:pt idx="4">
                  <c:v>0</c:v>
                </c:pt>
                <c:pt idx="5">
                  <c:v>0.45056126971159588</c:v>
                </c:pt>
                <c:pt idx="6">
                  <c:v>1.4532804454826385</c:v>
                </c:pt>
              </c:numCache>
            </c:numRef>
          </c:val>
          <c:extLst>
            <c:ext xmlns:c16="http://schemas.microsoft.com/office/drawing/2014/chart" uri="{C3380CC4-5D6E-409C-BE32-E72D297353CC}">
              <c16:uniqueId val="{00000056-09B3-4B62-8010-B7FEFFF3261D}"/>
            </c:ext>
          </c:extLst>
        </c:ser>
        <c:ser>
          <c:idx val="88"/>
          <c:order val="87"/>
          <c:tx>
            <c:strRef>
              <c:f>Electricity_mixes!$A$91</c:f>
              <c:strCache>
                <c:ptCount val="1"/>
                <c:pt idx="0">
                  <c:v>Biogas</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Electricity_mixes!$B$91:$AH$91</c15:sqref>
                  </c15:fullRef>
                </c:ext>
              </c:extLst>
              <c:f>(Electricity_mixes!$B$91:$E$91,Electricity_mixes!$W$91:$Y$91)</c:f>
              <c:numCache>
                <c:formatCode>0.0</c:formatCode>
                <c:ptCount val="7"/>
                <c:pt idx="0">
                  <c:v>0.37222222222222223</c:v>
                </c:pt>
                <c:pt idx="1">
                  <c:v>0.12340746190699248</c:v>
                </c:pt>
                <c:pt idx="2">
                  <c:v>0.12340745448198449</c:v>
                </c:pt>
                <c:pt idx="3">
                  <c:v>0.12340745542287485</c:v>
                </c:pt>
                <c:pt idx="4">
                  <c:v>0.13607419285060735</c:v>
                </c:pt>
                <c:pt idx="5">
                  <c:v>0.53038906645505779</c:v>
                </c:pt>
                <c:pt idx="6">
                  <c:v>0.54452113930103396</c:v>
                </c:pt>
              </c:numCache>
            </c:numRef>
          </c:val>
          <c:extLst>
            <c:ext xmlns:c16="http://schemas.microsoft.com/office/drawing/2014/chart" uri="{C3380CC4-5D6E-409C-BE32-E72D297353CC}">
              <c16:uniqueId val="{00000057-09B3-4B62-8010-B7FEFFF3261D}"/>
            </c:ext>
          </c:extLst>
        </c:ser>
        <c:ser>
          <c:idx val="89"/>
          <c:order val="88"/>
          <c:tx>
            <c:strRef>
              <c:f>Electricity_mixes!$A$92</c:f>
              <c:strCache>
                <c:ptCount val="1"/>
                <c:pt idx="0">
                  <c:v>Hydro (excluding pump storage)</c:v>
                </c:pt>
              </c:strCache>
            </c:strRef>
          </c:tx>
          <c:spPr>
            <a:solidFill>
              <a:schemeClr val="accent6">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Electricity_mixes!$B$92:$AH$92</c15:sqref>
                  </c15:fullRef>
                </c:ext>
              </c:extLst>
              <c:f>(Electricity_mixes!$B$92:$E$92,Electricity_mixes!$W$92:$Y$92)</c:f>
              <c:numCache>
                <c:formatCode>#,##0.0</c:formatCode>
                <c:ptCount val="7"/>
                <c:pt idx="0">
                  <c:v>36.567</c:v>
                </c:pt>
                <c:pt idx="1">
                  <c:v>36.704594268471105</c:v>
                </c:pt>
                <c:pt idx="2">
                  <c:v>36.732038689782783</c:v>
                </c:pt>
                <c:pt idx="3">
                  <c:v>37.586999775106747</c:v>
                </c:pt>
                <c:pt idx="4">
                  <c:v>37.400404825544783</c:v>
                </c:pt>
                <c:pt idx="5">
                  <c:v>37.586999621783299</c:v>
                </c:pt>
                <c:pt idx="6">
                  <c:v>37.586999503641358</c:v>
                </c:pt>
              </c:numCache>
            </c:numRef>
          </c:val>
          <c:extLst>
            <c:ext xmlns:c16="http://schemas.microsoft.com/office/drawing/2014/chart" uri="{C3380CC4-5D6E-409C-BE32-E72D297353CC}">
              <c16:uniqueId val="{00000058-09B3-4B62-8010-B7FEFFF3261D}"/>
            </c:ext>
          </c:extLst>
        </c:ser>
        <c:ser>
          <c:idx val="90"/>
          <c:order val="89"/>
          <c:tx>
            <c:strRef>
              <c:f>Electricity_mixes!$A$93</c:f>
              <c:strCache>
                <c:ptCount val="1"/>
                <c:pt idx="0">
                  <c:v>Solar</c:v>
                </c:pt>
              </c:strCache>
            </c:strRef>
          </c:tx>
          <c:spPr>
            <a:solidFill>
              <a:schemeClr val="accent1">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Electricity_mixes!$B$93:$AH$93</c15:sqref>
                  </c15:fullRef>
                </c:ext>
              </c:extLst>
              <c:f>(Electricity_mixes!$B$93:$E$93,Electricity_mixes!$W$93:$Y$93)</c:f>
              <c:numCache>
                <c:formatCode>#,##0.0</c:formatCode>
                <c:ptCount val="7"/>
                <c:pt idx="0" formatCode="0.0">
                  <c:v>2.1777777777777776</c:v>
                </c:pt>
                <c:pt idx="1">
                  <c:v>4.2495976625879797</c:v>
                </c:pt>
                <c:pt idx="2">
                  <c:v>7.2484360623679125</c:v>
                </c:pt>
                <c:pt idx="3">
                  <c:v>11.806941057381088</c:v>
                </c:pt>
                <c:pt idx="4">
                  <c:v>8.4076243657324028</c:v>
                </c:pt>
                <c:pt idx="5">
                  <c:v>17.832507140158359</c:v>
                </c:pt>
                <c:pt idx="6">
                  <c:v>27.157719835609374</c:v>
                </c:pt>
              </c:numCache>
            </c:numRef>
          </c:val>
          <c:extLst>
            <c:ext xmlns:c16="http://schemas.microsoft.com/office/drawing/2014/chart" uri="{C3380CC4-5D6E-409C-BE32-E72D297353CC}">
              <c16:uniqueId val="{00000059-09B3-4B62-8010-B7FEFFF3261D}"/>
            </c:ext>
          </c:extLst>
        </c:ser>
        <c:ser>
          <c:idx val="91"/>
          <c:order val="90"/>
          <c:tx>
            <c:strRef>
              <c:f>Electricity_mixes!$A$94</c:f>
              <c:strCache>
                <c:ptCount val="1"/>
                <c:pt idx="0">
                  <c:v>Wind</c:v>
                </c:pt>
              </c:strCache>
            </c:strRef>
          </c:tx>
          <c:spPr>
            <a:solidFill>
              <a:schemeClr val="accent2">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Electricity_mixes!$B$94:$AH$94</c15:sqref>
                  </c15:fullRef>
                </c:ext>
              </c:extLst>
              <c:f>(Electricity_mixes!$B$94:$E$94,Electricity_mixes!$W$94:$Y$94)</c:f>
              <c:numCache>
                <c:formatCode>#,##0.0</c:formatCode>
                <c:ptCount val="7"/>
                <c:pt idx="0" formatCode="0.0">
                  <c:v>0.14583333333333334</c:v>
                </c:pt>
                <c:pt idx="1">
                  <c:v>7.2420146543764566E-2</c:v>
                </c:pt>
                <c:pt idx="2">
                  <c:v>0.11796478652359577</c:v>
                </c:pt>
                <c:pt idx="3">
                  <c:v>0.19215220495334404</c:v>
                </c:pt>
                <c:pt idx="4">
                  <c:v>7.3614875370854482E-2</c:v>
                </c:pt>
                <c:pt idx="5">
                  <c:v>0.11991087465914151</c:v>
                </c:pt>
                <c:pt idx="6">
                  <c:v>0.19532217913833524</c:v>
                </c:pt>
              </c:numCache>
            </c:numRef>
          </c:val>
          <c:extLst>
            <c:ext xmlns:c16="http://schemas.microsoft.com/office/drawing/2014/chart" uri="{C3380CC4-5D6E-409C-BE32-E72D297353CC}">
              <c16:uniqueId val="{0000005A-09B3-4B62-8010-B7FEFFF3261D}"/>
            </c:ext>
          </c:extLst>
        </c:ser>
        <c:ser>
          <c:idx val="92"/>
          <c:order val="91"/>
          <c:tx>
            <c:strRef>
              <c:f>Electricity_mixes!$A$95</c:f>
              <c:strCache>
                <c:ptCount val="1"/>
                <c:pt idx="0">
                  <c:v>Deep geothermal</c:v>
                </c:pt>
              </c:strCache>
            </c:strRef>
          </c:tx>
          <c:spPr>
            <a:solidFill>
              <a:schemeClr val="accent3">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Electricity_mixes!$B$95:$AH$95</c15:sqref>
                  </c15:fullRef>
                </c:ext>
              </c:extLst>
              <c:f>(Electricity_mixes!$B$95:$E$95,Electricity_mixes!$W$95:$Y$95)</c:f>
              <c:numCache>
                <c:formatCode>0.0</c:formatCode>
                <c:ptCount val="7"/>
                <c:pt idx="0">
                  <c:v>0</c:v>
                </c:pt>
                <c:pt idx="1">
                  <c:v>0</c:v>
                </c:pt>
                <c:pt idx="2">
                  <c:v>3.5919940318833035E-6</c:v>
                </c:pt>
                <c:pt idx="3">
                  <c:v>3.6377835409518382E-6</c:v>
                </c:pt>
                <c:pt idx="4">
                  <c:v>0</c:v>
                </c:pt>
                <c:pt idx="5">
                  <c:v>2.9881122526412786E-7</c:v>
                </c:pt>
                <c:pt idx="6">
                  <c:v>3.012634307172822E-7</c:v>
                </c:pt>
              </c:numCache>
            </c:numRef>
          </c:val>
          <c:extLst>
            <c:ext xmlns:c16="http://schemas.microsoft.com/office/drawing/2014/chart" uri="{C3380CC4-5D6E-409C-BE32-E72D297353CC}">
              <c16:uniqueId val="{0000005B-09B3-4B62-8010-B7FEFFF3261D}"/>
            </c:ext>
          </c:extLst>
        </c:ser>
        <c:ser>
          <c:idx val="93"/>
          <c:order val="92"/>
          <c:tx>
            <c:strRef>
              <c:f>Electricity_mixes!$A$96</c:f>
              <c:strCache>
                <c:ptCount val="1"/>
                <c:pt idx="0">
                  <c:v>Hydrogen</c:v>
                </c:pt>
              </c:strCache>
            </c:strRef>
          </c:tx>
          <c:spPr>
            <a:solidFill>
              <a:schemeClr val="accent4">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Electricity_mixes!$B$96:$AH$96</c15:sqref>
                  </c15:fullRef>
                </c:ext>
              </c:extLst>
              <c:f>(Electricity_mixes!$B$96:$E$96,Electricity_mixes!$W$96:$Y$96)</c:f>
              <c:numCache>
                <c:formatCode>0.0</c:formatCode>
                <c:ptCount val="7"/>
                <c:pt idx="0">
                  <c:v>0</c:v>
                </c:pt>
                <c:pt idx="1">
                  <c:v>9.583019304675359E-6</c:v>
                </c:pt>
                <c:pt idx="2">
                  <c:v>2.5412083562816172E-5</c:v>
                </c:pt>
                <c:pt idx="3">
                  <c:v>2.6610835814008219E-5</c:v>
                </c:pt>
                <c:pt idx="4">
                  <c:v>0.84408809701885135</c:v>
                </c:pt>
                <c:pt idx="5">
                  <c:v>1.0502925038099009</c:v>
                </c:pt>
                <c:pt idx="6">
                  <c:v>1.9450167759087635</c:v>
                </c:pt>
              </c:numCache>
            </c:numRef>
          </c:val>
          <c:extLst>
            <c:ext xmlns:c16="http://schemas.microsoft.com/office/drawing/2014/chart" uri="{C3380CC4-5D6E-409C-BE32-E72D297353CC}">
              <c16:uniqueId val="{0000005C-09B3-4B62-8010-B7FEFFF3261D}"/>
            </c:ext>
          </c:extLst>
        </c:ser>
        <c:ser>
          <c:idx val="95"/>
          <c:order val="93"/>
          <c:tx>
            <c:strRef>
              <c:f>Electricity_mixes!$A$98</c:f>
              <c:strCache>
                <c:ptCount val="1"/>
                <c:pt idx="0">
                  <c:v>Pump storage production6</c:v>
                </c:pt>
              </c:strCache>
            </c:strRef>
          </c:tx>
          <c:spPr>
            <a:solidFill>
              <a:schemeClr val="accent6">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Electricity_mixes!$B$98:$AH$98</c15:sqref>
                  </c15:fullRef>
                </c:ext>
              </c:extLst>
              <c:f>(Electricity_mixes!$B$98:$E$98,Electricity_mixes!$W$98:$Y$98)</c:f>
              <c:numCache>
                <c:formatCode>0.0</c:formatCode>
                <c:ptCount val="7"/>
                <c:pt idx="0">
                  <c:v>3.3120809771098436</c:v>
                </c:pt>
                <c:pt idx="1">
                  <c:v>3.4265630149130306</c:v>
                </c:pt>
                <c:pt idx="2">
                  <c:v>3.4604977393545648</c:v>
                </c:pt>
                <c:pt idx="3">
                  <c:v>3.5121368162688977</c:v>
                </c:pt>
                <c:pt idx="4">
                  <c:v>3.4627814155751766</c:v>
                </c:pt>
                <c:pt idx="5">
                  <c:v>3.5500818982051223</c:v>
                </c:pt>
                <c:pt idx="6">
                  <c:v>3.6548675885660664</c:v>
                </c:pt>
              </c:numCache>
            </c:numRef>
          </c:val>
          <c:extLst>
            <c:ext xmlns:c16="http://schemas.microsoft.com/office/drawing/2014/chart" uri="{C3380CC4-5D6E-409C-BE32-E72D297353CC}">
              <c16:uniqueId val="{0000005D-09B3-4B62-8010-B7FEFFF3261D}"/>
            </c:ext>
          </c:extLst>
        </c:ser>
        <c:ser>
          <c:idx val="96"/>
          <c:order val="94"/>
          <c:tx>
            <c:strRef>
              <c:f>Electricity_mixes!$A$99</c:f>
              <c:strCache>
                <c:ptCount val="1"/>
                <c:pt idx="0">
                  <c:v>Stationary Batteries and CAES</c:v>
                </c:pt>
              </c:strCache>
            </c:strRef>
          </c:tx>
          <c:spPr>
            <a:solidFill>
              <a:schemeClr val="accent1">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Electricity_mixes!$B$99:$AH$99</c15:sqref>
                  </c15:fullRef>
                </c:ext>
              </c:extLst>
              <c:f>(Electricity_mixes!$B$99:$E$99,Electricity_mixes!$W$99:$Y$99)</c:f>
              <c:numCache>
                <c:formatCode>0.0</c:formatCode>
                <c:ptCount val="7"/>
                <c:pt idx="0">
                  <c:v>5.1630487533704198E-3</c:v>
                </c:pt>
                <c:pt idx="1">
                  <c:v>1.7020458148880597E-3</c:v>
                </c:pt>
                <c:pt idx="2">
                  <c:v>1.5869408792298968E-2</c:v>
                </c:pt>
                <c:pt idx="3">
                  <c:v>0.15432808611749682</c:v>
                </c:pt>
                <c:pt idx="4">
                  <c:v>1.3463847555545066E-2</c:v>
                </c:pt>
                <c:pt idx="5">
                  <c:v>0.39429347351877042</c:v>
                </c:pt>
                <c:pt idx="6">
                  <c:v>2.0896812936442295</c:v>
                </c:pt>
              </c:numCache>
            </c:numRef>
          </c:val>
          <c:extLst>
            <c:ext xmlns:c16="http://schemas.microsoft.com/office/drawing/2014/chart" uri="{C3380CC4-5D6E-409C-BE32-E72D297353CC}">
              <c16:uniqueId val="{0000005E-09B3-4B62-8010-B7FEFFF3261D}"/>
            </c:ext>
          </c:extLst>
        </c:ser>
        <c:dLbls>
          <c:showLegendKey val="0"/>
          <c:showVal val="0"/>
          <c:showCatName val="0"/>
          <c:showSerName val="0"/>
          <c:showPercent val="0"/>
          <c:showBubbleSize val="0"/>
        </c:dLbls>
        <c:gapWidth val="150"/>
        <c:overlap val="100"/>
        <c:axId val="350190703"/>
        <c:axId val="1637637599"/>
      </c:barChart>
      <c:catAx>
        <c:axId val="35019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7637599"/>
        <c:crosses val="autoZero"/>
        <c:auto val="1"/>
        <c:lblAlgn val="ctr"/>
        <c:lblOffset val="100"/>
        <c:noMultiLvlLbl val="0"/>
      </c:catAx>
      <c:valAx>
        <c:axId val="1637637599"/>
        <c:scaling>
          <c:orientation val="minMax"/>
        </c:scaling>
        <c:delete val="0"/>
        <c:axPos val="l"/>
        <c:majorGridlines>
          <c:spPr>
            <a:ln w="9525" cap="flat" cmpd="sng" algn="ctr">
              <a:solidFill>
                <a:schemeClr val="tx1">
                  <a:lumMod val="15000"/>
                  <a:lumOff val="85000"/>
                </a:schemeClr>
              </a:solidFill>
              <a:round/>
            </a:ln>
            <a:effectLst/>
          </c:spPr>
        </c:majorGridlines>
        <c:title>
          <c:tx>
            <c:strRef>
              <c:f>Electricity_mixes!$A$82</c:f>
              <c:strCache>
                <c:ptCount val="1"/>
                <c:pt idx="0">
                  <c:v>Domestic electricity production by source (TWh/yr.)3</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350190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lineChart>
        <c:grouping val="standard"/>
        <c:varyColors val="0"/>
        <c:ser>
          <c:idx val="0"/>
          <c:order val="0"/>
          <c:tx>
            <c:strRef>
              <c:f>LCIA_CH_20250508!$E$77</c:f>
              <c:strCache>
                <c:ptCount val="1"/>
                <c:pt idx="0">
                  <c:v>EF v3.1 | climate change | global warming potential (GWP100)</c:v>
                </c:pt>
              </c:strCache>
            </c:strRef>
          </c:tx>
          <c:spPr>
            <a:ln w="28575" cap="rnd">
              <a:no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LCIA_CH_20250508!$C$78:$C$85</c15:sqref>
                  </c15:fullRef>
                </c:ext>
              </c:extLst>
              <c:f>LCIA_CH_20250508!$C$78:$C$84</c:f>
              <c:strCache>
                <c:ptCount val="7"/>
                <c:pt idx="0">
                  <c:v>AGS_1001</c:v>
                </c:pt>
                <c:pt idx="1">
                  <c:v>AGS_1101</c:v>
                </c:pt>
                <c:pt idx="2">
                  <c:v>AGS_1104</c:v>
                </c:pt>
                <c:pt idx="3">
                  <c:v>AGS_1111</c:v>
                </c:pt>
                <c:pt idx="4">
                  <c:v>AGS_1114</c:v>
                </c:pt>
                <c:pt idx="5">
                  <c:v>AGS_1116</c:v>
                </c:pt>
                <c:pt idx="6">
                  <c:v>AGS_1118</c:v>
                </c:pt>
              </c:strCache>
            </c:strRef>
          </c:cat>
          <c:val>
            <c:numRef>
              <c:extLst>
                <c:ext xmlns:c15="http://schemas.microsoft.com/office/drawing/2012/chart" uri="{02D57815-91ED-43cb-92C2-25804820EDAC}">
                  <c15:fullRef>
                    <c15:sqref>LCIA_CH_20250508!$E$78:$E$85</c15:sqref>
                  </c15:fullRef>
                </c:ext>
              </c:extLst>
              <c:f>LCIA_CH_20250508!$E$78:$E$84</c:f>
              <c:numCache>
                <c:formatCode>General</c:formatCode>
                <c:ptCount val="7"/>
                <c:pt idx="0">
                  <c:v>2.7457106541862768E-2</c:v>
                </c:pt>
                <c:pt idx="1">
                  <c:v>2.9287332699176351E-2</c:v>
                </c:pt>
                <c:pt idx="2">
                  <c:v>2.576705034299346E-2</c:v>
                </c:pt>
                <c:pt idx="3">
                  <c:v>2.4741584785412111E-2</c:v>
                </c:pt>
                <c:pt idx="4">
                  <c:v>2.3738272200905949E-2</c:v>
                </c:pt>
                <c:pt idx="5">
                  <c:v>2.9157415139529259E-2</c:v>
                </c:pt>
                <c:pt idx="6">
                  <c:v>2.3622675256786491E-2</c:v>
                </c:pt>
              </c:numCache>
            </c:numRef>
          </c:val>
          <c:smooth val="0"/>
          <c:extLst>
            <c:ext xmlns:c16="http://schemas.microsoft.com/office/drawing/2014/chart" uri="{C3380CC4-5D6E-409C-BE32-E72D297353CC}">
              <c16:uniqueId val="{00000000-144F-4453-AF6E-8CF8B5C0647F}"/>
            </c:ext>
          </c:extLst>
        </c:ser>
        <c:dLbls>
          <c:showLegendKey val="0"/>
          <c:showVal val="0"/>
          <c:showCatName val="0"/>
          <c:showSerName val="0"/>
          <c:showPercent val="0"/>
          <c:showBubbleSize val="0"/>
        </c:dLbls>
        <c:marker val="1"/>
        <c:smooth val="0"/>
        <c:axId val="1626521103"/>
        <c:axId val="1626522543"/>
      </c:lineChart>
      <c:catAx>
        <c:axId val="162652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26522543"/>
        <c:crosses val="autoZero"/>
        <c:auto val="1"/>
        <c:lblAlgn val="ctr"/>
        <c:lblOffset val="100"/>
        <c:noMultiLvlLbl val="0"/>
      </c:catAx>
      <c:valAx>
        <c:axId val="1626522543"/>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LCIA_CH_20250508!$E$76</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265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253577113402"/>
          <c:y val="4.5638851325447795E-2"/>
          <c:w val="0.7872320304286301"/>
          <c:h val="0.69944117803903716"/>
        </c:manualLayout>
      </c:layout>
      <c:scatterChart>
        <c:scatterStyle val="lineMarker"/>
        <c:varyColors val="0"/>
        <c:ser>
          <c:idx val="0"/>
          <c:order val="0"/>
          <c:tx>
            <c:strRef>
              <c:f>LCIA_CH_20250508!$E$77</c:f>
              <c:strCache>
                <c:ptCount val="1"/>
                <c:pt idx="0">
                  <c:v>EF v3.1 | climate change | global warming potential (GWP100)</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927269546601634"/>
                  <c:y val="-1.3477736132988112E-2"/>
                </c:manualLayout>
              </c:layout>
              <c:tx>
                <c:rich>
                  <a:bodyPr/>
                  <a:lstStyle/>
                  <a:p>
                    <a:fld id="{5921298B-4AED-4AFD-99CA-5571BE144519}"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F94-4377-A92D-106D3B6F947B}"/>
                </c:ext>
              </c:extLst>
            </c:dLbl>
            <c:dLbl>
              <c:idx val="1"/>
              <c:layout>
                <c:manualLayout>
                  <c:x val="-5.4850515544270298E-3"/>
                  <c:y val="-1.9137854689310448E-2"/>
                </c:manualLayout>
              </c:layout>
              <c:tx>
                <c:rich>
                  <a:bodyPr/>
                  <a:lstStyle/>
                  <a:p>
                    <a:fld id="{F24F3D20-B43E-4B9C-B92F-2CF18F646AE8}"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F94-4377-A92D-106D3B6F947B}"/>
                </c:ext>
              </c:extLst>
            </c:dLbl>
            <c:dLbl>
              <c:idx val="2"/>
              <c:layout>
                <c:manualLayout>
                  <c:x val="-8.5193611032474359E-2"/>
                  <c:y val="-5.3769958169512855E-2"/>
                </c:manualLayout>
              </c:layout>
              <c:tx>
                <c:rich>
                  <a:bodyPr/>
                  <a:lstStyle/>
                  <a:p>
                    <a:fld id="{0770B399-D9AF-4F87-80DE-0D57AA17ABEA}"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F94-4377-A92D-106D3B6F947B}"/>
                </c:ext>
              </c:extLst>
            </c:dLbl>
            <c:dLbl>
              <c:idx val="3"/>
              <c:tx>
                <c:rich>
                  <a:bodyPr/>
                  <a:lstStyle/>
                  <a:p>
                    <a:fld id="{52D2A738-3089-4A5E-8432-21BE796F5AC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F94-4377-A92D-106D3B6F947B}"/>
                </c:ext>
              </c:extLst>
            </c:dLbl>
            <c:dLbl>
              <c:idx val="4"/>
              <c:tx>
                <c:rich>
                  <a:bodyPr/>
                  <a:lstStyle/>
                  <a:p>
                    <a:fld id="{C3CC2668-D858-4BC2-9AC5-71D36ACFF7C1}"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F94-4377-A92D-106D3B6F947B}"/>
                </c:ext>
              </c:extLst>
            </c:dLbl>
            <c:dLbl>
              <c:idx val="5"/>
              <c:layout>
                <c:manualLayout>
                  <c:x val="-6.2568522710643795E-2"/>
                  <c:y val="4.2449966975931175E-2"/>
                </c:manualLayout>
              </c:layout>
              <c:tx>
                <c:rich>
                  <a:bodyPr/>
                  <a:lstStyle/>
                  <a:p>
                    <a:fld id="{46E10C63-83E6-45D6-863C-6E711A8B2A6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F94-4377-A92D-106D3B6F947B}"/>
                </c:ext>
              </c:extLst>
            </c:dLbl>
            <c:dLbl>
              <c:idx val="6"/>
              <c:tx>
                <c:rich>
                  <a:bodyPr/>
                  <a:lstStyle/>
                  <a:p>
                    <a:fld id="{9DCD920C-34DB-436D-AA3F-5E6CB3473B1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F94-4377-A92D-106D3B6F947B}"/>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LCIA_CH_20250508!$E$78:$E$84</c:f>
              <c:numCache>
                <c:formatCode>General</c:formatCode>
                <c:ptCount val="7"/>
                <c:pt idx="0">
                  <c:v>2.7457106541862768E-2</c:v>
                </c:pt>
                <c:pt idx="1">
                  <c:v>2.9287332699176351E-2</c:v>
                </c:pt>
                <c:pt idx="2">
                  <c:v>2.576705034299346E-2</c:v>
                </c:pt>
                <c:pt idx="3">
                  <c:v>2.4741584785412111E-2</c:v>
                </c:pt>
                <c:pt idx="4">
                  <c:v>2.3738272200905949E-2</c:v>
                </c:pt>
                <c:pt idx="5">
                  <c:v>2.9157415139529259E-2</c:v>
                </c:pt>
                <c:pt idx="6">
                  <c:v>2.3622675256786491E-2</c:v>
                </c:pt>
              </c:numCache>
            </c:numRef>
          </c:xVal>
          <c:yVal>
            <c:numRef>
              <c:f>LCIA_CH_20250508!$D$78:$D$84</c:f>
              <c:numCache>
                <c:formatCode>General</c:formatCode>
                <c:ptCount val="7"/>
                <c:pt idx="0">
                  <c:v>1.1120088744828184E-2</c:v>
                </c:pt>
                <c:pt idx="1">
                  <c:v>6.9468753428123212E-2</c:v>
                </c:pt>
                <c:pt idx="2">
                  <c:v>0.75595382828552049</c:v>
                </c:pt>
                <c:pt idx="3" formatCode="0.0">
                  <c:v>6.542331555793818</c:v>
                </c:pt>
                <c:pt idx="4">
                  <c:v>12.982732330318917</c:v>
                </c:pt>
                <c:pt idx="5">
                  <c:v>13.907133324867173</c:v>
                </c:pt>
                <c:pt idx="6">
                  <c:v>13.872488002748804</c:v>
                </c:pt>
              </c:numCache>
            </c:numRef>
          </c:yVal>
          <c:smooth val="0"/>
          <c:extLst>
            <c:ext xmlns:c15="http://schemas.microsoft.com/office/drawing/2012/chart" uri="{02D57815-91ED-43cb-92C2-25804820EDAC}">
              <c15:datalabelsRange>
                <c15:f>LCIA_CH_20250508!$C$78:$C$85</c15:f>
                <c15:dlblRangeCache>
                  <c:ptCount val="8"/>
                  <c:pt idx="0">
                    <c:v>AGS_1001</c:v>
                  </c:pt>
                  <c:pt idx="1">
                    <c:v>AGS_1101</c:v>
                  </c:pt>
                  <c:pt idx="2">
                    <c:v>AGS_1104</c:v>
                  </c:pt>
                  <c:pt idx="3">
                    <c:v>AGS_1111</c:v>
                  </c:pt>
                  <c:pt idx="4">
                    <c:v>AGS_1114</c:v>
                  </c:pt>
                  <c:pt idx="5">
                    <c:v>AGS_1116</c:v>
                  </c:pt>
                  <c:pt idx="6">
                    <c:v>AGS_1118</c:v>
                  </c:pt>
                  <c:pt idx="7">
                    <c:v>BAU_AGS</c:v>
                  </c:pt>
                </c15:dlblRangeCache>
              </c15:datalabelsRange>
            </c:ext>
            <c:ext xmlns:c16="http://schemas.microsoft.com/office/drawing/2014/chart" uri="{C3380CC4-5D6E-409C-BE32-E72D297353CC}">
              <c16:uniqueId val="{00000009-FF94-4377-A92D-106D3B6F947B}"/>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LCIA_CH_20250508!$E$76</c:f>
              <c:strCache>
                <c:ptCount val="1"/>
                <c:pt idx="0">
                  <c:v>Impacts on climate change 
[kg CO₂- 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LCIA_CH_20250508!$D$77</c:f>
              <c:strCache>
                <c:ptCount val="1"/>
                <c:pt idx="0">
                  <c:v>Electricity supply by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LCIA_CH_20250508!$H$77</c:f>
              <c:strCache>
                <c:ptCount val="1"/>
                <c:pt idx="0">
                  <c:v>EF v3.1 | material resources: metals/minerals |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7.9754610332218243E-3"/>
                  <c:y val="-1.7420814169294647E-2"/>
                </c:manualLayout>
              </c:layout>
              <c:tx>
                <c:rich>
                  <a:bodyPr/>
                  <a:lstStyle/>
                  <a:p>
                    <a:fld id="{E5A4BA27-32DA-4E98-BEAC-CFADE5A4AE2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A2F-471B-832D-C9EACAA3208F}"/>
                </c:ext>
              </c:extLst>
            </c:dLbl>
            <c:dLbl>
              <c:idx val="1"/>
              <c:layout>
                <c:manualLayout>
                  <c:x val="-0.21114100852571041"/>
                  <c:y val="-1.1613876112863205E-2"/>
                </c:manualLayout>
              </c:layout>
              <c:tx>
                <c:rich>
                  <a:bodyPr/>
                  <a:lstStyle/>
                  <a:p>
                    <a:fld id="{84F39DAB-E962-4F12-B37F-C8197D1F2AC0}"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A2F-471B-832D-C9EACAA3208F}"/>
                </c:ext>
              </c:extLst>
            </c:dLbl>
            <c:dLbl>
              <c:idx val="2"/>
              <c:layout>
                <c:manualLayout>
                  <c:x val="-0.14752654962150416"/>
                  <c:y val="-6.0972849592531381E-2"/>
                </c:manualLayout>
              </c:layout>
              <c:tx>
                <c:rich>
                  <a:bodyPr/>
                  <a:lstStyle/>
                  <a:p>
                    <a:fld id="{76D49490-31AC-4385-A235-76494E764CDC}"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A2F-471B-832D-C9EACAA3208F}"/>
                </c:ext>
              </c:extLst>
            </c:dLbl>
            <c:dLbl>
              <c:idx val="3"/>
              <c:tx>
                <c:rich>
                  <a:bodyPr/>
                  <a:lstStyle/>
                  <a:p>
                    <a:fld id="{DAE07453-0336-4BE1-BEC1-C59D3B6D08AF}"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A2F-471B-832D-C9EACAA3208F}"/>
                </c:ext>
              </c:extLst>
            </c:dLbl>
            <c:dLbl>
              <c:idx val="4"/>
              <c:tx>
                <c:rich>
                  <a:bodyPr/>
                  <a:lstStyle/>
                  <a:p>
                    <a:fld id="{966D90E7-2088-43C3-80F5-5B8D200E5F41}"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A2F-471B-832D-C9EACAA3208F}"/>
                </c:ext>
              </c:extLst>
            </c:dLbl>
            <c:dLbl>
              <c:idx val="5"/>
              <c:layout>
                <c:manualLayout>
                  <c:x val="-0.19587192075339172"/>
                  <c:y val="-3.3392469316933987E-2"/>
                </c:manualLayout>
              </c:layout>
              <c:tx>
                <c:rich>
                  <a:bodyPr/>
                  <a:lstStyle/>
                  <a:p>
                    <a:fld id="{78AB2150-7F9B-49ED-ACB0-1F834274C992}"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A2F-471B-832D-C9EACAA3208F}"/>
                </c:ext>
              </c:extLst>
            </c:dLbl>
            <c:dLbl>
              <c:idx val="6"/>
              <c:layout>
                <c:manualLayout>
                  <c:x val="3.1414439220755458E-2"/>
                  <c:y val="-5.8069910492884319E-3"/>
                </c:manualLayout>
              </c:layout>
              <c:tx>
                <c:rich>
                  <a:bodyPr/>
                  <a:lstStyle/>
                  <a:p>
                    <a:fld id="{396C4B60-0A8C-4A99-B03E-FB980E5EAB30}"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A2F-471B-832D-C9EACAA3208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LCIA_CH_20250508!$H$78:$H$84</c:f>
              <c:numCache>
                <c:formatCode>0.00E+00</c:formatCode>
                <c:ptCount val="7"/>
                <c:pt idx="0">
                  <c:v>5.9429063440083666E-6</c:v>
                </c:pt>
                <c:pt idx="1">
                  <c:v>5.9886179901140868E-6</c:v>
                </c:pt>
                <c:pt idx="2">
                  <c:v>5.9094888843212786E-6</c:v>
                </c:pt>
                <c:pt idx="3">
                  <c:v>5.7780138401010017E-6</c:v>
                </c:pt>
                <c:pt idx="4">
                  <c:v>5.5356415147368412E-6</c:v>
                </c:pt>
                <c:pt idx="5">
                  <c:v>5.5429809420478614E-6</c:v>
                </c:pt>
                <c:pt idx="6">
                  <c:v>5.5103322107174371E-6</c:v>
                </c:pt>
              </c:numCache>
            </c:numRef>
          </c:xVal>
          <c:yVal>
            <c:numRef>
              <c:f>LCIA_CH_20250508!$D$78:$D$84</c:f>
              <c:numCache>
                <c:formatCode>General</c:formatCode>
                <c:ptCount val="7"/>
                <c:pt idx="0">
                  <c:v>1.1120088744828184E-2</c:v>
                </c:pt>
                <c:pt idx="1">
                  <c:v>6.9468753428123212E-2</c:v>
                </c:pt>
                <c:pt idx="2">
                  <c:v>0.75595382828552049</c:v>
                </c:pt>
                <c:pt idx="3" formatCode="0.0">
                  <c:v>6.542331555793818</c:v>
                </c:pt>
                <c:pt idx="4">
                  <c:v>12.982732330318917</c:v>
                </c:pt>
                <c:pt idx="5">
                  <c:v>13.907133324867173</c:v>
                </c:pt>
                <c:pt idx="6">
                  <c:v>13.872488002748804</c:v>
                </c:pt>
              </c:numCache>
            </c:numRef>
          </c:yVal>
          <c:smooth val="0"/>
          <c:extLst>
            <c:ext xmlns:c15="http://schemas.microsoft.com/office/drawing/2012/chart" uri="{02D57815-91ED-43cb-92C2-25804820EDAC}">
              <c15:datalabelsRange>
                <c15:f>LCIA_CH_20250508!$C$78:$C$85</c15:f>
                <c15:dlblRangeCache>
                  <c:ptCount val="8"/>
                  <c:pt idx="0">
                    <c:v>AGS_1001</c:v>
                  </c:pt>
                  <c:pt idx="1">
                    <c:v>AGS_1101</c:v>
                  </c:pt>
                  <c:pt idx="2">
                    <c:v>AGS_1104</c:v>
                  </c:pt>
                  <c:pt idx="3">
                    <c:v>AGS_1111</c:v>
                  </c:pt>
                  <c:pt idx="4">
                    <c:v>AGS_1114</c:v>
                  </c:pt>
                  <c:pt idx="5">
                    <c:v>AGS_1116</c:v>
                  </c:pt>
                  <c:pt idx="6">
                    <c:v>AGS_1118</c:v>
                  </c:pt>
                  <c:pt idx="7">
                    <c:v>BAU_AGS</c:v>
                  </c:pt>
                </c15:dlblRangeCache>
              </c15:datalabelsRange>
            </c:ext>
            <c:ext xmlns:c16="http://schemas.microsoft.com/office/drawing/2014/chart" uri="{C3380CC4-5D6E-409C-BE32-E72D297353CC}">
              <c16:uniqueId val="{00000009-DA2F-471B-832D-C9EACAA3208F}"/>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LCIA_CH_20250508!$H$76</c:f>
              <c:strCache>
                <c:ptCount val="1"/>
                <c:pt idx="0">
                  <c:v>Minerals and metals depletion</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LCIA_CH_20250508!$D$77</c:f>
              <c:strCache>
                <c:ptCount val="1"/>
                <c:pt idx="0">
                  <c:v>Electricity supply by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LCIA_CH_20250508!$I$77</c:f>
              <c:strCache>
                <c:ptCount val="1"/>
                <c:pt idx="0">
                  <c:v>EF v3.1 | ozone depletion | ozone depletion potential (ODP)</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4D9DFC82-5279-461F-B911-6AE7763B80A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D3B-4CC3-A9CD-7C144AC93E3A}"/>
                </c:ext>
              </c:extLst>
            </c:dLbl>
            <c:dLbl>
              <c:idx val="1"/>
              <c:layout>
                <c:manualLayout>
                  <c:x val="-3.0775241122646395E-2"/>
                  <c:y val="-4.7558384821760315E-2"/>
                </c:manualLayout>
              </c:layout>
              <c:tx>
                <c:rich>
                  <a:bodyPr/>
                  <a:lstStyle/>
                  <a:p>
                    <a:fld id="{7611278E-6397-43B1-B132-7DA9B6460FFC}"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D3B-4CC3-A9CD-7C144AC93E3A}"/>
                </c:ext>
              </c:extLst>
            </c:dLbl>
            <c:dLbl>
              <c:idx val="2"/>
              <c:layout>
                <c:manualLayout>
                  <c:x val="-0.16187761523962768"/>
                  <c:y val="-5.6475581975840246E-2"/>
                </c:manualLayout>
              </c:layout>
              <c:tx>
                <c:rich>
                  <a:bodyPr/>
                  <a:lstStyle/>
                  <a:p>
                    <a:fld id="{F08B76A3-7001-4BB6-B706-2A7AF9A19FFA}"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D3B-4CC3-A9CD-7C144AC93E3A}"/>
                </c:ext>
              </c:extLst>
            </c:dLbl>
            <c:dLbl>
              <c:idx val="3"/>
              <c:tx>
                <c:rich>
                  <a:bodyPr/>
                  <a:lstStyle/>
                  <a:p>
                    <a:fld id="{7422D897-35D1-4080-99F0-E4328F8B5FF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D3B-4CC3-A9CD-7C144AC93E3A}"/>
                </c:ext>
              </c:extLst>
            </c:dLbl>
            <c:dLbl>
              <c:idx val="4"/>
              <c:tx>
                <c:rich>
                  <a:bodyPr/>
                  <a:lstStyle/>
                  <a:p>
                    <a:fld id="{5A552C70-3A80-46FB-96AF-1E013B08E4F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D3B-4CC3-A9CD-7C144AC93E3A}"/>
                </c:ext>
              </c:extLst>
            </c:dLbl>
            <c:dLbl>
              <c:idx val="5"/>
              <c:layout>
                <c:manualLayout>
                  <c:x val="-0.10762835698432502"/>
                  <c:y val="5.944798102720026E-2"/>
                </c:manualLayout>
              </c:layout>
              <c:tx>
                <c:rich>
                  <a:bodyPr/>
                  <a:lstStyle/>
                  <a:p>
                    <a:fld id="{42D4DC6D-6EFA-4577-83BA-C4D7520A6C81}"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D3B-4CC3-A9CD-7C144AC93E3A}"/>
                </c:ext>
              </c:extLst>
            </c:dLbl>
            <c:dLbl>
              <c:idx val="6"/>
              <c:tx>
                <c:rich>
                  <a:bodyPr/>
                  <a:lstStyle/>
                  <a:p>
                    <a:fld id="{05884E9E-B45A-440B-9232-94B607EB3558}"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D3B-4CC3-A9CD-7C144AC93E3A}"/>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LCIA_CH_20250508!$I$78:$I$84</c:f>
              <c:numCache>
                <c:formatCode>0.00E+00</c:formatCode>
                <c:ptCount val="7"/>
                <c:pt idx="0">
                  <c:v>2.7452174936906879E-9</c:v>
                </c:pt>
                <c:pt idx="1">
                  <c:v>2.9008299870649609E-9</c:v>
                </c:pt>
                <c:pt idx="2">
                  <c:v>2.616723206507969E-9</c:v>
                </c:pt>
                <c:pt idx="3">
                  <c:v>2.3531083226617112E-9</c:v>
                </c:pt>
                <c:pt idx="4">
                  <c:v>2.176281761954767E-9</c:v>
                </c:pt>
                <c:pt idx="5">
                  <c:v>2.6357305572584008E-9</c:v>
                </c:pt>
                <c:pt idx="6">
                  <c:v>2.1656011280289129E-9</c:v>
                </c:pt>
              </c:numCache>
            </c:numRef>
          </c:xVal>
          <c:yVal>
            <c:numRef>
              <c:f>LCIA_CH_20250508!$D$78:$D$84</c:f>
              <c:numCache>
                <c:formatCode>General</c:formatCode>
                <c:ptCount val="7"/>
                <c:pt idx="0">
                  <c:v>1.1120088744828184E-2</c:v>
                </c:pt>
                <c:pt idx="1">
                  <c:v>6.9468753428123212E-2</c:v>
                </c:pt>
                <c:pt idx="2">
                  <c:v>0.75595382828552049</c:v>
                </c:pt>
                <c:pt idx="3" formatCode="0.0">
                  <c:v>6.542331555793818</c:v>
                </c:pt>
                <c:pt idx="4">
                  <c:v>12.982732330318917</c:v>
                </c:pt>
                <c:pt idx="5">
                  <c:v>13.907133324867173</c:v>
                </c:pt>
                <c:pt idx="6">
                  <c:v>13.872488002748804</c:v>
                </c:pt>
              </c:numCache>
            </c:numRef>
          </c:yVal>
          <c:smooth val="0"/>
          <c:extLst>
            <c:ext xmlns:c15="http://schemas.microsoft.com/office/drawing/2012/chart" uri="{02D57815-91ED-43cb-92C2-25804820EDAC}">
              <c15:datalabelsRange>
                <c15:f>LCIA_CH_20250508!$C$78:$C$85</c15:f>
                <c15:dlblRangeCache>
                  <c:ptCount val="8"/>
                  <c:pt idx="0">
                    <c:v>AGS_1001</c:v>
                  </c:pt>
                  <c:pt idx="1">
                    <c:v>AGS_1101</c:v>
                  </c:pt>
                  <c:pt idx="2">
                    <c:v>AGS_1104</c:v>
                  </c:pt>
                  <c:pt idx="3">
                    <c:v>AGS_1111</c:v>
                  </c:pt>
                  <c:pt idx="4">
                    <c:v>AGS_1114</c:v>
                  </c:pt>
                  <c:pt idx="5">
                    <c:v>AGS_1116</c:v>
                  </c:pt>
                  <c:pt idx="6">
                    <c:v>AGS_1118</c:v>
                  </c:pt>
                  <c:pt idx="7">
                    <c:v>BAU_AGS</c:v>
                  </c:pt>
                </c15:dlblRangeCache>
              </c15:datalabelsRange>
            </c:ext>
            <c:ext xmlns:c16="http://schemas.microsoft.com/office/drawing/2014/chart" uri="{C3380CC4-5D6E-409C-BE32-E72D297353CC}">
              <c16:uniqueId val="{00000009-AD3B-4CC3-A9CD-7C144AC93E3A}"/>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LCIA_CH_20250508!$I$76</c:f>
              <c:strCache>
                <c:ptCount val="1"/>
                <c:pt idx="0">
                  <c:v>Ozone depletion</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LCIA_CH_20250508!$D$77</c:f>
              <c:strCache>
                <c:ptCount val="1"/>
                <c:pt idx="0">
                  <c:v>Electricity supply by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lineChart>
        <c:grouping val="standard"/>
        <c:varyColors val="0"/>
        <c:ser>
          <c:idx val="0"/>
          <c:order val="0"/>
          <c:tx>
            <c:strRef>
              <c:f>LCIA_CH_20250512!$E$41</c:f>
              <c:strCache>
                <c:ptCount val="1"/>
                <c:pt idx="0">
                  <c:v>('IPCC 2021', 'climate change', 'global warming potential (GWP100)')</c:v>
                </c:pt>
              </c:strCache>
            </c:strRef>
          </c:tx>
          <c:spPr>
            <a:ln w="28575" cap="rnd">
              <a:no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LCIA_CH_20250512!$C$42:$C$49</c15:sqref>
                  </c15:fullRef>
                </c:ext>
              </c:extLst>
              <c:f>LCIA_CH_20250512!$C$42:$C$48</c:f>
              <c:strCache>
                <c:ptCount val="7"/>
                <c:pt idx="0">
                  <c:v>BAU_0</c:v>
                </c:pt>
                <c:pt idx="1">
                  <c:v>BAU_2</c:v>
                </c:pt>
                <c:pt idx="2">
                  <c:v>BAU_4</c:v>
                </c:pt>
                <c:pt idx="3">
                  <c:v>BAU_6</c:v>
                </c:pt>
                <c:pt idx="4">
                  <c:v>BAU_10</c:v>
                </c:pt>
                <c:pt idx="5">
                  <c:v>BAU_14</c:v>
                </c:pt>
                <c:pt idx="6">
                  <c:v>BAU_17</c:v>
                </c:pt>
              </c:strCache>
            </c:strRef>
          </c:cat>
          <c:val>
            <c:numRef>
              <c:extLst>
                <c:ext xmlns:c15="http://schemas.microsoft.com/office/drawing/2012/chart" uri="{02D57815-91ED-43cb-92C2-25804820EDAC}">
                  <c15:fullRef>
                    <c15:sqref>LCIA_CH_20250512!$E$42:$E$49</c15:sqref>
                  </c15:fullRef>
                </c:ext>
              </c:extLst>
              <c:f>LCIA_CH_20250512!$E$42:$E$48</c:f>
              <c:numCache>
                <c:formatCode>General</c:formatCode>
                <c:ptCount val="7"/>
                <c:pt idx="0">
                  <c:v>3.3776148020040253E-2</c:v>
                </c:pt>
                <c:pt idx="1">
                  <c:v>3.338715079104039E-2</c:v>
                </c:pt>
                <c:pt idx="2">
                  <c:v>3.2619520563472823E-2</c:v>
                </c:pt>
                <c:pt idx="3">
                  <c:v>3.2274834657500133E-2</c:v>
                </c:pt>
                <c:pt idx="4">
                  <c:v>3.1579152855736918E-2</c:v>
                </c:pt>
                <c:pt idx="5">
                  <c:v>3.0436166750231652E-2</c:v>
                </c:pt>
                <c:pt idx="6">
                  <c:v>2.9702750844606829E-2</c:v>
                </c:pt>
              </c:numCache>
            </c:numRef>
          </c:val>
          <c:smooth val="0"/>
          <c:extLst>
            <c:ext xmlns:c16="http://schemas.microsoft.com/office/drawing/2014/chart" uri="{C3380CC4-5D6E-409C-BE32-E72D297353CC}">
              <c16:uniqueId val="{00000000-9AE9-4FA3-B06D-C402F79086C6}"/>
            </c:ext>
          </c:extLst>
        </c:ser>
        <c:dLbls>
          <c:showLegendKey val="0"/>
          <c:showVal val="0"/>
          <c:showCatName val="0"/>
          <c:showSerName val="0"/>
          <c:showPercent val="0"/>
          <c:showBubbleSize val="0"/>
        </c:dLbls>
        <c:marker val="1"/>
        <c:smooth val="0"/>
        <c:axId val="1626521103"/>
        <c:axId val="1626522543"/>
      </c:lineChart>
      <c:catAx>
        <c:axId val="162652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26522543"/>
        <c:crosses val="autoZero"/>
        <c:auto val="1"/>
        <c:lblAlgn val="ctr"/>
        <c:lblOffset val="100"/>
        <c:noMultiLvlLbl val="0"/>
      </c:catAx>
      <c:valAx>
        <c:axId val="1626522543"/>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LCIA_CH_20250512!$E$40</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265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253577113402"/>
          <c:y val="4.5638851325447795E-2"/>
          <c:w val="0.7872320304286301"/>
          <c:h val="0.69944117803903716"/>
        </c:manualLayout>
      </c:layout>
      <c:scatterChart>
        <c:scatterStyle val="lineMarker"/>
        <c:varyColors val="0"/>
        <c:ser>
          <c:idx val="0"/>
          <c:order val="0"/>
          <c:tx>
            <c:strRef>
              <c:f>LCIA_CH_20250512!$E$41</c:f>
              <c:strCache>
                <c:ptCount val="1"/>
                <c:pt idx="0">
                  <c:v>('IPCC 2021', 'climate change', 'global warming potential (GWP100)')</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LCIA_CH_20250512!$E$42:$E$48</c:f>
              <c:numCache>
                <c:formatCode>General</c:formatCode>
                <c:ptCount val="7"/>
                <c:pt idx="0">
                  <c:v>3.3776148020040253E-2</c:v>
                </c:pt>
                <c:pt idx="1">
                  <c:v>3.338715079104039E-2</c:v>
                </c:pt>
                <c:pt idx="2">
                  <c:v>3.2619520563472823E-2</c:v>
                </c:pt>
                <c:pt idx="3">
                  <c:v>3.2274834657500133E-2</c:v>
                </c:pt>
                <c:pt idx="4">
                  <c:v>3.1579152855736918E-2</c:v>
                </c:pt>
                <c:pt idx="5">
                  <c:v>3.0436166750231652E-2</c:v>
                </c:pt>
                <c:pt idx="6">
                  <c:v>2.9702750844606829E-2</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808C-4FFE-BEA1-71DEF7F49D0E}"/>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LCIA_CH_20250512!$E$40</c:f>
              <c:strCache>
                <c:ptCount val="1"/>
                <c:pt idx="0">
                  <c:v>Impacts on climate change 
[kg CO₂- 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majorUnit val="5.000000000000001E-3"/>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LCIA_CH_20250512!$H$41</c:f>
              <c:strCache>
                <c:ptCount val="1"/>
                <c:pt idx="0">
                  <c:v>('EF v3.1', 'material resources: metals/minerals',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LCIA_CH_20250512!$H$42:$H$48</c:f>
              <c:numCache>
                <c:formatCode>General</c:formatCode>
                <c:ptCount val="7"/>
                <c:pt idx="0">
                  <c:v>5.8961630847023054E-6</c:v>
                </c:pt>
                <c:pt idx="1">
                  <c:v>5.8634907955578784E-6</c:v>
                </c:pt>
                <c:pt idx="2">
                  <c:v>5.7741935460375827E-6</c:v>
                </c:pt>
                <c:pt idx="3">
                  <c:v>5.7402271026725729E-6</c:v>
                </c:pt>
                <c:pt idx="4">
                  <c:v>5.6610650279582172E-6</c:v>
                </c:pt>
                <c:pt idx="5">
                  <c:v>5.4813069182941299E-6</c:v>
                </c:pt>
                <c:pt idx="6">
                  <c:v>5.3281184821894548E-6</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A1C6-4C66-B0D9-39999133E921}"/>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LCIA_CH_20250512!$H$40</c:f>
              <c:strCache>
                <c:ptCount val="1"/>
                <c:pt idx="0">
                  <c:v>Minerals and metals depletion
[kg Sb-eq/kWh]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LCIA_CH_20250512!$I$41</c:f>
              <c:strCache>
                <c:ptCount val="1"/>
                <c:pt idx="0">
                  <c:v>('EF v3.1', 'ozone depletion', 'ozone depletion potential (ODP)')</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LCIA_CH_20250512!$I$42:$I$48</c:f>
              <c:numCache>
                <c:formatCode>General</c:formatCode>
                <c:ptCount val="7"/>
                <c:pt idx="0">
                  <c:v>2.636256788284794E-9</c:v>
                </c:pt>
                <c:pt idx="1">
                  <c:v>2.607048207138121E-9</c:v>
                </c:pt>
                <c:pt idx="2">
                  <c:v>2.3912582900426109E-9</c:v>
                </c:pt>
                <c:pt idx="3">
                  <c:v>2.353084384602636E-9</c:v>
                </c:pt>
                <c:pt idx="4">
                  <c:v>2.2931722680812572E-9</c:v>
                </c:pt>
                <c:pt idx="5">
                  <c:v>2.1492949184451471E-9</c:v>
                </c:pt>
                <c:pt idx="6">
                  <c:v>2.024880445402413E-9</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85CB-484C-BC82-8B53F984C8B4}"/>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LCIA_CH_20250512!$I$40</c:f>
              <c:strCache>
                <c:ptCount val="1"/>
                <c:pt idx="0">
                  <c:v>Ozone depletion
[kg CFC-11-eq/kWh]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253577113402"/>
          <c:y val="4.5638851325447795E-2"/>
          <c:w val="0.7872320304286301"/>
          <c:h val="0.69944117803903716"/>
        </c:manualLayout>
      </c:layout>
      <c:scatterChart>
        <c:scatterStyle val="lineMarker"/>
        <c:varyColors val="0"/>
        <c:ser>
          <c:idx val="0"/>
          <c:order val="0"/>
          <c:tx>
            <c:strRef>
              <c:f>LCIA_CH_20250512!$E$41</c:f>
              <c:strCache>
                <c:ptCount val="1"/>
                <c:pt idx="0">
                  <c:v>('IPCC 2021', 'climate change', 'global warming potential (GWP100)')</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927269546601634"/>
                  <c:y val="-1.3477736132988112E-2"/>
                </c:manualLayout>
              </c:layout>
              <c:tx>
                <c:rich>
                  <a:bodyPr/>
                  <a:lstStyle/>
                  <a:p>
                    <a:fld id="{4898DD87-97F7-4CA9-8852-378E1DECEE4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DBA-40E4-867A-8148312C1561}"/>
                </c:ext>
              </c:extLst>
            </c:dLbl>
            <c:dLbl>
              <c:idx val="1"/>
              <c:layout>
                <c:manualLayout>
                  <c:x val="-5.4850515544270298E-3"/>
                  <c:y val="-1.9137854689310448E-2"/>
                </c:manualLayout>
              </c:layout>
              <c:tx>
                <c:rich>
                  <a:bodyPr/>
                  <a:lstStyle/>
                  <a:p>
                    <a:fld id="{676CD8B6-4CB3-4330-A6AE-E605BD261E7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DBA-40E4-867A-8148312C1561}"/>
                </c:ext>
              </c:extLst>
            </c:dLbl>
            <c:dLbl>
              <c:idx val="2"/>
              <c:layout>
                <c:manualLayout>
                  <c:x val="-8.5193611032474359E-2"/>
                  <c:y val="-5.3769958169512855E-2"/>
                </c:manualLayout>
              </c:layout>
              <c:tx>
                <c:rich>
                  <a:bodyPr/>
                  <a:lstStyle/>
                  <a:p>
                    <a:fld id="{4B18DB2A-02F4-41C5-8DD6-40217A16C79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DBA-40E4-867A-8148312C1561}"/>
                </c:ext>
              </c:extLst>
            </c:dLbl>
            <c:dLbl>
              <c:idx val="3"/>
              <c:tx>
                <c:rich>
                  <a:bodyPr/>
                  <a:lstStyle/>
                  <a:p>
                    <a:fld id="{E4C5BD53-AA67-40D6-9889-66DDB84CB85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DBA-40E4-867A-8148312C1561}"/>
                </c:ext>
              </c:extLst>
            </c:dLbl>
            <c:dLbl>
              <c:idx val="4"/>
              <c:tx>
                <c:rich>
                  <a:bodyPr/>
                  <a:lstStyle/>
                  <a:p>
                    <a:fld id="{C6242723-F588-48FF-A6EF-65EBE1E5089D}"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DBA-40E4-867A-8148312C1561}"/>
                </c:ext>
              </c:extLst>
            </c:dLbl>
            <c:dLbl>
              <c:idx val="5"/>
              <c:layout>
                <c:manualLayout>
                  <c:x val="-6.2568522710643795E-2"/>
                  <c:y val="4.2449966975931175E-2"/>
                </c:manualLayout>
              </c:layout>
              <c:tx>
                <c:rich>
                  <a:bodyPr/>
                  <a:lstStyle/>
                  <a:p>
                    <a:fld id="{320CF36A-C432-46A0-A7E2-F683ACDD29A1}"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DBA-40E4-867A-8148312C1561}"/>
                </c:ext>
              </c:extLst>
            </c:dLbl>
            <c:dLbl>
              <c:idx val="6"/>
              <c:tx>
                <c:rich>
                  <a:bodyPr/>
                  <a:lstStyle/>
                  <a:p>
                    <a:fld id="{E2AC1D36-8684-4371-8927-9D8C9E8F79C8}"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DBA-40E4-867A-8148312C1561}"/>
                </c:ext>
              </c:extLst>
            </c:dLbl>
            <c:dLbl>
              <c:idx val="7"/>
              <c:layout>
                <c:manualLayout>
                  <c:x val="-2.8266319444444445E-2"/>
                  <c:y val="-2.8222222222222353E-2"/>
                </c:manualLayout>
              </c:layout>
              <c:tx>
                <c:rich>
                  <a:bodyPr/>
                  <a:lstStyle/>
                  <a:p>
                    <a:fld id="{DB5BAFFB-E29D-4626-9F4B-4074004A1C2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DBA-40E4-867A-8148312C1561}"/>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LCIA_CH_20250512!$E$42:$E$49</c:f>
              <c:numCache>
                <c:formatCode>General</c:formatCode>
                <c:ptCount val="8"/>
                <c:pt idx="0">
                  <c:v>3.3776148020040253E-2</c:v>
                </c:pt>
                <c:pt idx="1">
                  <c:v>3.338715079104039E-2</c:v>
                </c:pt>
                <c:pt idx="2">
                  <c:v>3.2619520563472823E-2</c:v>
                </c:pt>
                <c:pt idx="3">
                  <c:v>3.2274834657500133E-2</c:v>
                </c:pt>
                <c:pt idx="4">
                  <c:v>3.1579152855736918E-2</c:v>
                </c:pt>
                <c:pt idx="5">
                  <c:v>3.0436166750231652E-2</c:v>
                </c:pt>
                <c:pt idx="6">
                  <c:v>2.9702750844606829E-2</c:v>
                </c:pt>
                <c:pt idx="7">
                  <c:v>0.15570188024635151</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EDBA-40E4-867A-8148312C1561}"/>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LCIA_CH_20250512!$E$40</c:f>
              <c:strCache>
                <c:ptCount val="1"/>
                <c:pt idx="0">
                  <c:v>Impacts on climate change 
[kg CO₂- 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LCIA_CH_20250512!$H$41</c:f>
              <c:strCache>
                <c:ptCount val="1"/>
                <c:pt idx="0">
                  <c:v>('EF v3.1', 'material resources: metals/minerals',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7.9754610332218243E-3"/>
                  <c:y val="-1.7420814169294647E-2"/>
                </c:manualLayout>
              </c:layout>
              <c:tx>
                <c:rich>
                  <a:bodyPr/>
                  <a:lstStyle/>
                  <a:p>
                    <a:fld id="{38B622BE-503D-4347-9F35-B7746F1290B3}"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A12-45E6-8854-12DC0B9F308B}"/>
                </c:ext>
              </c:extLst>
            </c:dLbl>
            <c:dLbl>
              <c:idx val="1"/>
              <c:layout>
                <c:manualLayout>
                  <c:x val="-0.21114100852571041"/>
                  <c:y val="-1.1613876112863205E-2"/>
                </c:manualLayout>
              </c:layout>
              <c:tx>
                <c:rich>
                  <a:bodyPr/>
                  <a:lstStyle/>
                  <a:p>
                    <a:fld id="{33638DC7-386B-4309-BF8C-E6C1D31D4B5A}"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A12-45E6-8854-12DC0B9F308B}"/>
                </c:ext>
              </c:extLst>
            </c:dLbl>
            <c:dLbl>
              <c:idx val="2"/>
              <c:layout>
                <c:manualLayout>
                  <c:x val="-0.14752654962150416"/>
                  <c:y val="-6.0972849592531381E-2"/>
                </c:manualLayout>
              </c:layout>
              <c:tx>
                <c:rich>
                  <a:bodyPr/>
                  <a:lstStyle/>
                  <a:p>
                    <a:fld id="{C8E493A6-6CA1-4E19-8326-512B1CC81D4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A12-45E6-8854-12DC0B9F308B}"/>
                </c:ext>
              </c:extLst>
            </c:dLbl>
            <c:dLbl>
              <c:idx val="3"/>
              <c:tx>
                <c:rich>
                  <a:bodyPr/>
                  <a:lstStyle/>
                  <a:p>
                    <a:fld id="{6EDF44B7-1D9C-4287-9D8D-433B2B494A45}"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A12-45E6-8854-12DC0B9F308B}"/>
                </c:ext>
              </c:extLst>
            </c:dLbl>
            <c:dLbl>
              <c:idx val="4"/>
              <c:tx>
                <c:rich>
                  <a:bodyPr/>
                  <a:lstStyle/>
                  <a:p>
                    <a:fld id="{A73EA632-1BAB-47BC-A7E8-46B4A80C6273}"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A12-45E6-8854-12DC0B9F308B}"/>
                </c:ext>
              </c:extLst>
            </c:dLbl>
            <c:dLbl>
              <c:idx val="5"/>
              <c:layout>
                <c:manualLayout>
                  <c:x val="-0.19587192075339172"/>
                  <c:y val="-3.3392469316933987E-2"/>
                </c:manualLayout>
              </c:layout>
              <c:tx>
                <c:rich>
                  <a:bodyPr/>
                  <a:lstStyle/>
                  <a:p>
                    <a:fld id="{D5560189-7A47-42D4-90B5-2C8532048A82}"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A12-45E6-8854-12DC0B9F308B}"/>
                </c:ext>
              </c:extLst>
            </c:dLbl>
            <c:dLbl>
              <c:idx val="6"/>
              <c:layout>
                <c:manualLayout>
                  <c:x val="3.1414439220755458E-2"/>
                  <c:y val="-5.8069910492884319E-3"/>
                </c:manualLayout>
              </c:layout>
              <c:tx>
                <c:rich>
                  <a:bodyPr/>
                  <a:lstStyle/>
                  <a:p>
                    <a:fld id="{CC2713F7-C051-4A5F-A078-DF251D850422}"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A12-45E6-8854-12DC0B9F308B}"/>
                </c:ext>
              </c:extLst>
            </c:dLbl>
            <c:dLbl>
              <c:idx val="7"/>
              <c:tx>
                <c:rich>
                  <a:bodyPr/>
                  <a:lstStyle/>
                  <a:p>
                    <a:fld id="{F5B939F9-EFB6-422D-A8AD-BCCB2CE43AA6}"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A12-45E6-8854-12DC0B9F308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LCIA_CH_20250512!$H$42:$H$49</c:f>
              <c:numCache>
                <c:formatCode>General</c:formatCode>
                <c:ptCount val="8"/>
                <c:pt idx="0">
                  <c:v>5.8961630847023054E-6</c:v>
                </c:pt>
                <c:pt idx="1">
                  <c:v>5.8634907955578784E-6</c:v>
                </c:pt>
                <c:pt idx="2">
                  <c:v>5.7741935460375827E-6</c:v>
                </c:pt>
                <c:pt idx="3">
                  <c:v>5.7402271026725729E-6</c:v>
                </c:pt>
                <c:pt idx="4">
                  <c:v>5.6610650279582172E-6</c:v>
                </c:pt>
                <c:pt idx="5">
                  <c:v>5.4813069182941299E-6</c:v>
                </c:pt>
                <c:pt idx="6">
                  <c:v>5.3281184821894548E-6</c:v>
                </c:pt>
                <c:pt idx="7">
                  <c:v>4.2025364988466408E-6</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7A12-45E6-8854-12DC0B9F308B}"/>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LCIA_CH_20250512!$H$40</c:f>
              <c:strCache>
                <c:ptCount val="1"/>
                <c:pt idx="0">
                  <c:v>Minerals and metals depletion
[kg Sb-eq/kWh]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LCIA_CH_20250512!$I$41</c:f>
              <c:strCache>
                <c:ptCount val="1"/>
                <c:pt idx="0">
                  <c:v>('EF v3.1', 'ozone depletion', 'ozone depletion potential (ODP)')</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C4F249DD-C777-4AB2-899F-B4B0CA66B85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A0A-4048-A8C9-B7CC1EA5E8AC}"/>
                </c:ext>
              </c:extLst>
            </c:dLbl>
            <c:dLbl>
              <c:idx val="1"/>
              <c:layout>
                <c:manualLayout>
                  <c:x val="-3.0775241122646395E-2"/>
                  <c:y val="-4.7558384821760315E-2"/>
                </c:manualLayout>
              </c:layout>
              <c:tx>
                <c:rich>
                  <a:bodyPr/>
                  <a:lstStyle/>
                  <a:p>
                    <a:fld id="{400D0368-B928-48B2-B213-767FDFD4E040}"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A0A-4048-A8C9-B7CC1EA5E8AC}"/>
                </c:ext>
              </c:extLst>
            </c:dLbl>
            <c:dLbl>
              <c:idx val="2"/>
              <c:layout>
                <c:manualLayout>
                  <c:x val="-0.16187761523962768"/>
                  <c:y val="-5.6475581975840246E-2"/>
                </c:manualLayout>
              </c:layout>
              <c:tx>
                <c:rich>
                  <a:bodyPr/>
                  <a:lstStyle/>
                  <a:p>
                    <a:fld id="{6816B939-B545-42DB-9C12-1CD28644A61D}"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A0A-4048-A8C9-B7CC1EA5E8AC}"/>
                </c:ext>
              </c:extLst>
            </c:dLbl>
            <c:dLbl>
              <c:idx val="3"/>
              <c:tx>
                <c:rich>
                  <a:bodyPr/>
                  <a:lstStyle/>
                  <a:p>
                    <a:fld id="{F71DDBA2-811C-49BB-8E77-C6052F98BD9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A0A-4048-A8C9-B7CC1EA5E8AC}"/>
                </c:ext>
              </c:extLst>
            </c:dLbl>
            <c:dLbl>
              <c:idx val="4"/>
              <c:tx>
                <c:rich>
                  <a:bodyPr/>
                  <a:lstStyle/>
                  <a:p>
                    <a:fld id="{433788EA-1CA7-497C-AFEE-CABE54C68F3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A0A-4048-A8C9-B7CC1EA5E8AC}"/>
                </c:ext>
              </c:extLst>
            </c:dLbl>
            <c:dLbl>
              <c:idx val="5"/>
              <c:layout>
                <c:manualLayout>
                  <c:x val="-0.10762835698432502"/>
                  <c:y val="5.944798102720026E-2"/>
                </c:manualLayout>
              </c:layout>
              <c:tx>
                <c:rich>
                  <a:bodyPr/>
                  <a:lstStyle/>
                  <a:p>
                    <a:fld id="{9ACDE95E-926D-4B3F-9E60-B3E95E889E71}"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A0A-4048-A8C9-B7CC1EA5E8AC}"/>
                </c:ext>
              </c:extLst>
            </c:dLbl>
            <c:dLbl>
              <c:idx val="6"/>
              <c:tx>
                <c:rich>
                  <a:bodyPr/>
                  <a:lstStyle/>
                  <a:p>
                    <a:fld id="{8FD9F69E-CBC1-4FCD-B2DF-90872D502C14}"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0A-4048-A8C9-B7CC1EA5E8AC}"/>
                </c:ext>
              </c:extLst>
            </c:dLbl>
            <c:dLbl>
              <c:idx val="7"/>
              <c:tx>
                <c:rich>
                  <a:bodyPr/>
                  <a:lstStyle/>
                  <a:p>
                    <a:fld id="{B3496939-DFD1-41B5-AA12-D3957AF5EA6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0A-4048-A8C9-B7CC1EA5E8AC}"/>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LCIA_CH_20250512!$I$42:$I$49</c:f>
              <c:numCache>
                <c:formatCode>General</c:formatCode>
                <c:ptCount val="8"/>
                <c:pt idx="0">
                  <c:v>2.636256788284794E-9</c:v>
                </c:pt>
                <c:pt idx="1">
                  <c:v>2.607048207138121E-9</c:v>
                </c:pt>
                <c:pt idx="2">
                  <c:v>2.3912582900426109E-9</c:v>
                </c:pt>
                <c:pt idx="3">
                  <c:v>2.353084384602636E-9</c:v>
                </c:pt>
                <c:pt idx="4">
                  <c:v>2.2931722680812572E-9</c:v>
                </c:pt>
                <c:pt idx="5">
                  <c:v>2.1492949184451471E-9</c:v>
                </c:pt>
                <c:pt idx="6">
                  <c:v>2.024880445402413E-9</c:v>
                </c:pt>
                <c:pt idx="7">
                  <c:v>9.3368027440236799E-9</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2A0A-4048-A8C9-B7CC1EA5E8AC}"/>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LCIA_CH_20250512!$I$40</c:f>
              <c:strCache>
                <c:ptCount val="1"/>
                <c:pt idx="0">
                  <c:v>Ozone depletion
[kg CFC-11-eq/kWh]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LCIA_CH_20250512!$J$40</c:f>
              <c:strCache>
                <c:ptCount val="1"/>
                <c:pt idx="0">
                  <c:v>Particulate matter formation
[Disease incidence/kWh]</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LCIA_CH_20250512!$J$42:$J$48</c:f>
              <c:numCache>
                <c:formatCode>General</c:formatCode>
                <c:ptCount val="7"/>
                <c:pt idx="0">
                  <c:v>6.0691491244230312E-9</c:v>
                </c:pt>
                <c:pt idx="1">
                  <c:v>6.0264636482747182E-9</c:v>
                </c:pt>
                <c:pt idx="2">
                  <c:v>5.9739399312086404E-9</c:v>
                </c:pt>
                <c:pt idx="3">
                  <c:v>5.9371450147578132E-9</c:v>
                </c:pt>
                <c:pt idx="4">
                  <c:v>5.8076817614430157E-9</c:v>
                </c:pt>
                <c:pt idx="5">
                  <c:v>5.717544394429625E-9</c:v>
                </c:pt>
                <c:pt idx="6">
                  <c:v>5.6455966518458438E-9</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2468-4E71-A633-F58805E6A0A1}"/>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LCIA_CH_20250512!$J$40</c:f>
              <c:strCache>
                <c:ptCount val="1"/>
                <c:pt idx="0">
                  <c:v>Particulate matter formation
[Disease incidence/kWh]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LCIA_CH_20250512!$G$40</c:f>
              <c:strCache>
                <c:ptCount val="1"/>
                <c:pt idx="0">
                  <c:v>Ecotoxicity
[CTUe/kWh]</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LCIA_CH_20250512!$G$42:$G$48</c:f>
              <c:numCache>
                <c:formatCode>General</c:formatCode>
                <c:ptCount val="7"/>
                <c:pt idx="0">
                  <c:v>0.78154738832555803</c:v>
                </c:pt>
                <c:pt idx="1">
                  <c:v>0.78305807413921014</c:v>
                </c:pt>
                <c:pt idx="2">
                  <c:v>0.77958009599558142</c:v>
                </c:pt>
                <c:pt idx="3">
                  <c:v>0.77945702024678765</c:v>
                </c:pt>
                <c:pt idx="4">
                  <c:v>0.77971483207808201</c:v>
                </c:pt>
                <c:pt idx="5">
                  <c:v>0.76955512331709697</c:v>
                </c:pt>
                <c:pt idx="6">
                  <c:v>0.7612354783535753</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5531-40DC-B07A-08BDA0CD7E42}"/>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LCIA_CH_20250512!$G$40</c:f>
              <c:strCache>
                <c:ptCount val="1"/>
                <c:pt idx="0">
                  <c:v>Ecotoxicity
[CTUe/kWh]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LCIA_CH_20250512!$J$40</c:f>
              <c:strCache>
                <c:ptCount val="1"/>
                <c:pt idx="0">
                  <c:v>Particulate matter formation
[Disease incidence/kWh]</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E848F3A8-F2E7-4062-A553-1028603F1668}"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F32-49EC-A8D9-F96E610E4F7C}"/>
                </c:ext>
              </c:extLst>
            </c:dLbl>
            <c:dLbl>
              <c:idx val="1"/>
              <c:layout>
                <c:manualLayout>
                  <c:x val="-3.0775241122646395E-2"/>
                  <c:y val="-4.7558384821760315E-2"/>
                </c:manualLayout>
              </c:layout>
              <c:tx>
                <c:rich>
                  <a:bodyPr/>
                  <a:lstStyle/>
                  <a:p>
                    <a:fld id="{474B030D-0AB7-4CD3-A3B6-FB1418EFCA50}"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F32-49EC-A8D9-F96E610E4F7C}"/>
                </c:ext>
              </c:extLst>
            </c:dLbl>
            <c:dLbl>
              <c:idx val="2"/>
              <c:layout>
                <c:manualLayout>
                  <c:x val="-0.16187761523962768"/>
                  <c:y val="-5.6475581975840246E-2"/>
                </c:manualLayout>
              </c:layout>
              <c:tx>
                <c:rich>
                  <a:bodyPr/>
                  <a:lstStyle/>
                  <a:p>
                    <a:fld id="{338CF223-2720-4587-AACE-7B017ED9633A}"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F32-49EC-A8D9-F96E610E4F7C}"/>
                </c:ext>
              </c:extLst>
            </c:dLbl>
            <c:dLbl>
              <c:idx val="3"/>
              <c:tx>
                <c:rich>
                  <a:bodyPr/>
                  <a:lstStyle/>
                  <a:p>
                    <a:fld id="{BFC507AB-18F3-4368-B6FA-6ECCD800DC0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F32-49EC-A8D9-F96E610E4F7C}"/>
                </c:ext>
              </c:extLst>
            </c:dLbl>
            <c:dLbl>
              <c:idx val="4"/>
              <c:tx>
                <c:rich>
                  <a:bodyPr/>
                  <a:lstStyle/>
                  <a:p>
                    <a:fld id="{45859786-471E-4F6D-959A-C4CDABF43397}"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F32-49EC-A8D9-F96E610E4F7C}"/>
                </c:ext>
              </c:extLst>
            </c:dLbl>
            <c:dLbl>
              <c:idx val="5"/>
              <c:layout>
                <c:manualLayout>
                  <c:x val="-0.10762835698432502"/>
                  <c:y val="5.944798102720026E-2"/>
                </c:manualLayout>
              </c:layout>
              <c:tx>
                <c:rich>
                  <a:bodyPr/>
                  <a:lstStyle/>
                  <a:p>
                    <a:fld id="{C29D41E5-E407-4730-BEDC-E78262ADC4DB}"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F32-49EC-A8D9-F96E610E4F7C}"/>
                </c:ext>
              </c:extLst>
            </c:dLbl>
            <c:dLbl>
              <c:idx val="6"/>
              <c:tx>
                <c:rich>
                  <a:bodyPr/>
                  <a:lstStyle/>
                  <a:p>
                    <a:fld id="{253732A1-4680-4BA0-A93D-915F5772E8B0}"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F32-49EC-A8D9-F96E610E4F7C}"/>
                </c:ext>
              </c:extLst>
            </c:dLbl>
            <c:dLbl>
              <c:idx val="7"/>
              <c:tx>
                <c:rich>
                  <a:bodyPr/>
                  <a:lstStyle/>
                  <a:p>
                    <a:fld id="{945274F4-CE61-437E-BDE0-BC2518F27D5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F32-49EC-A8D9-F96E610E4F7C}"/>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LCIA_CH_20250512!$J$42:$J$49</c:f>
              <c:numCache>
                <c:formatCode>General</c:formatCode>
                <c:ptCount val="8"/>
                <c:pt idx="0">
                  <c:v>6.0691491244230312E-9</c:v>
                </c:pt>
                <c:pt idx="1">
                  <c:v>6.0264636482747182E-9</c:v>
                </c:pt>
                <c:pt idx="2">
                  <c:v>5.9739399312086404E-9</c:v>
                </c:pt>
                <c:pt idx="3">
                  <c:v>5.9371450147578132E-9</c:v>
                </c:pt>
                <c:pt idx="4">
                  <c:v>5.8076817614430157E-9</c:v>
                </c:pt>
                <c:pt idx="5">
                  <c:v>5.717544394429625E-9</c:v>
                </c:pt>
                <c:pt idx="6">
                  <c:v>5.6455966518458438E-9</c:v>
                </c:pt>
                <c:pt idx="7">
                  <c:v>2.3298461921806081E-9</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BF32-49EC-A8D9-F96E610E4F7C}"/>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LCIA_CH_20250512!$J$40</c:f>
              <c:strCache>
                <c:ptCount val="1"/>
                <c:pt idx="0">
                  <c:v>Particulate matter formation
[Disease incidence/kWh]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LCIA_CH_20250512!$G$40</c:f>
              <c:strCache>
                <c:ptCount val="1"/>
                <c:pt idx="0">
                  <c:v>Ecotoxicity
[CTUe/kWh]</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04916CDE-4B2A-46D4-B757-B5965B1FD648}"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C9B-4F4F-A4D7-67AD7F381BF0}"/>
                </c:ext>
              </c:extLst>
            </c:dLbl>
            <c:dLbl>
              <c:idx val="1"/>
              <c:layout>
                <c:manualLayout>
                  <c:x val="-3.0775241122646395E-2"/>
                  <c:y val="-4.7558384821760315E-2"/>
                </c:manualLayout>
              </c:layout>
              <c:tx>
                <c:rich>
                  <a:bodyPr/>
                  <a:lstStyle/>
                  <a:p>
                    <a:fld id="{2DECC25D-643C-4701-918B-F14B37D3B916}"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C9B-4F4F-A4D7-67AD7F381BF0}"/>
                </c:ext>
              </c:extLst>
            </c:dLbl>
            <c:dLbl>
              <c:idx val="2"/>
              <c:layout>
                <c:manualLayout>
                  <c:x val="-0.16187761523962768"/>
                  <c:y val="-5.6475581975840246E-2"/>
                </c:manualLayout>
              </c:layout>
              <c:tx>
                <c:rich>
                  <a:bodyPr/>
                  <a:lstStyle/>
                  <a:p>
                    <a:fld id="{E198EB57-37E9-4FC9-B22F-98E3856AB6D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C9B-4F4F-A4D7-67AD7F381BF0}"/>
                </c:ext>
              </c:extLst>
            </c:dLbl>
            <c:dLbl>
              <c:idx val="3"/>
              <c:tx>
                <c:rich>
                  <a:bodyPr/>
                  <a:lstStyle/>
                  <a:p>
                    <a:fld id="{4E11AC2C-056F-453F-816B-E643F52AF289}"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9B-4F4F-A4D7-67AD7F381BF0}"/>
                </c:ext>
              </c:extLst>
            </c:dLbl>
            <c:dLbl>
              <c:idx val="4"/>
              <c:tx>
                <c:rich>
                  <a:bodyPr/>
                  <a:lstStyle/>
                  <a:p>
                    <a:fld id="{B6747CF9-D6E4-4CA3-B9C5-990A342B6A55}"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C9B-4F4F-A4D7-67AD7F381BF0}"/>
                </c:ext>
              </c:extLst>
            </c:dLbl>
            <c:dLbl>
              <c:idx val="5"/>
              <c:layout>
                <c:manualLayout>
                  <c:x val="-0.10762835698432502"/>
                  <c:y val="5.944798102720026E-2"/>
                </c:manualLayout>
              </c:layout>
              <c:tx>
                <c:rich>
                  <a:bodyPr/>
                  <a:lstStyle/>
                  <a:p>
                    <a:fld id="{5F81DC4D-E7D5-4C5C-8D32-E1DF5841B55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C9B-4F4F-A4D7-67AD7F381BF0}"/>
                </c:ext>
              </c:extLst>
            </c:dLbl>
            <c:dLbl>
              <c:idx val="6"/>
              <c:tx>
                <c:rich>
                  <a:bodyPr/>
                  <a:lstStyle/>
                  <a:p>
                    <a:fld id="{2EAE8E9A-5123-4F97-9829-D42FA793B363}"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C9B-4F4F-A4D7-67AD7F381BF0}"/>
                </c:ext>
              </c:extLst>
            </c:dLbl>
            <c:dLbl>
              <c:idx val="7"/>
              <c:tx>
                <c:rich>
                  <a:bodyPr/>
                  <a:lstStyle/>
                  <a:p>
                    <a:fld id="{571FAA36-3415-4987-B174-7D028403C7B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C9B-4F4F-A4D7-67AD7F381BF0}"/>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LCIA_CH_20250512!$G$42:$G$49</c:f>
              <c:numCache>
                <c:formatCode>General</c:formatCode>
                <c:ptCount val="8"/>
                <c:pt idx="0">
                  <c:v>0.78154738832555803</c:v>
                </c:pt>
                <c:pt idx="1">
                  <c:v>0.78305807413921014</c:v>
                </c:pt>
                <c:pt idx="2">
                  <c:v>0.77958009599558142</c:v>
                </c:pt>
                <c:pt idx="3">
                  <c:v>0.77945702024678765</c:v>
                </c:pt>
                <c:pt idx="4">
                  <c:v>0.77971483207808201</c:v>
                </c:pt>
                <c:pt idx="5">
                  <c:v>0.76955512331709697</c:v>
                </c:pt>
                <c:pt idx="6">
                  <c:v>0.7612354783535753</c:v>
                </c:pt>
                <c:pt idx="7">
                  <c:v>0.59335130012187376</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1C9B-4F4F-A4D7-67AD7F381BF0}"/>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LCIA_CH_20250512!$G$40</c:f>
              <c:strCache>
                <c:ptCount val="1"/>
                <c:pt idx="0">
                  <c:v>Ecotoxicity
[CTUe/kWh]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1"/>
          <c:spPr>
            <a:ln w="25400" cap="rnd">
              <a:noFill/>
              <a:round/>
            </a:ln>
            <a:effectLst/>
          </c:spPr>
          <c:marker>
            <c:symbol val="circle"/>
            <c:size val="5"/>
            <c:spPr>
              <a:solidFill>
                <a:schemeClr val="accent2"/>
              </a:solidFill>
              <a:ln w="9525">
                <a:solidFill>
                  <a:schemeClr val="accent2"/>
                </a:solidFill>
              </a:ln>
              <a:effectLst/>
            </c:spPr>
          </c:marker>
          <c:xVal>
            <c:numRef>
              <c:f>LCA_Shortlist!$T$64:$T$73</c:f>
              <c:numCache>
                <c:formatCode>General</c:formatCode>
                <c:ptCount val="10"/>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numCache>
            </c:numRef>
          </c:xVal>
          <c:yVal>
            <c:numRef>
              <c:f>LCA_Shortlist!$Z$64:$Z$73</c:f>
              <c:numCache>
                <c:formatCode>0.0</c:formatCode>
                <c:ptCount val="10"/>
                <c:pt idx="0">
                  <c:v>0.70674296495132205</c:v>
                </c:pt>
                <c:pt idx="1">
                  <c:v>0.7676126065066502</c:v>
                </c:pt>
                <c:pt idx="2">
                  <c:v>0.98803107908374266</c:v>
                </c:pt>
                <c:pt idx="3">
                  <c:v>1.0493626546804555</c:v>
                </c:pt>
                <c:pt idx="4">
                  <c:v>0.97971021100914801</c:v>
                </c:pt>
                <c:pt idx="5">
                  <c:v>0.81188510991569152</c:v>
                </c:pt>
                <c:pt idx="6">
                  <c:v>0.83336325598349692</c:v>
                </c:pt>
                <c:pt idx="7">
                  <c:v>0.63206500450367376</c:v>
                </c:pt>
                <c:pt idx="8">
                  <c:v>0.51508197833719072</c:v>
                </c:pt>
                <c:pt idx="9">
                  <c:v>0.50579262085214816</c:v>
                </c:pt>
              </c:numCache>
            </c:numRef>
          </c:yVal>
          <c:smooth val="0"/>
          <c:extLst>
            <c:ext xmlns:c16="http://schemas.microsoft.com/office/drawing/2014/chart" uri="{C3380CC4-5D6E-409C-BE32-E72D297353CC}">
              <c16:uniqueId val="{00000000-6699-4172-B03A-AE05A45C5BE3}"/>
            </c:ext>
          </c:extLst>
        </c:ser>
        <c:dLbls>
          <c:showLegendKey val="0"/>
          <c:showVal val="0"/>
          <c:showCatName val="0"/>
          <c:showSerName val="0"/>
          <c:showPercent val="0"/>
          <c:showBubbleSize val="0"/>
        </c:dLbls>
        <c:axId val="177743520"/>
        <c:axId val="177716160"/>
      </c:scatterChar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LCA_Shortlist!$T$64:$T$73</c:f>
              <c:numCache>
                <c:formatCode>General</c:formatCode>
                <c:ptCount val="10"/>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numCache>
            </c:numRef>
          </c:xVal>
          <c:yVal>
            <c:numRef>
              <c:f>LCA_Shortlist!$X$64:$X$73</c:f>
              <c:numCache>
                <c:formatCode>_-* #,##0_-;\-* #,##0_-;_-* "-"??_-;_-@_-</c:formatCode>
                <c:ptCount val="10"/>
                <c:pt idx="0">
                  <c:v>35.312559180206115</c:v>
                </c:pt>
                <c:pt idx="1">
                  <c:v>34.89566116943972</c:v>
                </c:pt>
                <c:pt idx="2">
                  <c:v>34.682243646296165</c:v>
                </c:pt>
                <c:pt idx="3">
                  <c:v>33.621948595322472</c:v>
                </c:pt>
                <c:pt idx="4">
                  <c:v>33.185767123566443</c:v>
                </c:pt>
                <c:pt idx="5">
                  <c:v>32.888966989496204</c:v>
                </c:pt>
                <c:pt idx="6">
                  <c:v>32.150897317270811</c:v>
                </c:pt>
                <c:pt idx="7">
                  <c:v>29.132920374145293</c:v>
                </c:pt>
                <c:pt idx="8">
                  <c:v>27.266228816236616</c:v>
                </c:pt>
                <c:pt idx="9">
                  <c:v>26.579298123297065</c:v>
                </c:pt>
              </c:numCache>
            </c:numRef>
          </c:yVal>
          <c:smooth val="0"/>
          <c:extLst>
            <c:ext xmlns:c16="http://schemas.microsoft.com/office/drawing/2014/chart" uri="{C3380CC4-5D6E-409C-BE32-E72D297353CC}">
              <c16:uniqueId val="{00000001-6699-4172-B03A-AE05A45C5BE3}"/>
            </c:ext>
          </c:extLst>
        </c:ser>
        <c:dLbls>
          <c:showLegendKey val="0"/>
          <c:showVal val="0"/>
          <c:showCatName val="0"/>
          <c:showSerName val="0"/>
          <c:showPercent val="0"/>
          <c:showBubbleSize val="0"/>
        </c:dLbls>
        <c:axId val="1885754032"/>
        <c:axId val="1885760272"/>
      </c:scatterChart>
      <c:valAx>
        <c:axId val="177743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AGS in TWh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Battery</a:t>
                </a:r>
                <a:r>
                  <a:rPr lang="en-GB" baseline="0"/>
                  <a:t>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valAx>
        <c:axId val="1885760272"/>
        <c:scaling>
          <c:orientation val="minMax"/>
        </c:scaling>
        <c:delete val="0"/>
        <c:axPos val="r"/>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85754032"/>
        <c:crosses val="max"/>
        <c:crossBetween val="midCat"/>
      </c:valAx>
      <c:valAx>
        <c:axId val="1885754032"/>
        <c:scaling>
          <c:orientation val="minMax"/>
        </c:scaling>
        <c:delete val="1"/>
        <c:axPos val="b"/>
        <c:numFmt formatCode="General" sourceLinked="1"/>
        <c:majorTickMark val="out"/>
        <c:minorTickMark val="none"/>
        <c:tickLblPos val="nextTo"/>
        <c:crossAx val="1885760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1"/>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LCA_Shortlist!$T$64:$T$82</c:f>
              <c:numCache>
                <c:formatCode>General</c:formatCode>
                <c:ptCount val="19"/>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pt idx="10">
                  <c:v>1.0501599798888094E-3</c:v>
                </c:pt>
                <c:pt idx="11">
                  <c:v>2.699907844034501</c:v>
                </c:pt>
                <c:pt idx="12">
                  <c:v>5.2938921046654235</c:v>
                </c:pt>
                <c:pt idx="13">
                  <c:v>10.247476886590217</c:v>
                </c:pt>
                <c:pt idx="14">
                  <c:v>13.220349651041339</c:v>
                </c:pt>
                <c:pt idx="15">
                  <c:v>13.800655136251216</c:v>
                </c:pt>
                <c:pt idx="16">
                  <c:v>13.968706682459509</c:v>
                </c:pt>
                <c:pt idx="17">
                  <c:v>15.029372832994653</c:v>
                </c:pt>
                <c:pt idx="18">
                  <c:v>15.83187696451124</c:v>
                </c:pt>
              </c:numCache>
            </c:numRef>
          </c:xVal>
          <c:yVal>
            <c:numRef>
              <c:f>LCA_Shortlist!$Z$64:$Z$82</c:f>
              <c:numCache>
                <c:formatCode>0.0</c:formatCode>
                <c:ptCount val="19"/>
                <c:pt idx="0">
                  <c:v>0.70674296495132205</c:v>
                </c:pt>
                <c:pt idx="1">
                  <c:v>0.7676126065066502</c:v>
                </c:pt>
                <c:pt idx="2">
                  <c:v>0.98803107908374266</c:v>
                </c:pt>
                <c:pt idx="3">
                  <c:v>1.0493626546804555</c:v>
                </c:pt>
                <c:pt idx="4">
                  <c:v>0.97971021100914801</c:v>
                </c:pt>
                <c:pt idx="5">
                  <c:v>0.81188510991569152</c:v>
                </c:pt>
                <c:pt idx="6">
                  <c:v>0.83336325598349692</c:v>
                </c:pt>
                <c:pt idx="7">
                  <c:v>0.63206500450367376</c:v>
                </c:pt>
                <c:pt idx="8">
                  <c:v>0.51508197833719072</c:v>
                </c:pt>
                <c:pt idx="9">
                  <c:v>0.50579262085214816</c:v>
                </c:pt>
                <c:pt idx="10">
                  <c:v>0.70695174488253698</c:v>
                </c:pt>
                <c:pt idx="11">
                  <c:v>0.63575538931241549</c:v>
                </c:pt>
                <c:pt idx="12">
                  <c:v>0.59863709984280855</c:v>
                </c:pt>
                <c:pt idx="13">
                  <c:v>0.65654333490365469</c:v>
                </c:pt>
                <c:pt idx="14">
                  <c:v>0.37505895191374439</c:v>
                </c:pt>
                <c:pt idx="15">
                  <c:v>0.66800913868172662</c:v>
                </c:pt>
                <c:pt idx="16">
                  <c:v>0.752998134686092</c:v>
                </c:pt>
                <c:pt idx="17">
                  <c:v>0.62859295163665974</c:v>
                </c:pt>
                <c:pt idx="18">
                  <c:v>0.60857001448200043</c:v>
                </c:pt>
              </c:numCache>
            </c:numRef>
          </c:yVal>
          <c:smooth val="0"/>
          <c:extLst>
            <c:ext xmlns:c16="http://schemas.microsoft.com/office/drawing/2014/chart" uri="{C3380CC4-5D6E-409C-BE32-E72D297353CC}">
              <c16:uniqueId val="{00000001-8808-48D9-BF9B-5AAB0A01C000}"/>
            </c:ext>
          </c:extLst>
        </c:ser>
        <c:dLbls>
          <c:showLegendKey val="0"/>
          <c:showVal val="0"/>
          <c:showCatName val="0"/>
          <c:showSerName val="0"/>
          <c:showPercent val="0"/>
          <c:showBubbleSize val="0"/>
        </c:dLbls>
        <c:axId val="177743520"/>
        <c:axId val="177716160"/>
      </c:scatterChar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LCA_Shortlist!$T$64:$T$73</c:f>
              <c:numCache>
                <c:formatCode>General</c:formatCode>
                <c:ptCount val="10"/>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numCache>
            </c:numRef>
          </c:xVal>
          <c:yVal>
            <c:numRef>
              <c:f>LCA_Shortlist!$X$64:$X$73</c:f>
              <c:numCache>
                <c:formatCode>_-* #,##0_-;\-* #,##0_-;_-* "-"??_-;_-@_-</c:formatCode>
                <c:ptCount val="10"/>
                <c:pt idx="0">
                  <c:v>35.312559180206115</c:v>
                </c:pt>
                <c:pt idx="1">
                  <c:v>34.89566116943972</c:v>
                </c:pt>
                <c:pt idx="2">
                  <c:v>34.682243646296165</c:v>
                </c:pt>
                <c:pt idx="3">
                  <c:v>33.621948595322472</c:v>
                </c:pt>
                <c:pt idx="4">
                  <c:v>33.185767123566443</c:v>
                </c:pt>
                <c:pt idx="5">
                  <c:v>32.888966989496204</c:v>
                </c:pt>
                <c:pt idx="6">
                  <c:v>32.150897317270811</c:v>
                </c:pt>
                <c:pt idx="7">
                  <c:v>29.132920374145293</c:v>
                </c:pt>
                <c:pt idx="8">
                  <c:v>27.266228816236616</c:v>
                </c:pt>
                <c:pt idx="9">
                  <c:v>26.579298123297065</c:v>
                </c:pt>
              </c:numCache>
            </c:numRef>
          </c:yVal>
          <c:smooth val="0"/>
          <c:extLst>
            <c:ext xmlns:c16="http://schemas.microsoft.com/office/drawing/2014/chart" uri="{C3380CC4-5D6E-409C-BE32-E72D297353CC}">
              <c16:uniqueId val="{00000003-8808-48D9-BF9B-5AAB0A01C000}"/>
            </c:ext>
          </c:extLst>
        </c:ser>
        <c:dLbls>
          <c:showLegendKey val="0"/>
          <c:showVal val="0"/>
          <c:showCatName val="0"/>
          <c:showSerName val="0"/>
          <c:showPercent val="0"/>
          <c:showBubbleSize val="0"/>
        </c:dLbls>
        <c:axId val="1885755472"/>
        <c:axId val="1885768912"/>
      </c:scatterChart>
      <c:valAx>
        <c:axId val="177743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AGS in TWh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Battery</a:t>
                </a:r>
                <a:r>
                  <a:rPr lang="en-GB" baseline="0"/>
                  <a:t>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valAx>
        <c:axId val="1885768912"/>
        <c:scaling>
          <c:orientation val="minMax"/>
        </c:scaling>
        <c:delete val="0"/>
        <c:axPos val="r"/>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85755472"/>
        <c:crosses val="max"/>
        <c:crossBetween val="midCat"/>
      </c:valAx>
      <c:valAx>
        <c:axId val="1885755472"/>
        <c:scaling>
          <c:orientation val="minMax"/>
        </c:scaling>
        <c:delete val="1"/>
        <c:axPos val="b"/>
        <c:numFmt formatCode="General" sourceLinked="1"/>
        <c:majorTickMark val="out"/>
        <c:minorTickMark val="none"/>
        <c:tickLblPos val="nextTo"/>
        <c:crossAx val="1885768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5400" cap="rnd">
              <a:noFill/>
              <a:round/>
            </a:ln>
            <a:effectLst/>
          </c:spPr>
          <c:marker>
            <c:symbol val="circle"/>
            <c:size val="5"/>
            <c:spPr>
              <a:solidFill>
                <a:srgbClr val="00B050"/>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LCA_Shortlist!$S$64:$S$73</c:f>
              <c:numCache>
                <c:formatCode>_-* #,##0.00_-;\-* #,##0.00_-;_-* "-"??_-;_-@_-</c:formatCode>
                <c:ptCount val="10"/>
                <c:pt idx="0">
                  <c:v>22.5</c:v>
                </c:pt>
                <c:pt idx="1">
                  <c:v>20</c:v>
                </c:pt>
                <c:pt idx="2">
                  <c:v>18.75</c:v>
                </c:pt>
                <c:pt idx="3">
                  <c:v>17.5</c:v>
                </c:pt>
                <c:pt idx="4">
                  <c:v>17</c:v>
                </c:pt>
                <c:pt idx="5">
                  <c:v>16.499999999999996</c:v>
                </c:pt>
                <c:pt idx="6">
                  <c:v>16</c:v>
                </c:pt>
                <c:pt idx="7">
                  <c:v>15.5</c:v>
                </c:pt>
                <c:pt idx="8">
                  <c:v>15</c:v>
                </c:pt>
                <c:pt idx="9">
                  <c:v>14.500000000000002</c:v>
                </c:pt>
              </c:numCache>
            </c:numRef>
          </c:xVal>
          <c:yVal>
            <c:numRef>
              <c:f>LCA_Shortlist!$U$64:$U$73</c:f>
              <c:numCache>
                <c:formatCode>General</c:formatCode>
                <c:ptCount val="10"/>
                <c:pt idx="0">
                  <c:v>3.1008710530190599E-4</c:v>
                </c:pt>
                <c:pt idx="1">
                  <c:v>0.123935206587725</c:v>
                </c:pt>
                <c:pt idx="2">
                  <c:v>0.26244479518074099</c:v>
                </c:pt>
                <c:pt idx="3">
                  <c:v>0.44095795935303317</c:v>
                </c:pt>
                <c:pt idx="4">
                  <c:v>0.55722739065643268</c:v>
                </c:pt>
                <c:pt idx="5">
                  <c:v>0.78072223924780781</c:v>
                </c:pt>
                <c:pt idx="6">
                  <c:v>1.4223108750552069</c:v>
                </c:pt>
                <c:pt idx="7">
                  <c:v>1.9887633034797669</c:v>
                </c:pt>
                <c:pt idx="8">
                  <c:v>2.31555905748555</c:v>
                </c:pt>
                <c:pt idx="9">
                  <c:v>2.4774113610161255</c:v>
                </c:pt>
              </c:numCache>
            </c:numRef>
          </c:yVal>
          <c:smooth val="0"/>
          <c:extLst>
            <c:ext xmlns:c16="http://schemas.microsoft.com/office/drawing/2014/chart" uri="{C3380CC4-5D6E-409C-BE32-E72D297353CC}">
              <c16:uniqueId val="{00000001-20BB-4EB7-A2C6-E867292878E1}"/>
            </c:ext>
          </c:extLst>
        </c:ser>
        <c:dLbls>
          <c:showLegendKey val="0"/>
          <c:showVal val="0"/>
          <c:showCatName val="0"/>
          <c:showSerName val="0"/>
          <c:showPercent val="0"/>
          <c:showBubbleSize val="0"/>
        </c:dLbls>
        <c:axId val="177743520"/>
        <c:axId val="177716160"/>
      </c:scatterChart>
      <c:valAx>
        <c:axId val="177743520"/>
        <c:scaling>
          <c:orientation val="minMax"/>
          <c:min val="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CHF/kW</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_-* #,##0.00_-;\-* #,##0.0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AGS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5400" cap="rnd">
              <a:noFill/>
              <a:round/>
            </a:ln>
            <a:effectLst/>
          </c:spPr>
          <c:marker>
            <c:symbol val="circle"/>
            <c:size val="5"/>
            <c:spPr>
              <a:solidFill>
                <a:srgbClr val="00B050"/>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LCA_Shortlist!$S$64:$S$83</c:f>
              <c:numCache>
                <c:formatCode>_-* #,##0.00_-;\-* #,##0.00_-;_-* "-"??_-;_-@_-</c:formatCode>
                <c:ptCount val="20"/>
                <c:pt idx="0">
                  <c:v>22.5</c:v>
                </c:pt>
                <c:pt idx="1">
                  <c:v>20</c:v>
                </c:pt>
                <c:pt idx="2">
                  <c:v>18.75</c:v>
                </c:pt>
                <c:pt idx="3">
                  <c:v>17.5</c:v>
                </c:pt>
                <c:pt idx="4">
                  <c:v>17</c:v>
                </c:pt>
                <c:pt idx="5">
                  <c:v>16.499999999999996</c:v>
                </c:pt>
                <c:pt idx="6">
                  <c:v>16</c:v>
                </c:pt>
                <c:pt idx="7">
                  <c:v>15.5</c:v>
                </c:pt>
                <c:pt idx="8">
                  <c:v>15</c:v>
                </c:pt>
                <c:pt idx="9">
                  <c:v>14.500000000000002</c:v>
                </c:pt>
                <c:pt idx="10">
                  <c:v>14.000000000000002</c:v>
                </c:pt>
                <c:pt idx="11">
                  <c:v>13.5</c:v>
                </c:pt>
                <c:pt idx="12">
                  <c:v>13</c:v>
                </c:pt>
                <c:pt idx="13">
                  <c:v>12.5</c:v>
                </c:pt>
                <c:pt idx="14">
                  <c:v>12</c:v>
                </c:pt>
                <c:pt idx="15">
                  <c:v>10.500000000000002</c:v>
                </c:pt>
                <c:pt idx="16">
                  <c:v>10</c:v>
                </c:pt>
                <c:pt idx="17">
                  <c:v>22.5</c:v>
                </c:pt>
                <c:pt idx="18">
                  <c:v>14.500000000000002</c:v>
                </c:pt>
              </c:numCache>
            </c:numRef>
          </c:xVal>
          <c:yVal>
            <c:numRef>
              <c:f>LCA_Shortlist!$U$64:$U$83</c:f>
              <c:numCache>
                <c:formatCode>General</c:formatCode>
                <c:ptCount val="20"/>
                <c:pt idx="0">
                  <c:v>3.1008710530190599E-4</c:v>
                </c:pt>
                <c:pt idx="1">
                  <c:v>0.123935206587725</c:v>
                </c:pt>
                <c:pt idx="2">
                  <c:v>0.26244479518074099</c:v>
                </c:pt>
                <c:pt idx="3">
                  <c:v>0.44095795935303317</c:v>
                </c:pt>
                <c:pt idx="4">
                  <c:v>0.55722739065643268</c:v>
                </c:pt>
                <c:pt idx="5">
                  <c:v>0.78072223924780781</c:v>
                </c:pt>
                <c:pt idx="6">
                  <c:v>1.4223108750552069</c:v>
                </c:pt>
                <c:pt idx="7">
                  <c:v>1.9887633034797669</c:v>
                </c:pt>
                <c:pt idx="8">
                  <c:v>2.31555905748555</c:v>
                </c:pt>
                <c:pt idx="9">
                  <c:v>2.4774113610161255</c:v>
                </c:pt>
                <c:pt idx="10">
                  <c:v>1.5437178043172574E-4</c:v>
                </c:pt>
                <c:pt idx="11">
                  <c:v>0.38526082133577699</c:v>
                </c:pt>
                <c:pt idx="12">
                  <c:v>0.7554071980618231</c:v>
                </c:pt>
                <c:pt idx="13">
                  <c:v>1.4622541695240461</c:v>
                </c:pt>
                <c:pt idx="14">
                  <c:v>1.8864654188815599</c:v>
                </c:pt>
                <c:pt idx="15">
                  <c:v>1.9692715613298799</c:v>
                </c:pt>
                <c:pt idx="16">
                  <c:v>1.9932526035809699</c:v>
                </c:pt>
                <c:pt idx="17">
                  <c:v>2.1446023080633427</c:v>
                </c:pt>
                <c:pt idx="18">
                  <c:v>2.2591148345708798</c:v>
                </c:pt>
              </c:numCache>
            </c:numRef>
          </c:yVal>
          <c:smooth val="0"/>
          <c:extLst>
            <c:ext xmlns:c16="http://schemas.microsoft.com/office/drawing/2014/chart" uri="{C3380CC4-5D6E-409C-BE32-E72D297353CC}">
              <c16:uniqueId val="{00000001-917E-49D5-8C7C-A42679E88336}"/>
            </c:ext>
          </c:extLst>
        </c:ser>
        <c:dLbls>
          <c:showLegendKey val="0"/>
          <c:showVal val="0"/>
          <c:showCatName val="0"/>
          <c:showSerName val="0"/>
          <c:showPercent val="0"/>
          <c:showBubbleSize val="0"/>
        </c:dLbls>
        <c:axId val="177743520"/>
        <c:axId val="177716160"/>
      </c:scatterChart>
      <c:valAx>
        <c:axId val="177743520"/>
        <c:scaling>
          <c:orientation val="minMax"/>
          <c:min val="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CHF/kW</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_-* #,##0.00_-;\-* #,##0.0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AGS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stacked"/>
        <c:varyColors val="0"/>
        <c:ser>
          <c:idx val="0"/>
          <c:order val="0"/>
          <c:tx>
            <c:strRef>
              <c:f>LCIA_ADP!$B$8:$C$8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LCIA_ADP!$Y$8:$AW$8</c:f>
              <c:numCache>
                <c:formatCode>General</c:formatCode>
                <c:ptCount val="25"/>
                <c:pt idx="0">
                  <c:v>6.0001446766251439E-5</c:v>
                </c:pt>
                <c:pt idx="1">
                  <c:v>0</c:v>
                </c:pt>
                <c:pt idx="2">
                  <c:v>0</c:v>
                </c:pt>
                <c:pt idx="3">
                  <c:v>0</c:v>
                </c:pt>
                <c:pt idx="4">
                  <c:v>9.638076110356202E-6</c:v>
                </c:pt>
                <c:pt idx="5">
                  <c:v>0</c:v>
                </c:pt>
                <c:pt idx="6">
                  <c:v>0</c:v>
                </c:pt>
                <c:pt idx="7">
                  <c:v>0</c:v>
                </c:pt>
                <c:pt idx="8">
                  <c:v>9.638076110356202E-6</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00-745C-4479-8C9C-FED77590B062}"/>
            </c:ext>
          </c:extLst>
        </c:ser>
        <c:ser>
          <c:idx val="1"/>
          <c:order val="1"/>
          <c:tx>
            <c:strRef>
              <c:f>LCIA_ADP!$B$9:$C$9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LCIA_ADP!$Y$9:$AW$9</c:f>
              <c:numCache>
                <c:formatCode>General</c:formatCode>
                <c:ptCount val="25"/>
                <c:pt idx="0">
                  <c:v>2.7000651044813145E-4</c:v>
                </c:pt>
                <c:pt idx="1">
                  <c:v>0</c:v>
                </c:pt>
                <c:pt idx="2">
                  <c:v>0</c:v>
                </c:pt>
                <c:pt idx="3">
                  <c:v>0</c:v>
                </c:pt>
                <c:pt idx="4">
                  <c:v>4.3371342496602912E-5</c:v>
                </c:pt>
                <c:pt idx="5">
                  <c:v>0</c:v>
                </c:pt>
                <c:pt idx="6">
                  <c:v>0</c:v>
                </c:pt>
                <c:pt idx="7">
                  <c:v>0</c:v>
                </c:pt>
                <c:pt idx="8">
                  <c:v>4.3371342496602912E-5</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01-745C-4479-8C9C-FED77590B062}"/>
            </c:ext>
          </c:extLst>
        </c:ser>
        <c:ser>
          <c:idx val="2"/>
          <c:order val="2"/>
          <c:tx>
            <c:strRef>
              <c:f>LCIA_ADP!$B$10:$C$10</c:f>
              <c:strCache>
                <c:ptCount val="2"/>
                <c:pt idx="0">
                  <c:v>Well construction</c:v>
                </c:pt>
                <c:pt idx="1">
                  <c:v>Casing, steel</c:v>
                </c:pt>
              </c:strCache>
            </c:strRef>
          </c:tx>
          <c:spPr>
            <a:solidFill>
              <a:schemeClr val="bg2">
                <a:lumMod val="5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LCIA_ADP!$Y$10:$AW$10</c:f>
              <c:numCache>
                <c:formatCode>General</c:formatCode>
                <c:ptCount val="25"/>
                <c:pt idx="0">
                  <c:v>4.5968549804395326E-3</c:v>
                </c:pt>
                <c:pt idx="1">
                  <c:v>3.7019200907294067E-3</c:v>
                </c:pt>
                <c:pt idx="2">
                  <c:v>3.3608562416467787E-3</c:v>
                </c:pt>
                <c:pt idx="3">
                  <c:v>3.0044617602192764E-3</c:v>
                </c:pt>
                <c:pt idx="4">
                  <c:v>3.7019200907294067E-3</c:v>
                </c:pt>
                <c:pt idx="5">
                  <c:v>3.5514121707996772E-3</c:v>
                </c:pt>
                <c:pt idx="6">
                  <c:v>2.7829575390840747E-3</c:v>
                </c:pt>
                <c:pt idx="7">
                  <c:v>2.4300539716541818E-3</c:v>
                </c:pt>
                <c:pt idx="8">
                  <c:v>3.5514121707996772E-3</c:v>
                </c:pt>
                <c:pt idx="9">
                  <c:v>3.0206314501650057E-3</c:v>
                </c:pt>
                <c:pt idx="10">
                  <c:v>5.5265164202814377E-3</c:v>
                </c:pt>
                <c:pt idx="11">
                  <c:v>2.897822490139864E-3</c:v>
                </c:pt>
                <c:pt idx="12">
                  <c:v>5.3018264025371147E-3</c:v>
                </c:pt>
                <c:pt idx="13">
                  <c:v>7.1028243415993545E-3</c:v>
                </c:pt>
                <c:pt idx="14">
                  <c:v>2.1308473024798063E-3</c:v>
                </c:pt>
                <c:pt idx="15">
                  <c:v>5.795644980279728E-3</c:v>
                </c:pt>
                <c:pt idx="16">
                  <c:v>1.7386934940839184E-3</c:v>
                </c:pt>
                <c:pt idx="17">
                  <c:v>1.0603652805074229E-2</c:v>
                </c:pt>
                <c:pt idx="18">
                  <c:v>3.1810958415222691E-3</c:v>
                </c:pt>
                <c:pt idx="19">
                  <c:v>3.7019200907294067E-3</c:v>
                </c:pt>
                <c:pt idx="20">
                  <c:v>3.3608562416467787E-3</c:v>
                </c:pt>
                <c:pt idx="21">
                  <c:v>3.0044617602192764E-3</c:v>
                </c:pt>
                <c:pt idx="22">
                  <c:v>3.5514121707996772E-3</c:v>
                </c:pt>
                <c:pt idx="23">
                  <c:v>2.7829575390840747E-3</c:v>
                </c:pt>
                <c:pt idx="24">
                  <c:v>2.4300539716541818E-3</c:v>
                </c:pt>
              </c:numCache>
            </c:numRef>
          </c:val>
          <c:extLst>
            <c:ext xmlns:c16="http://schemas.microsoft.com/office/drawing/2014/chart" uri="{C3380CC4-5D6E-409C-BE32-E72D297353CC}">
              <c16:uniqueId val="{00000002-745C-4479-8C9C-FED77590B062}"/>
            </c:ext>
          </c:extLst>
        </c:ser>
        <c:ser>
          <c:idx val="3"/>
          <c:order val="3"/>
          <c:tx>
            <c:strRef>
              <c:f>LCIA_ADP!$B$11:$C$11</c:f>
              <c:strCache>
                <c:ptCount val="2"/>
                <c:pt idx="0">
                  <c:v>Well construction</c:v>
                </c:pt>
                <c:pt idx="1">
                  <c:v>Casing, cement</c:v>
                </c:pt>
              </c:strCache>
            </c:strRef>
          </c:tx>
          <c:spPr>
            <a:solidFill>
              <a:schemeClr val="bg2">
                <a:lumMod val="9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LCIA_ADP!$Y$11:$AW$11</c:f>
              <c:numCache>
                <c:formatCode>General</c:formatCode>
                <c:ptCount val="25"/>
                <c:pt idx="0">
                  <c:v>8.3489315473123853E-4</c:v>
                </c:pt>
                <c:pt idx="1">
                  <c:v>8.3074801928430372E-4</c:v>
                </c:pt>
                <c:pt idx="2">
                  <c:v>8.1522138792019595E-4</c:v>
                </c:pt>
                <c:pt idx="3">
                  <c:v>8.0642084340208989E-4</c:v>
                </c:pt>
                <c:pt idx="4">
                  <c:v>8.3074801928430372E-4</c:v>
                </c:pt>
                <c:pt idx="5">
                  <c:v>8.2749084743150817E-4</c:v>
                </c:pt>
                <c:pt idx="6">
                  <c:v>6.7490571030803142E-4</c:v>
                </c:pt>
                <c:pt idx="7">
                  <c:v>4.9444440000928386E-4</c:v>
                </c:pt>
                <c:pt idx="8">
                  <c:v>8.2749084743150817E-4</c:v>
                </c:pt>
                <c:pt idx="9">
                  <c:v>6.116359326887006E-4</c:v>
                </c:pt>
                <c:pt idx="10">
                  <c:v>2.2707411132981115E-3</c:v>
                </c:pt>
                <c:pt idx="11">
                  <c:v>6.092378489161649E-4</c:v>
                </c:pt>
                <c:pt idx="12">
                  <c:v>2.2618380598239769E-3</c:v>
                </c:pt>
                <c:pt idx="13">
                  <c:v>1.6549816948630163E-3</c:v>
                </c:pt>
                <c:pt idx="14">
                  <c:v>4.9649450845890496E-4</c:v>
                </c:pt>
                <c:pt idx="15">
                  <c:v>1.2184756978323298E-3</c:v>
                </c:pt>
                <c:pt idx="16">
                  <c:v>3.6554270934969894E-4</c:v>
                </c:pt>
                <c:pt idx="17">
                  <c:v>4.5236761196479538E-3</c:v>
                </c:pt>
                <c:pt idx="18">
                  <c:v>1.357102835894386E-3</c:v>
                </c:pt>
                <c:pt idx="19">
                  <c:v>8.3074801928430372E-4</c:v>
                </c:pt>
                <c:pt idx="20">
                  <c:v>8.1522138792019595E-4</c:v>
                </c:pt>
                <c:pt idx="21">
                  <c:v>8.0642084340208989E-4</c:v>
                </c:pt>
                <c:pt idx="22">
                  <c:v>8.2749084743150817E-4</c:v>
                </c:pt>
                <c:pt idx="23">
                  <c:v>6.7490571030803142E-4</c:v>
                </c:pt>
                <c:pt idx="24">
                  <c:v>4.9444440000928386E-4</c:v>
                </c:pt>
              </c:numCache>
            </c:numRef>
          </c:val>
          <c:extLst>
            <c:ext xmlns:c16="http://schemas.microsoft.com/office/drawing/2014/chart" uri="{C3380CC4-5D6E-409C-BE32-E72D297353CC}">
              <c16:uniqueId val="{00000003-745C-4479-8C9C-FED77590B062}"/>
            </c:ext>
          </c:extLst>
        </c:ser>
        <c:ser>
          <c:idx val="4"/>
          <c:order val="4"/>
          <c:tx>
            <c:strRef>
              <c:f>LCIA_ADP!$B$12:$C$12</c:f>
              <c:strCache>
                <c:ptCount val="2"/>
                <c:pt idx="0">
                  <c:v>Well construction</c:v>
                </c:pt>
                <c:pt idx="1">
                  <c:v>Casing, water</c:v>
                </c:pt>
              </c:strCache>
            </c:strRef>
          </c:tx>
          <c:spPr>
            <a:solidFill>
              <a:schemeClr val="accent5"/>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LCIA_ADP!$Y$12:$AW$12</c:f>
              <c:numCache>
                <c:formatCode>General</c:formatCode>
                <c:ptCount val="25"/>
                <c:pt idx="0">
                  <c:v>2.8467298750352827E-8</c:v>
                </c:pt>
                <c:pt idx="1">
                  <c:v>6.284953534118252E-8</c:v>
                </c:pt>
                <c:pt idx="2">
                  <c:v>5.0355117542444152E-8</c:v>
                </c:pt>
                <c:pt idx="3">
                  <c:v>3.755439463615448E-8</c:v>
                </c:pt>
                <c:pt idx="4">
                  <c:v>6.284953534118252E-8</c:v>
                </c:pt>
                <c:pt idx="5">
                  <c:v>5.877518999455008E-8</c:v>
                </c:pt>
                <c:pt idx="6">
                  <c:v>2.6232963259533733E-8</c:v>
                </c:pt>
                <c:pt idx="7">
                  <c:v>1.6982453783291873E-8</c:v>
                </c:pt>
                <c:pt idx="8">
                  <c:v>5.877518999455008E-8</c:v>
                </c:pt>
                <c:pt idx="9">
                  <c:v>4.627279665448123E-8</c:v>
                </c:pt>
                <c:pt idx="10">
                  <c:v>1.7179098900994794E-7</c:v>
                </c:pt>
                <c:pt idx="11">
                  <c:v>4.3273071156092091E-8</c:v>
                </c:pt>
                <c:pt idx="12">
                  <c:v>1.6065429861332973E-7</c:v>
                </c:pt>
                <c:pt idx="13">
                  <c:v>1.1755037998910016E-7</c:v>
                </c:pt>
                <c:pt idx="14">
                  <c:v>3.5265113996730051E-8</c:v>
                </c:pt>
                <c:pt idx="15">
                  <c:v>8.6546142312184182E-8</c:v>
                </c:pt>
                <c:pt idx="16">
                  <c:v>2.5963842693655255E-8</c:v>
                </c:pt>
                <c:pt idx="17">
                  <c:v>3.2130859722665945E-7</c:v>
                </c:pt>
                <c:pt idx="18">
                  <c:v>9.6392579167997844E-8</c:v>
                </c:pt>
                <c:pt idx="19">
                  <c:v>6.284953534118252E-8</c:v>
                </c:pt>
                <c:pt idx="20">
                  <c:v>5.0355117542444152E-8</c:v>
                </c:pt>
                <c:pt idx="21">
                  <c:v>3.755439463615448E-8</c:v>
                </c:pt>
                <c:pt idx="22">
                  <c:v>5.877518999455008E-8</c:v>
                </c:pt>
                <c:pt idx="23">
                  <c:v>2.6232963259533733E-8</c:v>
                </c:pt>
                <c:pt idx="24">
                  <c:v>1.6982453783291873E-8</c:v>
                </c:pt>
              </c:numCache>
            </c:numRef>
          </c:val>
          <c:extLst>
            <c:ext xmlns:c16="http://schemas.microsoft.com/office/drawing/2014/chart" uri="{C3380CC4-5D6E-409C-BE32-E72D297353CC}">
              <c16:uniqueId val="{00000004-745C-4479-8C9C-FED77590B062}"/>
            </c:ext>
          </c:extLst>
        </c:ser>
        <c:ser>
          <c:idx val="5"/>
          <c:order val="5"/>
          <c:tx>
            <c:strRef>
              <c:f>LCIA_ADP!$B$13:$C$13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LCIA_ADP!$Y$13:$AW$13</c:f>
              <c:numCache>
                <c:formatCode>General</c:formatCode>
                <c:ptCount val="25"/>
                <c:pt idx="0">
                  <c:v>2.0111419030359673E-3</c:v>
                </c:pt>
                <c:pt idx="1">
                  <c:v>1.8608747326563154E-3</c:v>
                </c:pt>
                <c:pt idx="2">
                  <c:v>1.7474134058461778E-3</c:v>
                </c:pt>
                <c:pt idx="3">
                  <c:v>1.6836276757646669E-3</c:v>
                </c:pt>
                <c:pt idx="4">
                  <c:v>1.8608747326563154E-3</c:v>
                </c:pt>
                <c:pt idx="5">
                  <c:v>1.6831849078602771E-3</c:v>
                </c:pt>
                <c:pt idx="6">
                  <c:v>1.3111298808283387E-3</c:v>
                </c:pt>
                <c:pt idx="7">
                  <c:v>1.0917237401074152E-3</c:v>
                </c:pt>
                <c:pt idx="8">
                  <c:v>1.6831849078602771E-3</c:v>
                </c:pt>
                <c:pt idx="9">
                  <c:v>1.8608747326563154E-3</c:v>
                </c:pt>
                <c:pt idx="10">
                  <c:v>1.8608747326563154E-3</c:v>
                </c:pt>
                <c:pt idx="11">
                  <c:v>1.6831849078602771E-3</c:v>
                </c:pt>
                <c:pt idx="12">
                  <c:v>1.6831849078602771E-3</c:v>
                </c:pt>
                <c:pt idx="13">
                  <c:v>3.3663698157205542E-3</c:v>
                </c:pt>
                <c:pt idx="14">
                  <c:v>1.0099109447161663E-3</c:v>
                </c:pt>
                <c:pt idx="15">
                  <c:v>3.3663698157205542E-3</c:v>
                </c:pt>
                <c:pt idx="16">
                  <c:v>1.0099109447161663E-3</c:v>
                </c:pt>
                <c:pt idx="17">
                  <c:v>3.3663698157205542E-3</c:v>
                </c:pt>
                <c:pt idx="18">
                  <c:v>1.0099109447161663E-3</c:v>
                </c:pt>
                <c:pt idx="19">
                  <c:v>1.8608747326563154E-3</c:v>
                </c:pt>
                <c:pt idx="20">
                  <c:v>1.7474134058461778E-3</c:v>
                </c:pt>
                <c:pt idx="21">
                  <c:v>1.6836276757646669E-3</c:v>
                </c:pt>
                <c:pt idx="22">
                  <c:v>1.6831849078602771E-3</c:v>
                </c:pt>
                <c:pt idx="23">
                  <c:v>1.3111298808283387E-3</c:v>
                </c:pt>
                <c:pt idx="24">
                  <c:v>1.0917237401074152E-3</c:v>
                </c:pt>
              </c:numCache>
            </c:numRef>
          </c:val>
          <c:extLst>
            <c:ext xmlns:c16="http://schemas.microsoft.com/office/drawing/2014/chart" uri="{C3380CC4-5D6E-409C-BE32-E72D297353CC}">
              <c16:uniqueId val="{00000005-745C-4479-8C9C-FED77590B062}"/>
            </c:ext>
          </c:extLst>
        </c:ser>
        <c:ser>
          <c:idx val="6"/>
          <c:order val="6"/>
          <c:tx>
            <c:strRef>
              <c:f>LCIA_ADP!$B$14:$C$14</c:f>
              <c:strCache>
                <c:ptCount val="2"/>
                <c:pt idx="0">
                  <c:v>CO₂</c:v>
                </c:pt>
                <c:pt idx="1">
                  <c:v>Capture</c:v>
                </c:pt>
              </c:strCache>
            </c:strRef>
          </c:tx>
          <c:spPr>
            <a:solidFill>
              <a:schemeClr val="accent6">
                <a:lumMod val="40000"/>
                <a:lumOff val="6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LCIA_ADP!$Y$14:$AW$14</c:f>
              <c:numCache>
                <c:formatCode>General</c:formatCode>
                <c:ptCount val="25"/>
                <c:pt idx="0">
                  <c:v>2.0970719196028805E-5</c:v>
                </c:pt>
                <c:pt idx="1">
                  <c:v>1.8119916630160139E-5</c:v>
                </c:pt>
                <c:pt idx="2">
                  <c:v>1.7001980865258589E-5</c:v>
                </c:pt>
                <c:pt idx="3">
                  <c:v>1.6135770671466551E-5</c:v>
                </c:pt>
                <c:pt idx="4">
                  <c:v>1.8119916630160139E-5</c:v>
                </c:pt>
                <c:pt idx="5">
                  <c:v>1.6414737433995601E-5</c:v>
                </c:pt>
                <c:pt idx="6">
                  <c:v>1.4934514946283059E-5</c:v>
                </c:pt>
                <c:pt idx="7">
                  <c:v>1.4463588684075808E-5</c:v>
                </c:pt>
                <c:pt idx="8">
                  <c:v>1.6414737433995601E-5</c:v>
                </c:pt>
                <c:pt idx="9">
                  <c:v>1.746482203037127E-5</c:v>
                </c:pt>
                <c:pt idx="10">
                  <c:v>2.999896537299831E-5</c:v>
                </c:pt>
                <c:pt idx="11">
                  <c:v>1.5821290672101331E-5</c:v>
                </c:pt>
                <c:pt idx="12">
                  <c:v>2.717590538301176E-5</c:v>
                </c:pt>
                <c:pt idx="13">
                  <c:v>3.2829474867991202E-5</c:v>
                </c:pt>
                <c:pt idx="14">
                  <c:v>9.84884246039736E-6</c:v>
                </c:pt>
                <c:pt idx="15">
                  <c:v>3.1642581344202662E-5</c:v>
                </c:pt>
                <c:pt idx="16">
                  <c:v>9.4927744032607993E-6</c:v>
                </c:pt>
                <c:pt idx="17">
                  <c:v>5.435181076602352E-5</c:v>
                </c:pt>
                <c:pt idx="18">
                  <c:v>1.6305543229807055E-5</c:v>
                </c:pt>
                <c:pt idx="19">
                  <c:v>1.8119916630160139E-5</c:v>
                </c:pt>
                <c:pt idx="20">
                  <c:v>1.7001980865258589E-5</c:v>
                </c:pt>
                <c:pt idx="21">
                  <c:v>1.6135770671466551E-5</c:v>
                </c:pt>
                <c:pt idx="22">
                  <c:v>1.6414737433995601E-5</c:v>
                </c:pt>
                <c:pt idx="23">
                  <c:v>1.4934514946283059E-5</c:v>
                </c:pt>
                <c:pt idx="24">
                  <c:v>1.4463588684075808E-5</c:v>
                </c:pt>
              </c:numCache>
            </c:numRef>
          </c:val>
          <c:extLst>
            <c:ext xmlns:c16="http://schemas.microsoft.com/office/drawing/2014/chart" uri="{C3380CC4-5D6E-409C-BE32-E72D297353CC}">
              <c16:uniqueId val="{00000006-745C-4479-8C9C-FED77590B062}"/>
            </c:ext>
          </c:extLst>
        </c:ser>
        <c:ser>
          <c:idx val="7"/>
          <c:order val="7"/>
          <c:tx>
            <c:strRef>
              <c:f>LCIA_ADP!$B$15:$C$15</c:f>
              <c:strCache>
                <c:ptCount val="2"/>
                <c:pt idx="0">
                  <c:v>CO₂</c:v>
                </c:pt>
                <c:pt idx="1">
                  <c:v>Storage</c:v>
                </c:pt>
              </c:strCache>
            </c:strRef>
          </c:tx>
          <c:spPr>
            <a:solidFill>
              <a:schemeClr val="accent2">
                <a:lumMod val="6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LCIA_ADP!$Y$15:$AW$15</c:f>
              <c:numCache>
                <c:formatCode>General</c:formatCode>
                <c:ptCount val="25"/>
                <c:pt idx="0">
                  <c:v>3.8341635755804193E-6</c:v>
                </c:pt>
                <c:pt idx="1">
                  <c:v>3.1497284310528184E-6</c:v>
                </c:pt>
                <c:pt idx="2">
                  <c:v>2.8688035462382707E-6</c:v>
                </c:pt>
                <c:pt idx="3">
                  <c:v>2.6460561646200105E-6</c:v>
                </c:pt>
                <c:pt idx="4">
                  <c:v>3.1497284310528184E-6</c:v>
                </c:pt>
                <c:pt idx="5">
                  <c:v>2.7607616061762139E-6</c:v>
                </c:pt>
                <c:pt idx="6">
                  <c:v>2.2958992882781308E-6</c:v>
                </c:pt>
                <c:pt idx="7">
                  <c:v>2.1655299435846769E-6</c:v>
                </c:pt>
                <c:pt idx="8">
                  <c:v>2.7607616061762139E-6</c:v>
                </c:pt>
                <c:pt idx="9">
                  <c:v>3.0358553858231439E-6</c:v>
                </c:pt>
                <c:pt idx="10">
                  <c:v>5.2146263178842639E-6</c:v>
                </c:pt>
                <c:pt idx="11">
                  <c:v>2.6609509913469949E-6</c:v>
                </c:pt>
                <c:pt idx="12">
                  <c:v>4.5706607550793968E-6</c:v>
                </c:pt>
                <c:pt idx="13">
                  <c:v>5.5215232123524279E-6</c:v>
                </c:pt>
                <c:pt idx="14">
                  <c:v>1.6564569637057286E-6</c:v>
                </c:pt>
                <c:pt idx="15">
                  <c:v>5.3219019826939898E-6</c:v>
                </c:pt>
                <c:pt idx="16">
                  <c:v>1.5965705948081971E-6</c:v>
                </c:pt>
                <c:pt idx="17">
                  <c:v>9.1413215101587936E-6</c:v>
                </c:pt>
                <c:pt idx="18">
                  <c:v>2.7423964530476379E-6</c:v>
                </c:pt>
                <c:pt idx="19">
                  <c:v>3.1497284310528184E-6</c:v>
                </c:pt>
                <c:pt idx="20">
                  <c:v>2.8688035462382707E-6</c:v>
                </c:pt>
                <c:pt idx="21">
                  <c:v>2.6460561646200105E-6</c:v>
                </c:pt>
                <c:pt idx="22">
                  <c:v>2.7607616061762139E-6</c:v>
                </c:pt>
                <c:pt idx="23">
                  <c:v>2.2958992882781308E-6</c:v>
                </c:pt>
                <c:pt idx="24">
                  <c:v>2.1655299435846769E-6</c:v>
                </c:pt>
              </c:numCache>
            </c:numRef>
          </c:val>
          <c:extLst>
            <c:ext xmlns:c16="http://schemas.microsoft.com/office/drawing/2014/chart" uri="{C3380CC4-5D6E-409C-BE32-E72D297353CC}">
              <c16:uniqueId val="{00000007-745C-4479-8C9C-FED77590B062}"/>
            </c:ext>
          </c:extLst>
        </c:ser>
        <c:ser>
          <c:idx val="8"/>
          <c:order val="8"/>
          <c:tx>
            <c:strRef>
              <c:f>LCIA_ADP!$B$16:$C$16</c:f>
              <c:strCache>
                <c:ptCount val="2"/>
                <c:pt idx="0">
                  <c:v>CO₂</c:v>
                </c:pt>
                <c:pt idx="1">
                  <c:v>Transport</c:v>
                </c:pt>
              </c:strCache>
            </c:strRef>
          </c:tx>
          <c:spPr>
            <a:solidFill>
              <a:schemeClr val="accent3">
                <a:lumMod val="6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LCIA_ADP!$Y$16:$AW$16</c:f>
              <c:numCache>
                <c:formatCode>General</c:formatCode>
                <c:ptCount val="25"/>
                <c:pt idx="0">
                  <c:v>1.4547460127867619E-5</c:v>
                </c:pt>
                <c:pt idx="1">
                  <c:v>1.3198516241578319E-5</c:v>
                </c:pt>
                <c:pt idx="2">
                  <c:v>1.118326224724404E-5</c:v>
                </c:pt>
                <c:pt idx="3">
                  <c:v>9.7621716117339743E-6</c:v>
                </c:pt>
                <c:pt idx="4">
                  <c:v>1.3198516241578319E-5</c:v>
                </c:pt>
                <c:pt idx="5">
                  <c:v>1.1315117630411294E-5</c:v>
                </c:pt>
                <c:pt idx="6">
                  <c:v>7.9914117898600626E-6</c:v>
                </c:pt>
                <c:pt idx="7">
                  <c:v>5.9917215411017641E-6</c:v>
                </c:pt>
                <c:pt idx="8">
                  <c:v>1.1315117630411294E-5</c:v>
                </c:pt>
                <c:pt idx="9">
                  <c:v>1.2721346456994867E-5</c:v>
                </c:pt>
                <c:pt idx="10">
                  <c:v>2.1851195002024939E-5</c:v>
                </c:pt>
                <c:pt idx="11">
                  <c:v>1.0906038901907634E-5</c:v>
                </c:pt>
                <c:pt idx="12">
                  <c:v>1.8733078573944367E-5</c:v>
                </c:pt>
                <c:pt idx="13">
                  <c:v>2.2630235260822588E-5</c:v>
                </c:pt>
                <c:pt idx="14">
                  <c:v>6.7890705782467768E-6</c:v>
                </c:pt>
                <c:pt idx="15">
                  <c:v>2.1812077803815267E-5</c:v>
                </c:pt>
                <c:pt idx="16">
                  <c:v>6.5436233411445802E-6</c:v>
                </c:pt>
                <c:pt idx="17">
                  <c:v>3.7466157147888733E-5</c:v>
                </c:pt>
                <c:pt idx="18">
                  <c:v>1.1239847144366621E-5</c:v>
                </c:pt>
                <c:pt idx="19">
                  <c:v>1.3198516241578319E-5</c:v>
                </c:pt>
                <c:pt idx="20">
                  <c:v>1.118326224724404E-5</c:v>
                </c:pt>
                <c:pt idx="21">
                  <c:v>9.7621716117339743E-6</c:v>
                </c:pt>
                <c:pt idx="22">
                  <c:v>1.1315117630411294E-5</c:v>
                </c:pt>
                <c:pt idx="23">
                  <c:v>7.9914117898600626E-6</c:v>
                </c:pt>
                <c:pt idx="24">
                  <c:v>5.9917215411017641E-6</c:v>
                </c:pt>
              </c:numCache>
            </c:numRef>
          </c:val>
          <c:extLst>
            <c:ext xmlns:c16="http://schemas.microsoft.com/office/drawing/2014/chart" uri="{C3380CC4-5D6E-409C-BE32-E72D297353CC}">
              <c16:uniqueId val="{00000008-745C-4479-8C9C-FED77590B062}"/>
            </c:ext>
          </c:extLst>
        </c:ser>
        <c:ser>
          <c:idx val="9"/>
          <c:order val="9"/>
          <c:tx>
            <c:strRef>
              <c:f>LCIA_ADP!$B$17:$C$17</c:f>
              <c:strCache>
                <c:ptCount val="2"/>
                <c:pt idx="0">
                  <c:v>CO₂</c:v>
                </c:pt>
                <c:pt idx="1">
                  <c:v>Conditioning</c:v>
                </c:pt>
              </c:strCache>
            </c:strRef>
          </c:tx>
          <c:spPr>
            <a:solidFill>
              <a:srgbClr val="00B050"/>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LCIA_ADP!$Y$17:$AW$17</c:f>
              <c:numCache>
                <c:formatCode>General</c:formatCode>
                <c:ptCount val="25"/>
                <c:pt idx="0">
                  <c:v>2.3701242454215625E-6</c:v>
                </c:pt>
                <c:pt idx="1">
                  <c:v>2.2921983005714796E-6</c:v>
                </c:pt>
                <c:pt idx="2">
                  <c:v>2.2636837601409035E-6</c:v>
                </c:pt>
                <c:pt idx="3">
                  <c:v>2.2428702520690817E-6</c:v>
                </c:pt>
                <c:pt idx="4">
                  <c:v>2.2921983005714796E-6</c:v>
                </c:pt>
                <c:pt idx="5">
                  <c:v>2.2548137617567408E-6</c:v>
                </c:pt>
                <c:pt idx="6">
                  <c:v>2.2011672576688527E-6</c:v>
                </c:pt>
                <c:pt idx="7">
                  <c:v>2.184215540707285E-6</c:v>
                </c:pt>
                <c:pt idx="8">
                  <c:v>2.2548137617567408E-6</c:v>
                </c:pt>
                <c:pt idx="9">
                  <c:v>2.2093277907894313E-6</c:v>
                </c:pt>
                <c:pt idx="10">
                  <c:v>3.794916877952638E-6</c:v>
                </c:pt>
                <c:pt idx="11">
                  <c:v>2.1732948260460855E-6</c:v>
                </c:pt>
                <c:pt idx="12">
                  <c:v>3.7330237959766338E-6</c:v>
                </c:pt>
                <c:pt idx="13">
                  <c:v>4.5096275235134815E-6</c:v>
                </c:pt>
                <c:pt idx="14">
                  <c:v>1.3528882570540446E-6</c:v>
                </c:pt>
                <c:pt idx="15">
                  <c:v>4.3465896520921709E-6</c:v>
                </c:pt>
                <c:pt idx="16">
                  <c:v>1.3039768956276515E-6</c:v>
                </c:pt>
                <c:pt idx="17">
                  <c:v>7.4660475919532675E-6</c:v>
                </c:pt>
                <c:pt idx="18">
                  <c:v>2.2398142775859801E-6</c:v>
                </c:pt>
                <c:pt idx="19">
                  <c:v>2.2921983005714796E-6</c:v>
                </c:pt>
                <c:pt idx="20">
                  <c:v>2.2636837601409035E-6</c:v>
                </c:pt>
                <c:pt idx="21">
                  <c:v>2.2428702520690817E-6</c:v>
                </c:pt>
                <c:pt idx="22">
                  <c:v>2.2548137617567408E-6</c:v>
                </c:pt>
                <c:pt idx="23">
                  <c:v>2.2011672576688527E-6</c:v>
                </c:pt>
                <c:pt idx="24">
                  <c:v>2.184215540707285E-6</c:v>
                </c:pt>
              </c:numCache>
            </c:numRef>
          </c:val>
          <c:extLst>
            <c:ext xmlns:c16="http://schemas.microsoft.com/office/drawing/2014/chart" uri="{C3380CC4-5D6E-409C-BE32-E72D297353CC}">
              <c16:uniqueId val="{00000009-745C-4479-8C9C-FED77590B062}"/>
            </c:ext>
          </c:extLst>
        </c:ser>
        <c:ser>
          <c:idx val="10"/>
          <c:order val="10"/>
          <c:tx>
            <c:strRef>
              <c:f>LCIA_ADP!$B$18:$C$18</c:f>
              <c:strCache>
                <c:ptCount val="2"/>
                <c:pt idx="0">
                  <c:v>CO₂</c:v>
                </c:pt>
                <c:pt idx="1">
                  <c:v>Pumping</c:v>
                </c:pt>
              </c:strCache>
            </c:strRef>
          </c:tx>
          <c:spPr>
            <a:solidFill>
              <a:schemeClr val="accent5">
                <a:lumMod val="6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LCIA_ADP!$Y$18:$AW$18</c:f>
              <c:numCache>
                <c:formatCode>General</c:formatCode>
                <c:ptCount val="25"/>
                <c:pt idx="0">
                  <c:v>1.7661479352426285E-11</c:v>
                </c:pt>
                <c:pt idx="1">
                  <c:v>2.528616756457172E-11</c:v>
                </c:pt>
                <c:pt idx="2">
                  <c:v>3.8386490588612366E-11</c:v>
                </c:pt>
                <c:pt idx="3">
                  <c:v>5.6011753426163244E-11</c:v>
                </c:pt>
                <c:pt idx="4">
                  <c:v>2.528616756457172E-11</c:v>
                </c:pt>
                <c:pt idx="5">
                  <c:v>4.8020836692900012E-11</c:v>
                </c:pt>
                <c:pt idx="6">
                  <c:v>8.2774597962625712E-11</c:v>
                </c:pt>
                <c:pt idx="7">
                  <c:v>1.1905692981431853E-10</c:v>
                </c:pt>
                <c:pt idx="8">
                  <c:v>4.8020836692900012E-11</c:v>
                </c:pt>
                <c:pt idx="9">
                  <c:v>2.4371989416901019E-11</c:v>
                </c:pt>
                <c:pt idx="10">
                  <c:v>4.1863264642333852E-11</c:v>
                </c:pt>
                <c:pt idx="11">
                  <c:v>4.6284725460329528E-11</c:v>
                </c:pt>
                <c:pt idx="12">
                  <c:v>7.9502320376845074E-11</c:v>
                </c:pt>
                <c:pt idx="13">
                  <c:v>9.6041673385800025E-11</c:v>
                </c:pt>
                <c:pt idx="14">
                  <c:v>2.8812502015740011E-11</c:v>
                </c:pt>
                <c:pt idx="15">
                  <c:v>9.2569450920659055E-11</c:v>
                </c:pt>
                <c:pt idx="16">
                  <c:v>2.7770835276197715E-11</c:v>
                </c:pt>
                <c:pt idx="17">
                  <c:v>1.5900464075369015E-10</c:v>
                </c:pt>
                <c:pt idx="18">
                  <c:v>4.7701392226107045E-11</c:v>
                </c:pt>
                <c:pt idx="19">
                  <c:v>2.528616756457172E-11</c:v>
                </c:pt>
                <c:pt idx="20">
                  <c:v>3.8386490588612366E-11</c:v>
                </c:pt>
                <c:pt idx="21">
                  <c:v>5.6011753426163244E-11</c:v>
                </c:pt>
                <c:pt idx="22">
                  <c:v>4.8020836692900012E-11</c:v>
                </c:pt>
                <c:pt idx="23">
                  <c:v>8.2774597962625712E-11</c:v>
                </c:pt>
                <c:pt idx="24">
                  <c:v>1.1905692981431853E-10</c:v>
                </c:pt>
              </c:numCache>
            </c:numRef>
          </c:val>
          <c:extLst>
            <c:ext xmlns:c16="http://schemas.microsoft.com/office/drawing/2014/chart" uri="{C3380CC4-5D6E-409C-BE32-E72D297353CC}">
              <c16:uniqueId val="{0000000A-745C-4479-8C9C-FED77590B062}"/>
            </c:ext>
          </c:extLst>
        </c:ser>
        <c:ser>
          <c:idx val="11"/>
          <c:order val="11"/>
          <c:tx>
            <c:strRef>
              <c:f>LCIA_ADP!$B$19:$C$19</c:f>
              <c:strCache>
                <c:ptCount val="2"/>
                <c:pt idx="0">
                  <c:v>Surface plant</c:v>
                </c:pt>
              </c:strCache>
            </c:strRef>
          </c:tx>
          <c:spPr>
            <a:solidFill>
              <a:srgbClr val="FFFF00"/>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LCIA_ADP!$Y$19:$AW$19</c:f>
              <c:numCache>
                <c:formatCode>General</c:formatCode>
                <c:ptCount val="25"/>
                <c:pt idx="0">
                  <c:v>2.2396299330595257E-4</c:v>
                </c:pt>
                <c:pt idx="1">
                  <c:v>1.5851695986181217E-4</c:v>
                </c:pt>
                <c:pt idx="2">
                  <c:v>1.4370152279940605E-4</c:v>
                </c:pt>
                <c:pt idx="3">
                  <c:v>1.3632829357682795E-4</c:v>
                </c:pt>
                <c:pt idx="4">
                  <c:v>1.5851695986181217E-4</c:v>
                </c:pt>
                <c:pt idx="5">
                  <c:v>1.4195722002769461E-4</c:v>
                </c:pt>
                <c:pt idx="6">
                  <c:v>1.1067782437403336E-4</c:v>
                </c:pt>
                <c:pt idx="7">
                  <c:v>9.4420393666005698E-5</c:v>
                </c:pt>
                <c:pt idx="8">
                  <c:v>1.4195722002769461E-4</c:v>
                </c:pt>
                <c:pt idx="9">
                  <c:v>1.5851695986181217E-4</c:v>
                </c:pt>
                <c:pt idx="10">
                  <c:v>1.5851695986181217E-4</c:v>
                </c:pt>
                <c:pt idx="11">
                  <c:v>1.4195722002769461E-4</c:v>
                </c:pt>
                <c:pt idx="12">
                  <c:v>1.4195722002769461E-4</c:v>
                </c:pt>
                <c:pt idx="13">
                  <c:v>2.8391444005538923E-4</c:v>
                </c:pt>
                <c:pt idx="14">
                  <c:v>8.5174332016616763E-5</c:v>
                </c:pt>
                <c:pt idx="15">
                  <c:v>2.8391444005538923E-4</c:v>
                </c:pt>
                <c:pt idx="16">
                  <c:v>8.5174332016616763E-5</c:v>
                </c:pt>
                <c:pt idx="17">
                  <c:v>2.8391444005538923E-4</c:v>
                </c:pt>
                <c:pt idx="18">
                  <c:v>8.5174332016616763E-5</c:v>
                </c:pt>
                <c:pt idx="19">
                  <c:v>1.5851695986181217E-4</c:v>
                </c:pt>
                <c:pt idx="20">
                  <c:v>1.4370152279940605E-4</c:v>
                </c:pt>
                <c:pt idx="21">
                  <c:v>1.3632829357682795E-4</c:v>
                </c:pt>
                <c:pt idx="22">
                  <c:v>1.4195722002769461E-4</c:v>
                </c:pt>
                <c:pt idx="23">
                  <c:v>1.1067782437403336E-4</c:v>
                </c:pt>
                <c:pt idx="24">
                  <c:v>9.4420393666005698E-5</c:v>
                </c:pt>
              </c:numCache>
            </c:numRef>
          </c:val>
          <c:extLst>
            <c:ext xmlns:c16="http://schemas.microsoft.com/office/drawing/2014/chart" uri="{C3380CC4-5D6E-409C-BE32-E72D297353CC}">
              <c16:uniqueId val="{0000000B-745C-4479-8C9C-FED77590B062}"/>
            </c:ext>
          </c:extLst>
        </c:ser>
        <c:ser>
          <c:idx val="12"/>
          <c:order val="12"/>
          <c:tx>
            <c:strRef>
              <c:f>LCIA_ADP!$B$20:$C$20</c:f>
              <c:strCache>
                <c:ptCount val="2"/>
                <c:pt idx="0">
                  <c:v>Maintenance</c:v>
                </c:pt>
              </c:strCache>
            </c:strRef>
          </c:tx>
          <c:spPr>
            <a:solidFill>
              <a:schemeClr val="accent1">
                <a:lumMod val="80000"/>
                <a:lumOff val="2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LCIA_ADP!$Y$20:$AW$20</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8.5174332016616763E-5</c:v>
                </c:pt>
                <c:pt idx="15">
                  <c:v>0</c:v>
                </c:pt>
                <c:pt idx="16">
                  <c:v>8.5174332016616763E-5</c:v>
                </c:pt>
                <c:pt idx="17">
                  <c:v>0</c:v>
                </c:pt>
                <c:pt idx="18">
                  <c:v>8.5174332016616763E-5</c:v>
                </c:pt>
                <c:pt idx="19">
                  <c:v>0</c:v>
                </c:pt>
                <c:pt idx="20">
                  <c:v>0</c:v>
                </c:pt>
                <c:pt idx="21">
                  <c:v>0</c:v>
                </c:pt>
                <c:pt idx="22">
                  <c:v>0</c:v>
                </c:pt>
                <c:pt idx="23">
                  <c:v>0</c:v>
                </c:pt>
                <c:pt idx="24">
                  <c:v>0</c:v>
                </c:pt>
              </c:numCache>
            </c:numRef>
          </c:val>
          <c:extLst>
            <c:ext xmlns:c16="http://schemas.microsoft.com/office/drawing/2014/chart" uri="{C3380CC4-5D6E-409C-BE32-E72D297353CC}">
              <c16:uniqueId val="{0000000C-745C-4479-8C9C-FED77590B062}"/>
            </c:ext>
          </c:extLst>
        </c:ser>
        <c:ser>
          <c:idx val="13"/>
          <c:order val="13"/>
          <c:tx>
            <c:strRef>
              <c:f>LCIA_ADP!$B$21:$C$21</c:f>
              <c:strCache>
                <c:ptCount val="2"/>
                <c:pt idx="0">
                  <c:v>EoL</c:v>
                </c:pt>
                <c:pt idx="1">
                  <c:v>Well sealing</c:v>
                </c:pt>
              </c:strCache>
            </c:strRef>
          </c:tx>
          <c:spPr>
            <a:solidFill>
              <a:schemeClr val="accent2">
                <a:lumMod val="80000"/>
                <a:lumOff val="20000"/>
              </a:schemeClr>
            </a:solidFill>
            <a:ln>
              <a:noFill/>
            </a:ln>
            <a:effectLst/>
          </c:spPr>
          <c:invertIfNegative val="0"/>
          <c:cat>
            <c:multiLvlStrRef>
              <c:f>LCIA_ADP!$Y$6:$AW$7</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LCIA_ADP!$Y$21:$AW$21</c:f>
              <c:numCache>
                <c:formatCode>General</c:formatCode>
                <c:ptCount val="25"/>
                <c:pt idx="0">
                  <c:v>5.0830724410525848E-5</c:v>
                </c:pt>
                <c:pt idx="1">
                  <c:v>5.0578356504101619E-5</c:v>
                </c:pt>
                <c:pt idx="2">
                  <c:v>4.9633050011384171E-5</c:v>
                </c:pt>
                <c:pt idx="3">
                  <c:v>4.9097247255633463E-5</c:v>
                </c:pt>
                <c:pt idx="4">
                  <c:v>5.0578356504101619E-5</c:v>
                </c:pt>
                <c:pt idx="5">
                  <c:v>5.038005040484935E-5</c:v>
                </c:pt>
                <c:pt idx="6">
                  <c:v>4.1090223305042204E-5</c:v>
                </c:pt>
                <c:pt idx="7">
                  <c:v>3.0103213675635297E-5</c:v>
                </c:pt>
                <c:pt idx="8">
                  <c:v>5.038005040484935E-5</c:v>
                </c:pt>
                <c:pt idx="9">
                  <c:v>5.0578356504101619E-5</c:v>
                </c:pt>
                <c:pt idx="10">
                  <c:v>1.097813929486938E-4</c:v>
                </c:pt>
                <c:pt idx="11">
                  <c:v>5.038005040484935E-5</c:v>
                </c:pt>
                <c:pt idx="12">
                  <c:v>1.093509653644292E-4</c:v>
                </c:pt>
                <c:pt idx="13">
                  <c:v>1.007601008096987E-4</c:v>
                </c:pt>
                <c:pt idx="14">
                  <c:v>3.0228030242909613E-5</c:v>
                </c:pt>
                <c:pt idx="15">
                  <c:v>1.007601008096987E-4</c:v>
                </c:pt>
                <c:pt idx="16">
                  <c:v>3.0228030242909613E-5</c:v>
                </c:pt>
                <c:pt idx="17">
                  <c:v>2.187019307288584E-4</c:v>
                </c:pt>
                <c:pt idx="18">
                  <c:v>6.5610579218657524E-5</c:v>
                </c:pt>
                <c:pt idx="19">
                  <c:v>5.0578356504101619E-5</c:v>
                </c:pt>
                <c:pt idx="20">
                  <c:v>4.9633050011384171E-5</c:v>
                </c:pt>
                <c:pt idx="21">
                  <c:v>4.9097247255633463E-5</c:v>
                </c:pt>
                <c:pt idx="22">
                  <c:v>5.038005040484935E-5</c:v>
                </c:pt>
                <c:pt idx="23">
                  <c:v>4.1090223305042204E-5</c:v>
                </c:pt>
                <c:pt idx="24">
                  <c:v>3.0103213675635297E-5</c:v>
                </c:pt>
              </c:numCache>
            </c:numRef>
          </c:val>
          <c:extLst>
            <c:ext xmlns:c16="http://schemas.microsoft.com/office/drawing/2014/chart" uri="{C3380CC4-5D6E-409C-BE32-E72D297353CC}">
              <c16:uniqueId val="{0000000D-745C-4479-8C9C-FED77590B062}"/>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LCIA_ADP!$P$42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LCIA_ADP!$R$25</c:f>
              <c:strCache>
                <c:ptCount val="1"/>
                <c:pt idx="0">
                  <c:v>Well, energy</c:v>
                </c:pt>
              </c:strCache>
            </c:strRef>
          </c:tx>
          <c:spPr>
            <a:solidFill>
              <a:schemeClr val="accent5">
                <a:lumMod val="75000"/>
              </a:schemeClr>
            </a:solidFill>
            <a:ln>
              <a:noFill/>
            </a:ln>
            <a:effectLst/>
          </c:spPr>
          <c:invertIfNegative val="0"/>
          <c:cat>
            <c:multiLvlStrRef>
              <c:f>LCIA_ADP!$Y$22:$AW$23</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LCIA_ADP!$Y$25:$AW$25</c:f>
              <c:numCache>
                <c:formatCode>0.0</c:formatCode>
                <c:ptCount val="25"/>
                <c:pt idx="0">
                  <c:v>0.33000795721438292</c:v>
                </c:pt>
                <c:pt idx="1">
                  <c:v>0</c:v>
                </c:pt>
                <c:pt idx="2">
                  <c:v>0</c:v>
                </c:pt>
                <c:pt idx="3">
                  <c:v>0</c:v>
                </c:pt>
                <c:pt idx="4">
                  <c:v>5.3009418606959118E-2</c:v>
                </c:pt>
                <c:pt idx="5">
                  <c:v>0</c:v>
                </c:pt>
                <c:pt idx="6">
                  <c:v>0</c:v>
                </c:pt>
                <c:pt idx="7">
                  <c:v>0</c:v>
                </c:pt>
                <c:pt idx="8">
                  <c:v>5.3009418606959118E-2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00-5EE6-46EC-BCF4-C10D5915719C}"/>
            </c:ext>
          </c:extLst>
        </c:ser>
        <c:ser>
          <c:idx val="2"/>
          <c:order val="1"/>
          <c:tx>
            <c:strRef>
              <c:f>LCIA_ADP!$R$26</c:f>
              <c:strCache>
                <c:ptCount val="1"/>
                <c:pt idx="0">
                  <c:v>Well, materials</c:v>
                </c:pt>
              </c:strCache>
            </c:strRef>
          </c:tx>
          <c:spPr>
            <a:solidFill>
              <a:schemeClr val="accent3"/>
            </a:solidFill>
            <a:ln>
              <a:noFill/>
            </a:ln>
            <a:effectLst/>
          </c:spPr>
          <c:invertIfNegative val="0"/>
          <c:cat>
            <c:multiLvlStrRef>
              <c:f>LCIA_ADP!$Y$22:$AW$23</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LCIA_ADP!$Y$26:$AW$26</c:f>
              <c:numCache>
                <c:formatCode>0.0</c:formatCode>
                <c:ptCount val="25"/>
                <c:pt idx="0">
                  <c:v>5.4317766024695215</c:v>
                </c:pt>
                <c:pt idx="1">
                  <c:v>4.5327309595490508</c:v>
                </c:pt>
                <c:pt idx="2">
                  <c:v>4.1761279846845172</c:v>
                </c:pt>
                <c:pt idx="3">
                  <c:v>3.8109201580160024</c:v>
                </c:pt>
                <c:pt idx="4">
                  <c:v>4.5327309595490508</c:v>
                </c:pt>
                <c:pt idx="5">
                  <c:v>4.3789617934211797</c:v>
                </c:pt>
                <c:pt idx="6">
                  <c:v>3.4578894823553656</c:v>
                </c:pt>
                <c:pt idx="7">
                  <c:v>2.9245153541172488</c:v>
                </c:pt>
                <c:pt idx="8">
                  <c:v>4.3789617934211797</c:v>
                </c:pt>
                <c:pt idx="9">
                  <c:v>3.632313655650361</c:v>
                </c:pt>
                <c:pt idx="10">
                  <c:v>7.7974293245685589</c:v>
                </c:pt>
                <c:pt idx="11">
                  <c:v>3.5071036121271848</c:v>
                </c:pt>
                <c:pt idx="12">
                  <c:v>7.5638251166597055</c:v>
                </c:pt>
                <c:pt idx="13">
                  <c:v>8.7579235868423595</c:v>
                </c:pt>
                <c:pt idx="14">
                  <c:v>2.6273770760527078</c:v>
                </c:pt>
                <c:pt idx="15">
                  <c:v>7.0142072242543696</c:v>
                </c:pt>
                <c:pt idx="16">
                  <c:v>2.1042621672763109</c:v>
                </c:pt>
                <c:pt idx="17">
                  <c:v>15.127650233319411</c:v>
                </c:pt>
                <c:pt idx="18">
                  <c:v>4.5382950699958231</c:v>
                </c:pt>
                <c:pt idx="19">
                  <c:v>4.5327309595490508</c:v>
                </c:pt>
                <c:pt idx="20">
                  <c:v>4.1761279846845172</c:v>
                </c:pt>
                <c:pt idx="21">
                  <c:v>3.8109201580160024</c:v>
                </c:pt>
                <c:pt idx="22">
                  <c:v>4.3789617934211797</c:v>
                </c:pt>
                <c:pt idx="23">
                  <c:v>3.4578894823553656</c:v>
                </c:pt>
                <c:pt idx="24">
                  <c:v>2.9245153541172488</c:v>
                </c:pt>
              </c:numCache>
            </c:numRef>
          </c:val>
          <c:extLst>
            <c:ext xmlns:c16="http://schemas.microsoft.com/office/drawing/2014/chart" uri="{C3380CC4-5D6E-409C-BE32-E72D297353CC}">
              <c16:uniqueId val="{00000001-5EE6-46EC-BCF4-C10D5915719C}"/>
            </c:ext>
          </c:extLst>
        </c:ser>
        <c:ser>
          <c:idx val="3"/>
          <c:order val="2"/>
          <c:tx>
            <c:strRef>
              <c:f>LCIA_ADP!$R$27</c:f>
              <c:strCache>
                <c:ptCount val="1"/>
                <c:pt idx="0">
                  <c:v>Drilling rig</c:v>
                </c:pt>
              </c:strCache>
            </c:strRef>
          </c:tx>
          <c:spPr>
            <a:solidFill>
              <a:schemeClr val="accent2">
                <a:lumMod val="75000"/>
              </a:schemeClr>
            </a:solidFill>
            <a:ln>
              <a:noFill/>
            </a:ln>
            <a:effectLst/>
          </c:spPr>
          <c:invertIfNegative val="0"/>
          <c:cat>
            <c:multiLvlStrRef>
              <c:f>LCIA_ADP!$Y$22:$AW$23</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LCIA_ADP!$Y$27:$AW$27</c:f>
              <c:numCache>
                <c:formatCode>0.0</c:formatCode>
                <c:ptCount val="25"/>
                <c:pt idx="0">
                  <c:v>2.0111419030359672</c:v>
                </c:pt>
                <c:pt idx="1">
                  <c:v>1.8608747326563153</c:v>
                </c:pt>
                <c:pt idx="2">
                  <c:v>1.7474134058461779</c:v>
                </c:pt>
                <c:pt idx="3">
                  <c:v>1.6836276757646669</c:v>
                </c:pt>
                <c:pt idx="4">
                  <c:v>1.8608747326563153</c:v>
                </c:pt>
                <c:pt idx="5">
                  <c:v>1.6831849078602772</c:v>
                </c:pt>
                <c:pt idx="6">
                  <c:v>1.3111298808283387</c:v>
                </c:pt>
                <c:pt idx="7">
                  <c:v>1.0917237401074151</c:v>
                </c:pt>
                <c:pt idx="8">
                  <c:v>1.6831849078602772</c:v>
                </c:pt>
                <c:pt idx="9">
                  <c:v>1.8608747326563153</c:v>
                </c:pt>
                <c:pt idx="10">
                  <c:v>1.8608747326563153</c:v>
                </c:pt>
                <c:pt idx="11">
                  <c:v>1.6831849078602772</c:v>
                </c:pt>
                <c:pt idx="12">
                  <c:v>1.6831849078602772</c:v>
                </c:pt>
                <c:pt idx="13">
                  <c:v>3.3663698157205544</c:v>
                </c:pt>
                <c:pt idx="14">
                  <c:v>1.0099109447161663</c:v>
                </c:pt>
                <c:pt idx="15">
                  <c:v>3.3663698157205544</c:v>
                </c:pt>
                <c:pt idx="16">
                  <c:v>1.0099109447161663</c:v>
                </c:pt>
                <c:pt idx="17">
                  <c:v>3.3663698157205544</c:v>
                </c:pt>
                <c:pt idx="18">
                  <c:v>1.0099109447161663</c:v>
                </c:pt>
                <c:pt idx="19">
                  <c:v>1.8608747326563153</c:v>
                </c:pt>
                <c:pt idx="20">
                  <c:v>1.7474134058461779</c:v>
                </c:pt>
                <c:pt idx="21">
                  <c:v>1.6836276757646669</c:v>
                </c:pt>
                <c:pt idx="22">
                  <c:v>1.6831849078602772</c:v>
                </c:pt>
                <c:pt idx="23">
                  <c:v>1.3111298808283387</c:v>
                </c:pt>
                <c:pt idx="24">
                  <c:v>1.0917237401074151</c:v>
                </c:pt>
              </c:numCache>
            </c:numRef>
          </c:val>
          <c:extLst>
            <c:ext xmlns:c16="http://schemas.microsoft.com/office/drawing/2014/chart" uri="{C3380CC4-5D6E-409C-BE32-E72D297353CC}">
              <c16:uniqueId val="{00000002-5EE6-46EC-BCF4-C10D5915719C}"/>
            </c:ext>
          </c:extLst>
        </c:ser>
        <c:ser>
          <c:idx val="4"/>
          <c:order val="3"/>
          <c:tx>
            <c:strRef>
              <c:f>LCIA_ADP!$R$28</c:f>
              <c:strCache>
                <c:ptCount val="1"/>
                <c:pt idx="0">
                  <c:v>CO2 supply</c:v>
                </c:pt>
              </c:strCache>
            </c:strRef>
          </c:tx>
          <c:spPr>
            <a:solidFill>
              <a:srgbClr val="00B050"/>
            </a:solidFill>
            <a:ln>
              <a:noFill/>
            </a:ln>
            <a:effectLst/>
          </c:spPr>
          <c:invertIfNegative val="0"/>
          <c:cat>
            <c:multiLvlStrRef>
              <c:f>LCIA_ADP!$Y$22:$AW$23</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LCIA_ADP!$Y$28:$AW$28</c:f>
              <c:numCache>
                <c:formatCode>0.0</c:formatCode>
                <c:ptCount val="25"/>
                <c:pt idx="0">
                  <c:v>4.172248480637776E-2</c:v>
                </c:pt>
                <c:pt idx="1">
                  <c:v>3.6760384889530318E-2</c:v>
                </c:pt>
                <c:pt idx="2">
                  <c:v>3.3317768805372384E-2</c:v>
                </c:pt>
                <c:pt idx="3">
                  <c:v>3.0786924711643047E-2</c:v>
                </c:pt>
                <c:pt idx="4">
                  <c:v>3.6760384889530318E-2</c:v>
                </c:pt>
                <c:pt idx="5">
                  <c:v>3.2745478453176539E-2</c:v>
                </c:pt>
                <c:pt idx="6">
                  <c:v>2.7423076056688069E-2</c:v>
                </c:pt>
                <c:pt idx="7">
                  <c:v>2.4805174766399346E-2</c:v>
                </c:pt>
                <c:pt idx="8">
                  <c:v>3.2745478453176539E-2</c:v>
                </c:pt>
                <c:pt idx="9">
                  <c:v>3.5431376035968132E-2</c:v>
                </c:pt>
                <c:pt idx="10">
                  <c:v>6.0859745434124785E-2</c:v>
                </c:pt>
                <c:pt idx="11">
                  <c:v>3.1561621676127506E-2</c:v>
                </c:pt>
                <c:pt idx="12">
                  <c:v>5.4212748010332538E-2</c:v>
                </c:pt>
                <c:pt idx="13">
                  <c:v>6.5490956906353079E-2</c:v>
                </c:pt>
                <c:pt idx="14">
                  <c:v>1.9647287071905925E-2</c:v>
                </c:pt>
                <c:pt idx="15">
                  <c:v>6.3123243352255012E-2</c:v>
                </c:pt>
                <c:pt idx="16">
                  <c:v>1.8936973005676504E-2</c:v>
                </c:pt>
                <c:pt idx="17">
                  <c:v>0.10842549602066508</c:v>
                </c:pt>
                <c:pt idx="18">
                  <c:v>3.2527648806199523E-2</c:v>
                </c:pt>
                <c:pt idx="19">
                  <c:v>3.6760384889530318E-2</c:v>
                </c:pt>
                <c:pt idx="20">
                  <c:v>3.3317768805372384E-2</c:v>
                </c:pt>
                <c:pt idx="21">
                  <c:v>3.0786924711643047E-2</c:v>
                </c:pt>
                <c:pt idx="22">
                  <c:v>3.2745478453176539E-2</c:v>
                </c:pt>
                <c:pt idx="23">
                  <c:v>2.7423076056688069E-2</c:v>
                </c:pt>
                <c:pt idx="24">
                  <c:v>2.4805174766399346E-2</c:v>
                </c:pt>
              </c:numCache>
            </c:numRef>
          </c:val>
          <c:extLst>
            <c:ext xmlns:c16="http://schemas.microsoft.com/office/drawing/2014/chart" uri="{C3380CC4-5D6E-409C-BE32-E72D297353CC}">
              <c16:uniqueId val="{00000003-5EE6-46EC-BCF4-C10D5915719C}"/>
            </c:ext>
          </c:extLst>
        </c:ser>
        <c:ser>
          <c:idx val="5"/>
          <c:order val="4"/>
          <c:tx>
            <c:strRef>
              <c:f>LCIA_ADP!$R$29</c:f>
              <c:strCache>
                <c:ptCount val="1"/>
                <c:pt idx="0">
                  <c:v>Surface plant</c:v>
                </c:pt>
              </c:strCache>
            </c:strRef>
          </c:tx>
          <c:spPr>
            <a:solidFill>
              <a:srgbClr val="FFFF00"/>
            </a:solidFill>
            <a:ln>
              <a:noFill/>
            </a:ln>
            <a:effectLst/>
          </c:spPr>
          <c:invertIfNegative val="0"/>
          <c:cat>
            <c:multiLvlStrRef>
              <c:f>LCIA_ADP!$Y$22:$AW$23</c:f>
              <c:multiLvlStrCache>
                <c:ptCount val="25"/>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BAU 2030</c:v>
                  </c:pt>
                  <c:pt idx="20">
                    <c:v>BAU 2040</c:v>
                  </c:pt>
                  <c:pt idx="21">
                    <c:v>BAU 2050</c:v>
                  </c:pt>
                  <c:pt idx="22">
                    <c:v>LOW 2030</c:v>
                  </c:pt>
                  <c:pt idx="23">
                    <c:v>LOW 2040</c:v>
                  </c:pt>
                  <c:pt idx="24">
                    <c:v>LOW 2050</c:v>
                  </c:pt>
                </c:lvl>
                <c:lvl>
                  <c:pt idx="0">
                    <c:v>BAU</c:v>
                  </c:pt>
                  <c:pt idx="5">
                    <c:v>LOW</c:v>
                  </c:pt>
                  <c:pt idx="9">
                    <c:v>Well depth variation, 2030</c:v>
                  </c:pt>
                  <c:pt idx="13">
                    <c:v>Lifetime variation, 2030 LOW</c:v>
                  </c:pt>
                  <c:pt idx="19">
                    <c:v>Rotary drilling</c:v>
                  </c:pt>
                </c:lvl>
              </c:multiLvlStrCache>
            </c:multiLvlStrRef>
          </c:cat>
          <c:val>
            <c:numRef>
              <c:f>LCIA_ADP!$Y$29:$AW$29</c:f>
              <c:numCache>
                <c:formatCode>0.0</c:formatCode>
                <c:ptCount val="25"/>
                <c:pt idx="0">
                  <c:v>0.22396299330595257</c:v>
                </c:pt>
                <c:pt idx="1">
                  <c:v>0.15851695986181216</c:v>
                </c:pt>
                <c:pt idx="2">
                  <c:v>0.14370152279940604</c:v>
                </c:pt>
                <c:pt idx="3">
                  <c:v>0.13632829357682796</c:v>
                </c:pt>
                <c:pt idx="4">
                  <c:v>0.15851695986181216</c:v>
                </c:pt>
                <c:pt idx="5">
                  <c:v>0.14195722002769462</c:v>
                </c:pt>
                <c:pt idx="6">
                  <c:v>0.11067782437403337</c:v>
                </c:pt>
                <c:pt idx="7">
                  <c:v>9.44203936660057E-2</c:v>
                </c:pt>
                <c:pt idx="8">
                  <c:v>0.14195722002769462</c:v>
                </c:pt>
                <c:pt idx="9">
                  <c:v>0.15851695986181216</c:v>
                </c:pt>
                <c:pt idx="10">
                  <c:v>0.15851695986181216</c:v>
                </c:pt>
                <c:pt idx="11">
                  <c:v>0.14195722002769462</c:v>
                </c:pt>
                <c:pt idx="12">
                  <c:v>0.14195722002769462</c:v>
                </c:pt>
                <c:pt idx="13">
                  <c:v>0.28391444005538924</c:v>
                </c:pt>
                <c:pt idx="14">
                  <c:v>8.5174332016616769E-2</c:v>
                </c:pt>
                <c:pt idx="15">
                  <c:v>0.28391444005538924</c:v>
                </c:pt>
                <c:pt idx="16">
                  <c:v>8.5174332016616769E-2</c:v>
                </c:pt>
                <c:pt idx="17">
                  <c:v>0.28391444005538924</c:v>
                </c:pt>
                <c:pt idx="18">
                  <c:v>8.5174332016616769E-2</c:v>
                </c:pt>
                <c:pt idx="19">
                  <c:v>0.15851695986181216</c:v>
                </c:pt>
                <c:pt idx="20">
                  <c:v>0.14370152279940604</c:v>
                </c:pt>
                <c:pt idx="21">
                  <c:v>0.13632829357682796</c:v>
                </c:pt>
                <c:pt idx="22">
                  <c:v>0.14195722002769462</c:v>
                </c:pt>
                <c:pt idx="23">
                  <c:v>0.11067782437403337</c:v>
                </c:pt>
                <c:pt idx="24">
                  <c:v>9.44203936660057E-2</c:v>
                </c:pt>
              </c:numCache>
            </c:numRef>
          </c:val>
          <c:extLst>
            <c:ext xmlns:c16="http://schemas.microsoft.com/office/drawing/2014/chart" uri="{C3380CC4-5D6E-409C-BE32-E72D297353CC}">
              <c16:uniqueId val="{00000004-5EE6-46EC-BCF4-C10D5915719C}"/>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LCIA_ADP!$O$42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Swiss electricity climate change impacts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clustered"/>
        <c:varyColors val="0"/>
        <c:ser>
          <c:idx val="0"/>
          <c:order val="0"/>
          <c:tx>
            <c:strRef>
              <c:f>LCIA_ADP!$O$48</c:f>
              <c:strCache>
                <c:ptCount val="1"/>
                <c:pt idx="0">
                  <c:v>CH_electricity</c:v>
                </c:pt>
              </c:strCache>
            </c:strRef>
          </c:tx>
          <c:spPr>
            <a:solidFill>
              <a:schemeClr val="accent1"/>
            </a:solidFill>
            <a:ln>
              <a:noFill/>
            </a:ln>
            <a:effectLst/>
          </c:spPr>
          <c:invertIfNegative val="0"/>
          <c:cat>
            <c:strRef>
              <c:f>LCIA_ADP!$C$189:$C$195</c:f>
              <c:strCache>
                <c:ptCount val="7"/>
                <c:pt idx="0">
                  <c:v>Current 2019</c:v>
                </c:pt>
                <c:pt idx="1">
                  <c:v>BAU 2030</c:v>
                </c:pt>
                <c:pt idx="2">
                  <c:v>BAU 2040</c:v>
                </c:pt>
                <c:pt idx="3">
                  <c:v>BAU 2050</c:v>
                </c:pt>
                <c:pt idx="4">
                  <c:v>INNOV 2030</c:v>
                </c:pt>
                <c:pt idx="5">
                  <c:v>INNOV 2040</c:v>
                </c:pt>
                <c:pt idx="6">
                  <c:v>INNOV 2050</c:v>
                </c:pt>
              </c:strCache>
            </c:strRef>
          </c:cat>
          <c:val>
            <c:numRef>
              <c:f>LCIA_ADP!#REF!</c:f>
              <c:numCache>
                <c:formatCode>General</c:formatCode>
                <c:ptCount val="1"/>
                <c:pt idx="0">
                  <c:v>1</c:v>
                </c:pt>
              </c:numCache>
            </c:numRef>
          </c:val>
          <c:extLst>
            <c:ext xmlns:c16="http://schemas.microsoft.com/office/drawing/2014/chart" uri="{C3380CC4-5D6E-409C-BE32-E72D297353CC}">
              <c16:uniqueId val="{00000000-0EDA-4112-87DA-18316FF0E126}"/>
            </c:ext>
          </c:extLst>
        </c:ser>
        <c:dLbls>
          <c:showLegendKey val="0"/>
          <c:showVal val="0"/>
          <c:showCatName val="0"/>
          <c:showSerName val="0"/>
          <c:showPercent val="0"/>
          <c:showBubbleSize val="0"/>
        </c:dLbls>
        <c:gapWidth val="219"/>
        <c:overlap val="-27"/>
        <c:axId val="1831914671"/>
        <c:axId val="1638393375"/>
      </c:barChart>
      <c:catAx>
        <c:axId val="18319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8393375"/>
        <c:crosses val="autoZero"/>
        <c:auto val="1"/>
        <c:lblAlgn val="ctr"/>
        <c:lblOffset val="100"/>
        <c:noMultiLvlLbl val="0"/>
      </c:catAx>
      <c:valAx>
        <c:axId val="1638393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Greenhouse gas emissions
[kg CO₂-eq/kWh]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8319146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CH"/>
              <a:t>Swiss electricity production scenarios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Electricity_mixes!$A$3</c:f>
              <c:strCache>
                <c:ptCount val="1"/>
                <c:pt idx="0">
                  <c:v>ECONOMIC AND DEMOGRAPHIC ASSUMPTIONS</c:v>
                </c:pt>
              </c:strCache>
            </c:strRef>
          </c:tx>
          <c:spPr>
            <a:solidFill>
              <a:schemeClr val="accent1"/>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Electricity_mixes!$B$3:$AH$3</c15:sqref>
                  </c15:fullRef>
                </c:ext>
              </c:extLst>
              <c:f>(Electricity_mixes!$B$3:$E$3,Electricity_mixes!$W$3:$Y$3)</c:f>
            </c:numRef>
          </c:val>
          <c:extLst>
            <c:ext xmlns:c16="http://schemas.microsoft.com/office/drawing/2014/chart" uri="{C3380CC4-5D6E-409C-BE32-E72D297353CC}">
              <c16:uniqueId val="{00000000-1389-48E1-8F0B-2FF3830F7905}"/>
            </c:ext>
          </c:extLst>
        </c:ser>
        <c:ser>
          <c:idx val="1"/>
          <c:order val="1"/>
          <c:tx>
            <c:strRef>
              <c:f>Electricity_mixes!$A$4</c:f>
              <c:strCache>
                <c:ptCount val="1"/>
                <c:pt idx="0">
                  <c:v>Population (million)</c:v>
                </c:pt>
              </c:strCache>
            </c:strRef>
          </c:tx>
          <c:spPr>
            <a:solidFill>
              <a:schemeClr val="accent2"/>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Electricity_mixes!$B$4:$AH$4</c15:sqref>
                  </c15:fullRef>
                </c:ext>
              </c:extLst>
              <c:f>(Electricity_mixes!$B$4:$E$4,Electricity_mixes!$W$4:$Y$4)</c:f>
            </c:numRef>
          </c:val>
          <c:extLst>
            <c:ext xmlns:c16="http://schemas.microsoft.com/office/drawing/2014/chart" uri="{C3380CC4-5D6E-409C-BE32-E72D297353CC}">
              <c16:uniqueId val="{00000001-1389-48E1-8F0B-2FF3830F7905}"/>
            </c:ext>
          </c:extLst>
        </c:ser>
        <c:ser>
          <c:idx val="2"/>
          <c:order val="2"/>
          <c:tx>
            <c:strRef>
              <c:f>Electricity_mixes!$A$5</c:f>
              <c:strCache>
                <c:ptCount val="1"/>
                <c:pt idx="0">
                  <c:v>Gross Domestic Product (BCHF2010)22</c:v>
                </c:pt>
              </c:strCache>
            </c:strRef>
          </c:tx>
          <c:spPr>
            <a:solidFill>
              <a:schemeClr val="accent3"/>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Electricity_mixes!$B$5:$AH$5</c15:sqref>
                  </c15:fullRef>
                </c:ext>
              </c:extLst>
              <c:f>(Electricity_mixes!$B$5:$E$5,Electricity_mixes!$W$5:$Y$5)</c:f>
            </c:numRef>
          </c:val>
          <c:extLst>
            <c:ext xmlns:c16="http://schemas.microsoft.com/office/drawing/2014/chart" uri="{C3380CC4-5D6E-409C-BE32-E72D297353CC}">
              <c16:uniqueId val="{00000002-1389-48E1-8F0B-2FF3830F7905}"/>
            </c:ext>
          </c:extLst>
        </c:ser>
        <c:ser>
          <c:idx val="3"/>
          <c:order val="3"/>
          <c:tx>
            <c:strRef>
              <c:f>Electricity_mixes!$A$6</c:f>
              <c:strCache>
                <c:ptCount val="1"/>
                <c:pt idx="0">
                  <c:v>Gross Value Added Industry (BCHF2010)22</c:v>
                </c:pt>
              </c:strCache>
            </c:strRef>
          </c:tx>
          <c:spPr>
            <a:solidFill>
              <a:schemeClr val="accent4"/>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Electricity_mixes!$B$6:$AH$6</c15:sqref>
                  </c15:fullRef>
                </c:ext>
              </c:extLst>
              <c:f>(Electricity_mixes!$B$6:$E$6,Electricity_mixes!$W$6:$Y$6)</c:f>
            </c:numRef>
          </c:val>
          <c:extLst>
            <c:ext xmlns:c16="http://schemas.microsoft.com/office/drawing/2014/chart" uri="{C3380CC4-5D6E-409C-BE32-E72D297353CC}">
              <c16:uniqueId val="{00000003-1389-48E1-8F0B-2FF3830F7905}"/>
            </c:ext>
          </c:extLst>
        </c:ser>
        <c:ser>
          <c:idx val="4"/>
          <c:order val="4"/>
          <c:tx>
            <c:strRef>
              <c:f>Electricity_mixes!$A$7</c:f>
              <c:strCache>
                <c:ptCount val="1"/>
                <c:pt idx="0">
                  <c:v>Gross Value Added Services (BCHF2010)22</c:v>
                </c:pt>
              </c:strCache>
            </c:strRef>
          </c:tx>
          <c:spPr>
            <a:solidFill>
              <a:schemeClr val="accent5"/>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Electricity_mixes!$B$7:$AH$7</c15:sqref>
                  </c15:fullRef>
                </c:ext>
              </c:extLst>
              <c:f>(Electricity_mixes!$B$7:$E$7,Electricity_mixes!$W$7:$Y$7)</c:f>
            </c:numRef>
          </c:val>
          <c:extLst>
            <c:ext xmlns:c16="http://schemas.microsoft.com/office/drawing/2014/chart" uri="{C3380CC4-5D6E-409C-BE32-E72D297353CC}">
              <c16:uniqueId val="{00000004-1389-48E1-8F0B-2FF3830F7905}"/>
            </c:ext>
          </c:extLst>
        </c:ser>
        <c:ser>
          <c:idx val="5"/>
          <c:order val="5"/>
          <c:tx>
            <c:strRef>
              <c:f>Electricity_mixes!$A$8</c:f>
              <c:strCache>
                <c:ptCount val="1"/>
                <c:pt idx="0">
                  <c:v>Energy Reference Area Industry14</c:v>
                </c:pt>
              </c:strCache>
            </c:strRef>
          </c:tx>
          <c:spPr>
            <a:solidFill>
              <a:schemeClr val="accent6"/>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Electricity_mixes!$B$8:$AH$8</c15:sqref>
                  </c15:fullRef>
                </c:ext>
              </c:extLst>
              <c:f>(Electricity_mixes!$B$8:$E$8,Electricity_mixes!$W$8:$Y$8)</c:f>
            </c:numRef>
          </c:val>
          <c:extLst>
            <c:ext xmlns:c16="http://schemas.microsoft.com/office/drawing/2014/chart" uri="{C3380CC4-5D6E-409C-BE32-E72D297353CC}">
              <c16:uniqueId val="{00000005-1389-48E1-8F0B-2FF3830F7905}"/>
            </c:ext>
          </c:extLst>
        </c:ser>
        <c:ser>
          <c:idx val="6"/>
          <c:order val="6"/>
          <c:tx>
            <c:strRef>
              <c:f>Electricity_mixes!$A$9</c:f>
              <c:strCache>
                <c:ptCount val="1"/>
                <c:pt idx="0">
                  <c:v>Energy Reference Area Services</c:v>
                </c:pt>
              </c:strCache>
            </c:strRef>
          </c:tx>
          <c:spPr>
            <a:solidFill>
              <a:schemeClr val="accent1">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Electricity_mixes!$B$9:$AH$9</c15:sqref>
                  </c15:fullRef>
                </c:ext>
              </c:extLst>
              <c:f>(Electricity_mixes!$B$9:$E$9,Electricity_mixes!$W$9:$Y$9)</c:f>
            </c:numRef>
          </c:val>
          <c:extLst>
            <c:ext xmlns:c16="http://schemas.microsoft.com/office/drawing/2014/chart" uri="{C3380CC4-5D6E-409C-BE32-E72D297353CC}">
              <c16:uniqueId val="{00000006-1389-48E1-8F0B-2FF3830F7905}"/>
            </c:ext>
          </c:extLst>
        </c:ser>
        <c:ser>
          <c:idx val="7"/>
          <c:order val="7"/>
          <c:tx>
            <c:strRef>
              <c:f>Electricity_mixes!$A$10</c:f>
              <c:strCache>
                <c:ptCount val="1"/>
                <c:pt idx="0">
                  <c:v>Energy Reference Area Residential15</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Electricity_mixes!$B$10:$AH$10</c15:sqref>
                  </c15:fullRef>
                </c:ext>
              </c:extLst>
              <c:f>(Electricity_mixes!$B$10:$E$10,Electricity_mixes!$W$10:$Y$10)</c:f>
            </c:numRef>
          </c:val>
          <c:extLst>
            <c:ext xmlns:c16="http://schemas.microsoft.com/office/drawing/2014/chart" uri="{C3380CC4-5D6E-409C-BE32-E72D297353CC}">
              <c16:uniqueId val="{00000007-1389-48E1-8F0B-2FF3830F7905}"/>
            </c:ext>
          </c:extLst>
        </c:ser>
        <c:ser>
          <c:idx val="8"/>
          <c:order val="8"/>
          <c:tx>
            <c:strRef>
              <c:f>Electricity_mixes!$A$11</c:f>
              <c:strCache>
                <c:ptCount val="1"/>
                <c:pt idx="0">
                  <c:v>UPSTREAM SECTOR</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Electricity_mixes!$B$11:$AH$11</c15:sqref>
                  </c15:fullRef>
                </c:ext>
              </c:extLst>
              <c:f>(Electricity_mixes!$B$11:$E$11,Electricity_mixes!$W$11:$Y$11)</c:f>
            </c:numRef>
          </c:val>
          <c:extLst>
            <c:ext xmlns:c16="http://schemas.microsoft.com/office/drawing/2014/chart" uri="{C3380CC4-5D6E-409C-BE32-E72D297353CC}">
              <c16:uniqueId val="{00000008-1389-48E1-8F0B-2FF3830F7905}"/>
            </c:ext>
          </c:extLst>
        </c:ser>
        <c:ser>
          <c:idx val="9"/>
          <c:order val="9"/>
          <c:tx>
            <c:strRef>
              <c:f>Electricity_mixes!$A$12</c:f>
              <c:strCache>
                <c:ptCount val="1"/>
                <c:pt idx="0">
                  <c:v>Domestic Production (PJ/yr.)</c:v>
                </c:pt>
              </c:strCache>
            </c:strRef>
          </c:tx>
          <c:spPr>
            <a:solidFill>
              <a:schemeClr val="accent4">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Electricity_mixes!$B$12:$AH$12</c15:sqref>
                  </c15:fullRef>
                </c:ext>
              </c:extLst>
              <c:f>(Electricity_mixes!$B$12:$E$12,Electricity_mixes!$W$12:$Y$12)</c:f>
            </c:numRef>
          </c:val>
          <c:extLst>
            <c:ext xmlns:c16="http://schemas.microsoft.com/office/drawing/2014/chart" uri="{C3380CC4-5D6E-409C-BE32-E72D297353CC}">
              <c16:uniqueId val="{00000009-1389-48E1-8F0B-2FF3830F7905}"/>
            </c:ext>
          </c:extLst>
        </c:ser>
        <c:ser>
          <c:idx val="10"/>
          <c:order val="10"/>
          <c:tx>
            <c:strRef>
              <c:f>Electricity_mixes!$A$13</c:f>
              <c:strCache>
                <c:ptCount val="1"/>
                <c:pt idx="0">
                  <c:v>Woody biomass</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Electricity_mixes!$B$13:$AH$13</c15:sqref>
                  </c15:fullRef>
                </c:ext>
              </c:extLst>
              <c:f>(Electricity_mixes!$B$13:$E$13,Electricity_mixes!$W$13:$Y$13)</c:f>
            </c:numRef>
          </c:val>
          <c:extLst>
            <c:ext xmlns:c16="http://schemas.microsoft.com/office/drawing/2014/chart" uri="{C3380CC4-5D6E-409C-BE32-E72D297353CC}">
              <c16:uniqueId val="{0000000A-1389-48E1-8F0B-2FF3830F7905}"/>
            </c:ext>
          </c:extLst>
        </c:ser>
        <c:ser>
          <c:idx val="11"/>
          <c:order val="11"/>
          <c:tx>
            <c:strRef>
              <c:f>Electricity_mixes!$A$14</c:f>
              <c:strCache>
                <c:ptCount val="1"/>
                <c:pt idx="0">
                  <c:v>Waste (incl. non renewable waste)1</c:v>
                </c:pt>
              </c:strCache>
            </c:strRef>
          </c:tx>
          <c:spPr>
            <a:solidFill>
              <a:schemeClr val="accent6">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Electricity_mixes!$B$14:$AH$14</c15:sqref>
                  </c15:fullRef>
                </c:ext>
              </c:extLst>
              <c:f>(Electricity_mixes!$B$14:$E$14,Electricity_mixes!$W$14:$Y$14)</c:f>
            </c:numRef>
          </c:val>
          <c:extLst>
            <c:ext xmlns:c16="http://schemas.microsoft.com/office/drawing/2014/chart" uri="{C3380CC4-5D6E-409C-BE32-E72D297353CC}">
              <c16:uniqueId val="{0000000B-1389-48E1-8F0B-2FF3830F7905}"/>
            </c:ext>
          </c:extLst>
        </c:ser>
        <c:ser>
          <c:idx val="12"/>
          <c:order val="12"/>
          <c:tx>
            <c:strRef>
              <c:f>Electricity_mixes!$A$15</c:f>
              <c:strCache>
                <c:ptCount val="1"/>
                <c:pt idx="0">
                  <c:v>Manure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Electricity_mixes!$B$15:$AH$15</c15:sqref>
                  </c15:fullRef>
                </c:ext>
              </c:extLst>
              <c:f>(Electricity_mixes!$B$15:$E$15,Electricity_mixes!$W$15:$Y$15)</c:f>
            </c:numRef>
          </c:val>
          <c:extLst>
            <c:ext xmlns:c16="http://schemas.microsoft.com/office/drawing/2014/chart" uri="{C3380CC4-5D6E-409C-BE32-E72D297353CC}">
              <c16:uniqueId val="{0000000C-1389-48E1-8F0B-2FF3830F7905}"/>
            </c:ext>
          </c:extLst>
        </c:ser>
        <c:ser>
          <c:idx val="13"/>
          <c:order val="13"/>
          <c:tx>
            <c:strRef>
              <c:f>Electricity_mixes!$A$16</c:f>
              <c:strCache>
                <c:ptCount val="1"/>
                <c:pt idx="0">
                  <c:v>Hydro (incl. pump)</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Electricity_mixes!$B$16:$AH$16</c15:sqref>
                  </c15:fullRef>
                </c:ext>
              </c:extLst>
              <c:f>(Electricity_mixes!$B$16:$E$16,Electricity_mixes!$W$16:$Y$16)</c:f>
            </c:numRef>
          </c:val>
          <c:extLst>
            <c:ext xmlns:c16="http://schemas.microsoft.com/office/drawing/2014/chart" uri="{C3380CC4-5D6E-409C-BE32-E72D297353CC}">
              <c16:uniqueId val="{0000000D-1389-48E1-8F0B-2FF3830F7905}"/>
            </c:ext>
          </c:extLst>
        </c:ser>
        <c:ser>
          <c:idx val="14"/>
          <c:order val="14"/>
          <c:tx>
            <c:strRef>
              <c:f>Electricity_mixes!$A$17</c:f>
              <c:strCache>
                <c:ptCount val="1"/>
                <c:pt idx="0">
                  <c:v>Solar</c:v>
                </c:pt>
              </c:strCache>
            </c:strRef>
          </c:tx>
          <c:spPr>
            <a:solidFill>
              <a:schemeClr val="accent3">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Electricity_mixes!$B$17:$AH$17</c15:sqref>
                  </c15:fullRef>
                </c:ext>
              </c:extLst>
              <c:f>(Electricity_mixes!$B$17:$E$17,Electricity_mixes!$W$17:$Y$17)</c:f>
            </c:numRef>
          </c:val>
          <c:extLst>
            <c:ext xmlns:c16="http://schemas.microsoft.com/office/drawing/2014/chart" uri="{C3380CC4-5D6E-409C-BE32-E72D297353CC}">
              <c16:uniqueId val="{0000000E-1389-48E1-8F0B-2FF3830F7905}"/>
            </c:ext>
          </c:extLst>
        </c:ser>
        <c:ser>
          <c:idx val="15"/>
          <c:order val="15"/>
          <c:tx>
            <c:strRef>
              <c:f>Electricity_mixes!$A$18</c:f>
              <c:strCache>
                <c:ptCount val="1"/>
                <c:pt idx="0">
                  <c:v>Wind</c:v>
                </c:pt>
              </c:strCache>
            </c:strRef>
          </c:tx>
          <c:spPr>
            <a:solidFill>
              <a:schemeClr val="accent4">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Electricity_mixes!$B$18:$AH$18</c15:sqref>
                  </c15:fullRef>
                </c:ext>
              </c:extLst>
              <c:f>(Electricity_mixes!$B$18:$E$18,Electricity_mixes!$W$18:$Y$18)</c:f>
            </c:numRef>
          </c:val>
          <c:extLst>
            <c:ext xmlns:c16="http://schemas.microsoft.com/office/drawing/2014/chart" uri="{C3380CC4-5D6E-409C-BE32-E72D297353CC}">
              <c16:uniqueId val="{0000000F-1389-48E1-8F0B-2FF3830F7905}"/>
            </c:ext>
          </c:extLst>
        </c:ser>
        <c:ser>
          <c:idx val="16"/>
          <c:order val="16"/>
          <c:tx>
            <c:strRef>
              <c:f>Electricity_mixes!$A$19</c:f>
              <c:strCache>
                <c:ptCount val="1"/>
                <c:pt idx="0">
                  <c:v>Deep geothermal</c:v>
                </c:pt>
              </c:strCache>
            </c:strRef>
          </c:tx>
          <c:spPr>
            <a:solidFill>
              <a:schemeClr val="accent5">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Electricity_mixes!$B$19:$AH$19</c15:sqref>
                  </c15:fullRef>
                </c:ext>
              </c:extLst>
              <c:f>(Electricity_mixes!$B$19:$E$19,Electricity_mixes!$W$19:$Y$19)</c:f>
            </c:numRef>
          </c:val>
          <c:extLst>
            <c:ext xmlns:c16="http://schemas.microsoft.com/office/drawing/2014/chart" uri="{C3380CC4-5D6E-409C-BE32-E72D297353CC}">
              <c16:uniqueId val="{00000010-1389-48E1-8F0B-2FF3830F7905}"/>
            </c:ext>
          </c:extLst>
        </c:ser>
        <c:ser>
          <c:idx val="17"/>
          <c:order val="17"/>
          <c:tx>
            <c:strRef>
              <c:f>Electricity_mixes!$A$20</c:f>
              <c:strCache>
                <c:ptCount val="1"/>
                <c:pt idx="0">
                  <c:v>Environmental heat</c:v>
                </c:pt>
              </c:strCache>
            </c:strRef>
          </c:tx>
          <c:spPr>
            <a:solidFill>
              <a:schemeClr val="accent6">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Electricity_mixes!$B$20:$AH$20</c15:sqref>
                  </c15:fullRef>
                </c:ext>
              </c:extLst>
              <c:f>(Electricity_mixes!$B$20:$E$20,Electricity_mixes!$W$20:$Y$20)</c:f>
            </c:numRef>
          </c:val>
          <c:extLst>
            <c:ext xmlns:c16="http://schemas.microsoft.com/office/drawing/2014/chart" uri="{C3380CC4-5D6E-409C-BE32-E72D297353CC}">
              <c16:uniqueId val="{00000011-1389-48E1-8F0B-2FF3830F7905}"/>
            </c:ext>
          </c:extLst>
        </c:ser>
        <c:ser>
          <c:idx val="18"/>
          <c:order val="18"/>
          <c:tx>
            <c:strRef>
              <c:f>Electricity_mixes!$A$21</c:f>
              <c:strCache>
                <c:ptCount val="1"/>
                <c:pt idx="0">
                  <c:v>Net Imports (PJ/yr.)</c:v>
                </c:pt>
              </c:strCache>
            </c:strRef>
          </c:tx>
          <c:spPr>
            <a:solidFill>
              <a:schemeClr val="accent1">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Electricity_mixes!$B$21:$AH$21</c15:sqref>
                  </c15:fullRef>
                </c:ext>
              </c:extLst>
              <c:f>(Electricity_mixes!$B$21:$E$21,Electricity_mixes!$W$21:$Y$21)</c:f>
            </c:numRef>
          </c:val>
          <c:extLst>
            <c:ext xmlns:c16="http://schemas.microsoft.com/office/drawing/2014/chart" uri="{C3380CC4-5D6E-409C-BE32-E72D297353CC}">
              <c16:uniqueId val="{00000012-1389-48E1-8F0B-2FF3830F7905}"/>
            </c:ext>
          </c:extLst>
        </c:ser>
        <c:ser>
          <c:idx val="19"/>
          <c:order val="19"/>
          <c:tx>
            <c:strRef>
              <c:f>Electricity_mixes!$A$22</c:f>
              <c:strCache>
                <c:ptCount val="1"/>
                <c:pt idx="0">
                  <c:v>Coal</c:v>
                </c:pt>
              </c:strCache>
            </c:strRef>
          </c:tx>
          <c:spPr>
            <a:solidFill>
              <a:schemeClr val="accent2">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Electricity_mixes!$B$22:$AH$22</c15:sqref>
                  </c15:fullRef>
                </c:ext>
              </c:extLst>
              <c:f>(Electricity_mixes!$B$22:$E$22,Electricity_mixes!$W$22:$Y$22)</c:f>
            </c:numRef>
          </c:val>
          <c:extLst>
            <c:ext xmlns:c16="http://schemas.microsoft.com/office/drawing/2014/chart" uri="{C3380CC4-5D6E-409C-BE32-E72D297353CC}">
              <c16:uniqueId val="{00000013-1389-48E1-8F0B-2FF3830F7905}"/>
            </c:ext>
          </c:extLst>
        </c:ser>
        <c:ser>
          <c:idx val="20"/>
          <c:order val="20"/>
          <c:tx>
            <c:strRef>
              <c:f>Electricity_mixes!$A$23</c:f>
              <c:strCache>
                <c:ptCount val="1"/>
                <c:pt idx="0">
                  <c:v>Crude oil and oil products2</c:v>
                </c:pt>
              </c:strCache>
            </c:strRef>
          </c:tx>
          <c:spPr>
            <a:solidFill>
              <a:schemeClr val="accent3">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Electricity_mixes!$B$23:$AH$23</c15:sqref>
                  </c15:fullRef>
                </c:ext>
              </c:extLst>
              <c:f>(Electricity_mixes!$B$23:$E$23,Electricity_mixes!$W$23:$Y$23)</c:f>
            </c:numRef>
          </c:val>
          <c:extLst>
            <c:ext xmlns:c16="http://schemas.microsoft.com/office/drawing/2014/chart" uri="{C3380CC4-5D6E-409C-BE32-E72D297353CC}">
              <c16:uniqueId val="{00000014-1389-48E1-8F0B-2FF3830F7905}"/>
            </c:ext>
          </c:extLst>
        </c:ser>
        <c:ser>
          <c:idx val="21"/>
          <c:order val="21"/>
          <c:tx>
            <c:strRef>
              <c:f>Electricity_mixes!$A$24</c:f>
              <c:strCache>
                <c:ptCount val="1"/>
                <c:pt idx="0">
                  <c:v>Natural gas</c:v>
                </c:pt>
              </c:strCache>
            </c:strRef>
          </c:tx>
          <c:spPr>
            <a:solidFill>
              <a:schemeClr val="accent4">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Electricity_mixes!$B$24:$AH$24</c15:sqref>
                  </c15:fullRef>
                </c:ext>
              </c:extLst>
              <c:f>(Electricity_mixes!$B$24:$E$24,Electricity_mixes!$W$24:$Y$24)</c:f>
            </c:numRef>
          </c:val>
          <c:extLst>
            <c:ext xmlns:c16="http://schemas.microsoft.com/office/drawing/2014/chart" uri="{C3380CC4-5D6E-409C-BE32-E72D297353CC}">
              <c16:uniqueId val="{00000015-1389-48E1-8F0B-2FF3830F7905}"/>
            </c:ext>
          </c:extLst>
        </c:ser>
        <c:ser>
          <c:idx val="22"/>
          <c:order val="22"/>
          <c:tx>
            <c:strRef>
              <c:f>Electricity_mixes!$A$25</c:f>
              <c:strCache>
                <c:ptCount val="1"/>
                <c:pt idx="0">
                  <c:v>Uranium</c:v>
                </c:pt>
              </c:strCache>
            </c:strRef>
          </c:tx>
          <c:spPr>
            <a:solidFill>
              <a:schemeClr val="accent5">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Electricity_mixes!$B$25:$AH$25</c15:sqref>
                  </c15:fullRef>
                </c:ext>
              </c:extLst>
              <c:f>(Electricity_mixes!$B$25:$E$25,Electricity_mixes!$W$25:$Y$25)</c:f>
            </c:numRef>
          </c:val>
          <c:extLst>
            <c:ext xmlns:c16="http://schemas.microsoft.com/office/drawing/2014/chart" uri="{C3380CC4-5D6E-409C-BE32-E72D297353CC}">
              <c16:uniqueId val="{00000016-1389-48E1-8F0B-2FF3830F7905}"/>
            </c:ext>
          </c:extLst>
        </c:ser>
        <c:ser>
          <c:idx val="23"/>
          <c:order val="23"/>
          <c:tx>
            <c:strRef>
              <c:f>Electricity_mixes!$A$26</c:f>
              <c:strCache>
                <c:ptCount val="1"/>
                <c:pt idx="0">
                  <c:v>Biofuels/e-fuels (liquids or gases)</c:v>
                </c:pt>
              </c:strCache>
            </c:strRef>
          </c:tx>
          <c:spPr>
            <a:solidFill>
              <a:schemeClr val="accent6">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Electricity_mixes!$B$26:$AH$26</c15:sqref>
                  </c15:fullRef>
                </c:ext>
              </c:extLst>
              <c:f>(Electricity_mixes!$B$26:$E$26,Electricity_mixes!$W$26:$Y$26)</c:f>
            </c:numRef>
          </c:val>
          <c:extLst>
            <c:ext xmlns:c16="http://schemas.microsoft.com/office/drawing/2014/chart" uri="{C3380CC4-5D6E-409C-BE32-E72D297353CC}">
              <c16:uniqueId val="{00000017-1389-48E1-8F0B-2FF3830F7905}"/>
            </c:ext>
          </c:extLst>
        </c:ser>
        <c:ser>
          <c:idx val="24"/>
          <c:order val="24"/>
          <c:tx>
            <c:strRef>
              <c:f>Electricity_mixes!$A$27</c:f>
              <c:strCache>
                <c:ptCount val="1"/>
                <c:pt idx="0">
                  <c:v>Electricity</c:v>
                </c:pt>
              </c:strCache>
            </c:strRef>
          </c:tx>
          <c:spPr>
            <a:solidFill>
              <a:schemeClr val="accent1">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Electricity_mixes!$B$27:$AH$27</c15:sqref>
                  </c15:fullRef>
                </c:ext>
              </c:extLst>
              <c:f>(Electricity_mixes!$B$27:$E$27,Electricity_mixes!$W$27:$Y$27)</c:f>
            </c:numRef>
          </c:val>
          <c:extLst>
            <c:ext xmlns:c16="http://schemas.microsoft.com/office/drawing/2014/chart" uri="{C3380CC4-5D6E-409C-BE32-E72D297353CC}">
              <c16:uniqueId val="{00000018-1389-48E1-8F0B-2FF3830F7905}"/>
            </c:ext>
          </c:extLst>
        </c:ser>
        <c:ser>
          <c:idx val="25"/>
          <c:order val="25"/>
          <c:tx>
            <c:strRef>
              <c:f>Electricity_mixes!$A$28</c:f>
              <c:strCache>
                <c:ptCount val="1"/>
                <c:pt idx="0">
                  <c:v>Hydrogen</c:v>
                </c:pt>
              </c:strCache>
            </c:strRef>
          </c:tx>
          <c:spPr>
            <a:solidFill>
              <a:schemeClr val="accent2">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Electricity_mixes!$B$28:$AH$28</c15:sqref>
                  </c15:fullRef>
                </c:ext>
              </c:extLst>
              <c:f>(Electricity_mixes!$B$28:$E$28,Electricity_mixes!$W$28:$Y$28)</c:f>
            </c:numRef>
          </c:val>
          <c:extLst>
            <c:ext xmlns:c16="http://schemas.microsoft.com/office/drawing/2014/chart" uri="{C3380CC4-5D6E-409C-BE32-E72D297353CC}">
              <c16:uniqueId val="{00000019-1389-48E1-8F0B-2FF3830F7905}"/>
            </c:ext>
          </c:extLst>
        </c:ser>
        <c:ser>
          <c:idx val="26"/>
          <c:order val="26"/>
          <c:tx>
            <c:strRef>
              <c:f>Electricity_mixes!$A$29</c:f>
              <c:strCache>
                <c:ptCount val="1"/>
                <c:pt idx="0">
                  <c:v>Primary energy consumption (PJ/yr.)</c:v>
                </c:pt>
              </c:strCache>
            </c:strRef>
          </c:tx>
          <c:spPr>
            <a:solidFill>
              <a:schemeClr val="accent3">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Electricity_mixes!$B$29:$AH$29</c15:sqref>
                  </c15:fullRef>
                </c:ext>
              </c:extLst>
              <c:f>(Electricity_mixes!$B$29:$E$29,Electricity_mixes!$W$29:$Y$29)</c:f>
            </c:numRef>
          </c:val>
          <c:extLst>
            <c:ext xmlns:c16="http://schemas.microsoft.com/office/drawing/2014/chart" uri="{C3380CC4-5D6E-409C-BE32-E72D297353CC}">
              <c16:uniqueId val="{0000001A-1389-48E1-8F0B-2FF3830F7905}"/>
            </c:ext>
          </c:extLst>
        </c:ser>
        <c:ser>
          <c:idx val="27"/>
          <c:order val="27"/>
          <c:tx>
            <c:strRef>
              <c:f>Electricity_mixes!$A$30</c:f>
              <c:strCache>
                <c:ptCount val="1"/>
                <c:pt idx="0">
                  <c:v>Coal</c:v>
                </c:pt>
              </c:strCache>
            </c:strRef>
          </c:tx>
          <c:spPr>
            <a:solidFill>
              <a:schemeClr val="accent4">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Electricity_mixes!$B$30:$AH$30</c15:sqref>
                  </c15:fullRef>
                </c:ext>
              </c:extLst>
              <c:f>(Electricity_mixes!$B$30:$E$30,Electricity_mixes!$W$30:$Y$30)</c:f>
            </c:numRef>
          </c:val>
          <c:extLst>
            <c:ext xmlns:c16="http://schemas.microsoft.com/office/drawing/2014/chart" uri="{C3380CC4-5D6E-409C-BE32-E72D297353CC}">
              <c16:uniqueId val="{0000001B-1389-48E1-8F0B-2FF3830F7905}"/>
            </c:ext>
          </c:extLst>
        </c:ser>
        <c:ser>
          <c:idx val="28"/>
          <c:order val="28"/>
          <c:tx>
            <c:strRef>
              <c:f>Electricity_mixes!$A$31</c:f>
              <c:strCache>
                <c:ptCount val="1"/>
                <c:pt idx="0">
                  <c:v>Crude oil and oil products2</c:v>
                </c:pt>
              </c:strCache>
            </c:strRef>
          </c:tx>
          <c:spPr>
            <a:solidFill>
              <a:schemeClr val="accent5">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Electricity_mixes!$B$31:$AH$31</c15:sqref>
                  </c15:fullRef>
                </c:ext>
              </c:extLst>
              <c:f>(Electricity_mixes!$B$31:$E$31,Electricity_mixes!$W$31:$Y$31)</c:f>
            </c:numRef>
          </c:val>
          <c:extLst>
            <c:ext xmlns:c16="http://schemas.microsoft.com/office/drawing/2014/chart" uri="{C3380CC4-5D6E-409C-BE32-E72D297353CC}">
              <c16:uniqueId val="{0000001C-1389-48E1-8F0B-2FF3830F7905}"/>
            </c:ext>
          </c:extLst>
        </c:ser>
        <c:ser>
          <c:idx val="29"/>
          <c:order val="29"/>
          <c:tx>
            <c:strRef>
              <c:f>Electricity_mixes!$A$32</c:f>
              <c:strCache>
                <c:ptCount val="1"/>
                <c:pt idx="0">
                  <c:v>Natural gas</c:v>
                </c:pt>
              </c:strCache>
            </c:strRef>
          </c:tx>
          <c:spPr>
            <a:solidFill>
              <a:schemeClr val="accent6">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Electricity_mixes!$B$32:$AH$32</c15:sqref>
                  </c15:fullRef>
                </c:ext>
              </c:extLst>
              <c:f>(Electricity_mixes!$B$32:$E$32,Electricity_mixes!$W$32:$Y$32)</c:f>
            </c:numRef>
          </c:val>
          <c:extLst>
            <c:ext xmlns:c16="http://schemas.microsoft.com/office/drawing/2014/chart" uri="{C3380CC4-5D6E-409C-BE32-E72D297353CC}">
              <c16:uniqueId val="{0000001D-1389-48E1-8F0B-2FF3830F7905}"/>
            </c:ext>
          </c:extLst>
        </c:ser>
        <c:ser>
          <c:idx val="30"/>
          <c:order val="30"/>
          <c:tx>
            <c:strRef>
              <c:f>Electricity_mixes!$A$33</c:f>
              <c:strCache>
                <c:ptCount val="1"/>
                <c:pt idx="0">
                  <c:v>Uranium</c:v>
                </c:pt>
              </c:strCache>
            </c:strRef>
          </c:tx>
          <c:spPr>
            <a:solidFill>
              <a:schemeClr val="accent1">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Electricity_mixes!$B$33:$AH$33</c15:sqref>
                  </c15:fullRef>
                </c:ext>
              </c:extLst>
              <c:f>(Electricity_mixes!$B$33:$E$33,Electricity_mixes!$W$33:$Y$33)</c:f>
            </c:numRef>
          </c:val>
          <c:extLst>
            <c:ext xmlns:c16="http://schemas.microsoft.com/office/drawing/2014/chart" uri="{C3380CC4-5D6E-409C-BE32-E72D297353CC}">
              <c16:uniqueId val="{0000001E-1389-48E1-8F0B-2FF3830F7905}"/>
            </c:ext>
          </c:extLst>
        </c:ser>
        <c:ser>
          <c:idx val="31"/>
          <c:order val="31"/>
          <c:tx>
            <c:strRef>
              <c:f>Electricity_mixes!$A$34</c:f>
              <c:strCache>
                <c:ptCount val="1"/>
                <c:pt idx="0">
                  <c:v>Woody biomass</c:v>
                </c:pt>
              </c:strCache>
            </c:strRef>
          </c:tx>
          <c:spPr>
            <a:solidFill>
              <a:schemeClr val="accent2">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Electricity_mixes!$B$34:$AH$34</c15:sqref>
                  </c15:fullRef>
                </c:ext>
              </c:extLst>
              <c:f>(Electricity_mixes!$B$34:$E$34,Electricity_mixes!$W$34:$Y$34)</c:f>
            </c:numRef>
          </c:val>
          <c:extLst>
            <c:ext xmlns:c16="http://schemas.microsoft.com/office/drawing/2014/chart" uri="{C3380CC4-5D6E-409C-BE32-E72D297353CC}">
              <c16:uniqueId val="{0000001F-1389-48E1-8F0B-2FF3830F7905}"/>
            </c:ext>
          </c:extLst>
        </c:ser>
        <c:ser>
          <c:idx val="32"/>
          <c:order val="32"/>
          <c:tx>
            <c:strRef>
              <c:f>Electricity_mixes!$A$35</c:f>
              <c:strCache>
                <c:ptCount val="1"/>
                <c:pt idx="0">
                  <c:v>Waste (incl. non renewable waste)</c:v>
                </c:pt>
              </c:strCache>
            </c:strRef>
          </c:tx>
          <c:spPr>
            <a:solidFill>
              <a:schemeClr val="accent3">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Electricity_mixes!$B$35:$AH$35</c15:sqref>
                  </c15:fullRef>
                </c:ext>
              </c:extLst>
              <c:f>(Electricity_mixes!$B$35:$E$35,Electricity_mixes!$W$35:$Y$35)</c:f>
            </c:numRef>
          </c:val>
          <c:extLst>
            <c:ext xmlns:c16="http://schemas.microsoft.com/office/drawing/2014/chart" uri="{C3380CC4-5D6E-409C-BE32-E72D297353CC}">
              <c16:uniqueId val="{00000020-1389-48E1-8F0B-2FF3830F7905}"/>
            </c:ext>
          </c:extLst>
        </c:ser>
        <c:ser>
          <c:idx val="33"/>
          <c:order val="33"/>
          <c:tx>
            <c:strRef>
              <c:f>Electricity_mixes!$A$36</c:f>
              <c:strCache>
                <c:ptCount val="1"/>
                <c:pt idx="0">
                  <c:v>Manure1</c:v>
                </c:pt>
              </c:strCache>
            </c:strRef>
          </c:tx>
          <c:spPr>
            <a:solidFill>
              <a:schemeClr val="accent4">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Electricity_mixes!$B$36:$AH$36</c15:sqref>
                  </c15:fullRef>
                </c:ext>
              </c:extLst>
              <c:f>(Electricity_mixes!$B$36:$E$36,Electricity_mixes!$W$36:$Y$36)</c:f>
            </c:numRef>
          </c:val>
          <c:extLst>
            <c:ext xmlns:c16="http://schemas.microsoft.com/office/drawing/2014/chart" uri="{C3380CC4-5D6E-409C-BE32-E72D297353CC}">
              <c16:uniqueId val="{00000021-1389-48E1-8F0B-2FF3830F7905}"/>
            </c:ext>
          </c:extLst>
        </c:ser>
        <c:ser>
          <c:idx val="34"/>
          <c:order val="34"/>
          <c:tx>
            <c:strRef>
              <c:f>Electricity_mixes!$A$37</c:f>
              <c:strCache>
                <c:ptCount val="1"/>
                <c:pt idx="0">
                  <c:v>Biofuels/e-fuels (liquids or gases)</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Electricity_mixes!$B$37:$AH$37</c15:sqref>
                  </c15:fullRef>
                </c:ext>
              </c:extLst>
              <c:f>(Electricity_mixes!$B$37:$E$37,Electricity_mixes!$W$37:$Y$37)</c:f>
            </c:numRef>
          </c:val>
          <c:extLst>
            <c:ext xmlns:c16="http://schemas.microsoft.com/office/drawing/2014/chart" uri="{C3380CC4-5D6E-409C-BE32-E72D297353CC}">
              <c16:uniqueId val="{00000022-1389-48E1-8F0B-2FF3830F7905}"/>
            </c:ext>
          </c:extLst>
        </c:ser>
        <c:ser>
          <c:idx val="35"/>
          <c:order val="35"/>
          <c:tx>
            <c:strRef>
              <c:f>Electricity_mixes!$A$38</c:f>
              <c:strCache>
                <c:ptCount val="1"/>
                <c:pt idx="0">
                  <c:v>Hydro (incl. pump)</c:v>
                </c:pt>
              </c:strCache>
            </c:strRef>
          </c:tx>
          <c:spPr>
            <a:solidFill>
              <a:schemeClr val="accent6">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Electricity_mixes!$B$38:$AH$38</c15:sqref>
                  </c15:fullRef>
                </c:ext>
              </c:extLst>
              <c:f>(Electricity_mixes!$B$38:$E$38,Electricity_mixes!$W$38:$Y$38)</c:f>
            </c:numRef>
          </c:val>
          <c:extLst>
            <c:ext xmlns:c16="http://schemas.microsoft.com/office/drawing/2014/chart" uri="{C3380CC4-5D6E-409C-BE32-E72D297353CC}">
              <c16:uniqueId val="{00000023-1389-48E1-8F0B-2FF3830F7905}"/>
            </c:ext>
          </c:extLst>
        </c:ser>
        <c:ser>
          <c:idx val="36"/>
          <c:order val="36"/>
          <c:tx>
            <c:strRef>
              <c:f>Electricity_mixes!$A$39</c:f>
              <c:strCache>
                <c:ptCount val="1"/>
                <c:pt idx="0">
                  <c:v>Solar</c:v>
                </c:pt>
              </c:strCache>
            </c:strRef>
          </c:tx>
          <c:spPr>
            <a:solidFill>
              <a:schemeClr val="accent1">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Electricity_mixes!$B$39:$AH$39</c15:sqref>
                  </c15:fullRef>
                </c:ext>
              </c:extLst>
              <c:f>(Electricity_mixes!$B$39:$E$39,Electricity_mixes!$W$39:$Y$39)</c:f>
            </c:numRef>
          </c:val>
          <c:extLst>
            <c:ext xmlns:c16="http://schemas.microsoft.com/office/drawing/2014/chart" uri="{C3380CC4-5D6E-409C-BE32-E72D297353CC}">
              <c16:uniqueId val="{00000024-1389-48E1-8F0B-2FF3830F7905}"/>
            </c:ext>
          </c:extLst>
        </c:ser>
        <c:ser>
          <c:idx val="37"/>
          <c:order val="37"/>
          <c:tx>
            <c:strRef>
              <c:f>Electricity_mixes!$A$40</c:f>
              <c:strCache>
                <c:ptCount val="1"/>
                <c:pt idx="0">
                  <c:v>Wind</c:v>
                </c:pt>
              </c:strCache>
            </c:strRef>
          </c:tx>
          <c:spPr>
            <a:solidFill>
              <a:schemeClr val="accent2">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Electricity_mixes!$B$40:$AH$40</c15:sqref>
                  </c15:fullRef>
                </c:ext>
              </c:extLst>
              <c:f>(Electricity_mixes!$B$40:$E$40,Electricity_mixes!$W$40:$Y$40)</c:f>
            </c:numRef>
          </c:val>
          <c:extLst>
            <c:ext xmlns:c16="http://schemas.microsoft.com/office/drawing/2014/chart" uri="{C3380CC4-5D6E-409C-BE32-E72D297353CC}">
              <c16:uniqueId val="{00000025-1389-48E1-8F0B-2FF3830F7905}"/>
            </c:ext>
          </c:extLst>
        </c:ser>
        <c:ser>
          <c:idx val="38"/>
          <c:order val="38"/>
          <c:tx>
            <c:strRef>
              <c:f>Electricity_mixes!$A$41</c:f>
              <c:strCache>
                <c:ptCount val="1"/>
                <c:pt idx="0">
                  <c:v>Deep geothermal</c:v>
                </c:pt>
              </c:strCache>
            </c:strRef>
          </c:tx>
          <c:spPr>
            <a:solidFill>
              <a:schemeClr val="accent3">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Electricity_mixes!$B$41:$AH$41</c15:sqref>
                  </c15:fullRef>
                </c:ext>
              </c:extLst>
              <c:f>(Electricity_mixes!$B$41:$E$41,Electricity_mixes!$W$41:$Y$41)</c:f>
            </c:numRef>
          </c:val>
          <c:extLst>
            <c:ext xmlns:c16="http://schemas.microsoft.com/office/drawing/2014/chart" uri="{C3380CC4-5D6E-409C-BE32-E72D297353CC}">
              <c16:uniqueId val="{00000026-1389-48E1-8F0B-2FF3830F7905}"/>
            </c:ext>
          </c:extLst>
        </c:ser>
        <c:ser>
          <c:idx val="39"/>
          <c:order val="39"/>
          <c:tx>
            <c:strRef>
              <c:f>Electricity_mixes!$A$42</c:f>
              <c:strCache>
                <c:ptCount val="1"/>
                <c:pt idx="0">
                  <c:v>Environmental heat</c:v>
                </c:pt>
              </c:strCache>
            </c:strRef>
          </c:tx>
          <c:spPr>
            <a:solidFill>
              <a:schemeClr val="accent4">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Electricity_mixes!$B$42:$AH$42</c15:sqref>
                  </c15:fullRef>
                </c:ext>
              </c:extLst>
              <c:f>(Electricity_mixes!$B$42:$E$42,Electricity_mixes!$W$42:$Y$42)</c:f>
            </c:numRef>
          </c:val>
          <c:extLst>
            <c:ext xmlns:c16="http://schemas.microsoft.com/office/drawing/2014/chart" uri="{C3380CC4-5D6E-409C-BE32-E72D297353CC}">
              <c16:uniqueId val="{00000027-1389-48E1-8F0B-2FF3830F7905}"/>
            </c:ext>
          </c:extLst>
        </c:ser>
        <c:ser>
          <c:idx val="40"/>
          <c:order val="40"/>
          <c:tx>
            <c:strRef>
              <c:f>Electricity_mixes!$A$43</c:f>
              <c:strCache>
                <c:ptCount val="1"/>
                <c:pt idx="0">
                  <c:v>Electricity</c:v>
                </c:pt>
              </c:strCache>
            </c:strRef>
          </c:tx>
          <c:spPr>
            <a:solidFill>
              <a:schemeClr val="accent5">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Electricity_mixes!$B$43:$AH$43</c15:sqref>
                  </c15:fullRef>
                </c:ext>
              </c:extLst>
              <c:f>(Electricity_mixes!$B$43:$E$43,Electricity_mixes!$W$43:$Y$43)</c:f>
            </c:numRef>
          </c:val>
          <c:extLst>
            <c:ext xmlns:c16="http://schemas.microsoft.com/office/drawing/2014/chart" uri="{C3380CC4-5D6E-409C-BE32-E72D297353CC}">
              <c16:uniqueId val="{00000028-1389-48E1-8F0B-2FF3830F7905}"/>
            </c:ext>
          </c:extLst>
        </c:ser>
        <c:ser>
          <c:idx val="41"/>
          <c:order val="41"/>
          <c:tx>
            <c:strRef>
              <c:f>Electricity_mixes!$A$44</c:f>
              <c:strCache>
                <c:ptCount val="1"/>
                <c:pt idx="0">
                  <c:v>Hydrogen</c:v>
                </c:pt>
              </c:strCache>
            </c:strRef>
          </c:tx>
          <c:spPr>
            <a:solidFill>
              <a:schemeClr val="accent6">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Electricity_mixes!$B$44:$AH$44</c15:sqref>
                  </c15:fullRef>
                </c:ext>
              </c:extLst>
              <c:f>(Electricity_mixes!$B$44:$E$44,Electricity_mixes!$W$44:$Y$44)</c:f>
            </c:numRef>
          </c:val>
          <c:extLst>
            <c:ext xmlns:c16="http://schemas.microsoft.com/office/drawing/2014/chart" uri="{C3380CC4-5D6E-409C-BE32-E72D297353CC}">
              <c16:uniqueId val="{00000029-1389-48E1-8F0B-2FF3830F7905}"/>
            </c:ext>
          </c:extLst>
        </c:ser>
        <c:ser>
          <c:idx val="42"/>
          <c:order val="42"/>
          <c:tx>
            <c:strRef>
              <c:f>Electricity_mixes!$A$45</c:f>
              <c:strCache>
                <c:ptCount val="1"/>
                <c:pt idx="0">
                  <c:v>ENERGY CONVERSION SECTOR</c:v>
                </c:pt>
              </c:strCache>
            </c:strRef>
          </c:tx>
          <c:spPr>
            <a:solidFill>
              <a:schemeClr val="accent1">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Electricity_mixes!$B$45:$AH$45</c15:sqref>
                  </c15:fullRef>
                </c:ext>
              </c:extLst>
              <c:f>(Electricity_mixes!$B$45:$E$45,Electricity_mixes!$W$45:$Y$45)</c:f>
            </c:numRef>
          </c:val>
          <c:extLst>
            <c:ext xmlns:c16="http://schemas.microsoft.com/office/drawing/2014/chart" uri="{C3380CC4-5D6E-409C-BE32-E72D297353CC}">
              <c16:uniqueId val="{0000002A-1389-48E1-8F0B-2FF3830F7905}"/>
            </c:ext>
          </c:extLst>
        </c:ser>
        <c:ser>
          <c:idx val="43"/>
          <c:order val="43"/>
          <c:tx>
            <c:strRef>
              <c:f>Electricity_mixes!$A$46</c:f>
              <c:strCache>
                <c:ptCount val="1"/>
                <c:pt idx="0">
                  <c:v>Fuel input for electricity and CHPs (PJ/yr.)3</c:v>
                </c:pt>
              </c:strCache>
            </c:strRef>
          </c:tx>
          <c:spPr>
            <a:solidFill>
              <a:schemeClr val="accent2">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Electricity_mixes!$B$46:$AH$46</c15:sqref>
                  </c15:fullRef>
                </c:ext>
              </c:extLst>
              <c:f>(Electricity_mixes!$B$46:$E$46,Electricity_mixes!$W$46:$Y$46)</c:f>
            </c:numRef>
          </c:val>
          <c:extLst>
            <c:ext xmlns:c16="http://schemas.microsoft.com/office/drawing/2014/chart" uri="{C3380CC4-5D6E-409C-BE32-E72D297353CC}">
              <c16:uniqueId val="{0000002B-1389-48E1-8F0B-2FF3830F7905}"/>
            </c:ext>
          </c:extLst>
        </c:ser>
        <c:ser>
          <c:idx val="44"/>
          <c:order val="44"/>
          <c:tx>
            <c:strRef>
              <c:f>Electricity_mixes!$A$47</c:f>
              <c:strCache>
                <c:ptCount val="1"/>
                <c:pt idx="0">
                  <c:v>Oil products (incl. bioliquids and synthetic liquids)</c:v>
                </c:pt>
              </c:strCache>
            </c:strRef>
          </c:tx>
          <c:spPr>
            <a:solidFill>
              <a:schemeClr val="accent3">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Electricity_mixes!$B$47:$AH$47</c15:sqref>
                  </c15:fullRef>
                </c:ext>
              </c:extLst>
              <c:f>(Electricity_mixes!$B$47:$E$47,Electricity_mixes!$W$47:$Y$47)</c:f>
            </c:numRef>
          </c:val>
          <c:extLst>
            <c:ext xmlns:c16="http://schemas.microsoft.com/office/drawing/2014/chart" uri="{C3380CC4-5D6E-409C-BE32-E72D297353CC}">
              <c16:uniqueId val="{0000002C-1389-48E1-8F0B-2FF3830F7905}"/>
            </c:ext>
          </c:extLst>
        </c:ser>
        <c:ser>
          <c:idx val="45"/>
          <c:order val="45"/>
          <c:tx>
            <c:strRef>
              <c:f>Electricity_mixes!$A$48</c:f>
              <c:strCache>
                <c:ptCount val="1"/>
                <c:pt idx="0">
                  <c:v>Gas (natural gas and biomethane)4</c:v>
                </c:pt>
              </c:strCache>
            </c:strRef>
          </c:tx>
          <c:spPr>
            <a:solidFill>
              <a:schemeClr val="accent4">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Electricity_mixes!$B$48:$AH$48</c15:sqref>
                  </c15:fullRef>
                </c:ext>
              </c:extLst>
              <c:f>(Electricity_mixes!$B$48:$E$48,Electricity_mixes!$W$48:$Y$48)</c:f>
            </c:numRef>
          </c:val>
          <c:extLst>
            <c:ext xmlns:c16="http://schemas.microsoft.com/office/drawing/2014/chart" uri="{C3380CC4-5D6E-409C-BE32-E72D297353CC}">
              <c16:uniqueId val="{0000002D-1389-48E1-8F0B-2FF3830F7905}"/>
            </c:ext>
          </c:extLst>
        </c:ser>
        <c:ser>
          <c:idx val="46"/>
          <c:order val="46"/>
          <c:tx>
            <c:strRef>
              <c:f>Electricity_mixes!$A$49</c:f>
              <c:strCache>
                <c:ptCount val="1"/>
                <c:pt idx="0">
                  <c:v>Uranium</c:v>
                </c:pt>
              </c:strCache>
            </c:strRef>
          </c:tx>
          <c:spPr>
            <a:solidFill>
              <a:schemeClr val="accent5">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Electricity_mixes!$B$49:$AH$49</c15:sqref>
                  </c15:fullRef>
                </c:ext>
              </c:extLst>
              <c:f>(Electricity_mixes!$B$49:$E$49,Electricity_mixes!$W$49:$Y$49)</c:f>
            </c:numRef>
          </c:val>
          <c:extLst>
            <c:ext xmlns:c16="http://schemas.microsoft.com/office/drawing/2014/chart" uri="{C3380CC4-5D6E-409C-BE32-E72D297353CC}">
              <c16:uniqueId val="{0000002E-1389-48E1-8F0B-2FF3830F7905}"/>
            </c:ext>
          </c:extLst>
        </c:ser>
        <c:ser>
          <c:idx val="47"/>
          <c:order val="47"/>
          <c:tx>
            <c:strRef>
              <c:f>Electricity_mixes!$A$50</c:f>
              <c:strCache>
                <c:ptCount val="1"/>
                <c:pt idx="0">
                  <c:v>Woody biomass</c:v>
                </c:pt>
              </c:strCache>
            </c:strRef>
          </c:tx>
          <c:spPr>
            <a:solidFill>
              <a:schemeClr val="accent6">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Electricity_mixes!$B$50:$AH$50</c15:sqref>
                  </c15:fullRef>
                </c:ext>
              </c:extLst>
              <c:f>(Electricity_mixes!$B$50:$E$50,Electricity_mixes!$W$50:$Y$50)</c:f>
            </c:numRef>
          </c:val>
          <c:extLst>
            <c:ext xmlns:c16="http://schemas.microsoft.com/office/drawing/2014/chart" uri="{C3380CC4-5D6E-409C-BE32-E72D297353CC}">
              <c16:uniqueId val="{0000002F-1389-48E1-8F0B-2FF3830F7905}"/>
            </c:ext>
          </c:extLst>
        </c:ser>
        <c:ser>
          <c:idx val="48"/>
          <c:order val="48"/>
          <c:tx>
            <c:strRef>
              <c:f>Electricity_mixes!$A$51</c:f>
              <c:strCache>
                <c:ptCount val="1"/>
                <c:pt idx="0">
                  <c:v>Waste (incl. non renewable waste)</c:v>
                </c:pt>
              </c:strCache>
            </c:strRef>
          </c:tx>
          <c:spPr>
            <a:solidFill>
              <a:schemeClr val="accent1">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Electricity_mixes!$B$51:$AH$51</c15:sqref>
                  </c15:fullRef>
                </c:ext>
              </c:extLst>
              <c:f>(Electricity_mixes!$B$51:$E$51,Electricity_mixes!$W$51:$Y$51)</c:f>
            </c:numRef>
          </c:val>
          <c:extLst>
            <c:ext xmlns:c16="http://schemas.microsoft.com/office/drawing/2014/chart" uri="{C3380CC4-5D6E-409C-BE32-E72D297353CC}">
              <c16:uniqueId val="{00000030-1389-48E1-8F0B-2FF3830F7905}"/>
            </c:ext>
          </c:extLst>
        </c:ser>
        <c:ser>
          <c:idx val="49"/>
          <c:order val="49"/>
          <c:tx>
            <c:strRef>
              <c:f>Electricity_mixes!$A$52</c:f>
              <c:strCache>
                <c:ptCount val="1"/>
                <c:pt idx="0">
                  <c:v>Biogas</c:v>
                </c:pt>
              </c:strCache>
            </c:strRef>
          </c:tx>
          <c:spPr>
            <a:solidFill>
              <a:schemeClr val="accent2">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Electricity_mixes!$B$52:$AH$52</c15:sqref>
                  </c15:fullRef>
                </c:ext>
              </c:extLst>
              <c:f>(Electricity_mixes!$B$52:$E$52,Electricity_mixes!$W$52:$Y$52)</c:f>
            </c:numRef>
          </c:val>
          <c:extLst>
            <c:ext xmlns:c16="http://schemas.microsoft.com/office/drawing/2014/chart" uri="{C3380CC4-5D6E-409C-BE32-E72D297353CC}">
              <c16:uniqueId val="{00000031-1389-48E1-8F0B-2FF3830F7905}"/>
            </c:ext>
          </c:extLst>
        </c:ser>
        <c:ser>
          <c:idx val="50"/>
          <c:order val="50"/>
          <c:tx>
            <c:strRef>
              <c:f>Electricity_mixes!$A$53</c:f>
              <c:strCache>
                <c:ptCount val="1"/>
                <c:pt idx="0">
                  <c:v>Hydro (excluding pump storage)</c:v>
                </c:pt>
              </c:strCache>
            </c:strRef>
          </c:tx>
          <c:spPr>
            <a:solidFill>
              <a:schemeClr val="accent3">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Electricity_mixes!$B$53:$AH$53</c15:sqref>
                  </c15:fullRef>
                </c:ext>
              </c:extLst>
              <c:f>(Electricity_mixes!$B$53:$E$53,Electricity_mixes!$W$53:$Y$53)</c:f>
            </c:numRef>
          </c:val>
          <c:extLst>
            <c:ext xmlns:c16="http://schemas.microsoft.com/office/drawing/2014/chart" uri="{C3380CC4-5D6E-409C-BE32-E72D297353CC}">
              <c16:uniqueId val="{00000032-1389-48E1-8F0B-2FF3830F7905}"/>
            </c:ext>
          </c:extLst>
        </c:ser>
        <c:ser>
          <c:idx val="51"/>
          <c:order val="51"/>
          <c:tx>
            <c:strRef>
              <c:f>Electricity_mixes!$A$54</c:f>
              <c:strCache>
                <c:ptCount val="1"/>
                <c:pt idx="0">
                  <c:v>Solar</c:v>
                </c:pt>
              </c:strCache>
            </c:strRef>
          </c:tx>
          <c:spPr>
            <a:solidFill>
              <a:schemeClr val="accent4">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Electricity_mixes!$B$54:$AH$54</c15:sqref>
                  </c15:fullRef>
                </c:ext>
              </c:extLst>
              <c:f>(Electricity_mixes!$B$54:$E$54,Electricity_mixes!$W$54:$Y$54)</c:f>
            </c:numRef>
          </c:val>
          <c:extLst>
            <c:ext xmlns:c16="http://schemas.microsoft.com/office/drawing/2014/chart" uri="{C3380CC4-5D6E-409C-BE32-E72D297353CC}">
              <c16:uniqueId val="{00000033-1389-48E1-8F0B-2FF3830F7905}"/>
            </c:ext>
          </c:extLst>
        </c:ser>
        <c:ser>
          <c:idx val="52"/>
          <c:order val="52"/>
          <c:tx>
            <c:strRef>
              <c:f>Electricity_mixes!$A$55</c:f>
              <c:strCache>
                <c:ptCount val="1"/>
                <c:pt idx="0">
                  <c:v>Wind</c:v>
                </c:pt>
              </c:strCache>
            </c:strRef>
          </c:tx>
          <c:spPr>
            <a:solidFill>
              <a:schemeClr val="accent5">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Electricity_mixes!$B$55:$AH$55</c15:sqref>
                  </c15:fullRef>
                </c:ext>
              </c:extLst>
              <c:f>(Electricity_mixes!$B$55:$E$55,Electricity_mixes!$W$55:$Y$55)</c:f>
            </c:numRef>
          </c:val>
          <c:extLst>
            <c:ext xmlns:c16="http://schemas.microsoft.com/office/drawing/2014/chart" uri="{C3380CC4-5D6E-409C-BE32-E72D297353CC}">
              <c16:uniqueId val="{00000034-1389-48E1-8F0B-2FF3830F7905}"/>
            </c:ext>
          </c:extLst>
        </c:ser>
        <c:ser>
          <c:idx val="53"/>
          <c:order val="53"/>
          <c:tx>
            <c:strRef>
              <c:f>Electricity_mixes!$A$56</c:f>
              <c:strCache>
                <c:ptCount val="1"/>
                <c:pt idx="0">
                  <c:v>Deep geothermal</c:v>
                </c:pt>
              </c:strCache>
            </c:strRef>
          </c:tx>
          <c:spPr>
            <a:solidFill>
              <a:schemeClr val="accent6">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Electricity_mixes!$B$56:$AH$56</c15:sqref>
                  </c15:fullRef>
                </c:ext>
              </c:extLst>
              <c:f>(Electricity_mixes!$B$56:$E$56,Electricity_mixes!$W$56:$Y$56)</c:f>
            </c:numRef>
          </c:val>
          <c:extLst>
            <c:ext xmlns:c16="http://schemas.microsoft.com/office/drawing/2014/chart" uri="{C3380CC4-5D6E-409C-BE32-E72D297353CC}">
              <c16:uniqueId val="{00000035-1389-48E1-8F0B-2FF3830F7905}"/>
            </c:ext>
          </c:extLst>
        </c:ser>
        <c:ser>
          <c:idx val="54"/>
          <c:order val="54"/>
          <c:tx>
            <c:strRef>
              <c:f>Electricity_mixes!$A$57</c:f>
              <c:strCache>
                <c:ptCount val="1"/>
                <c:pt idx="0">
                  <c:v>Hydrogen</c:v>
                </c:pt>
              </c:strCache>
            </c:strRef>
          </c:tx>
          <c:spPr>
            <a:solidFill>
              <a:schemeClr val="accent1"/>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Electricity_mixes!$B$57:$AH$57</c15:sqref>
                  </c15:fullRef>
                </c:ext>
              </c:extLst>
              <c:f>(Electricity_mixes!$B$57:$E$57,Electricity_mixes!$W$57:$Y$57)</c:f>
            </c:numRef>
          </c:val>
          <c:extLst>
            <c:ext xmlns:c16="http://schemas.microsoft.com/office/drawing/2014/chart" uri="{C3380CC4-5D6E-409C-BE32-E72D297353CC}">
              <c16:uniqueId val="{00000036-1389-48E1-8F0B-2FF3830F7905}"/>
            </c:ext>
          </c:extLst>
        </c:ser>
        <c:ser>
          <c:idx val="55"/>
          <c:order val="55"/>
          <c:tx>
            <c:strRef>
              <c:f>Electricity_mixes!$A$58</c:f>
              <c:strCache>
                <c:ptCount val="1"/>
                <c:pt idx="0">
                  <c:v>Electricity consumption in storages (TWh/yr.)</c:v>
                </c:pt>
              </c:strCache>
            </c:strRef>
          </c:tx>
          <c:spPr>
            <a:solidFill>
              <a:schemeClr val="accent2"/>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Electricity_mixes!$B$58:$AH$58</c15:sqref>
                  </c15:fullRef>
                </c:ext>
              </c:extLst>
              <c:f>(Electricity_mixes!$B$58:$E$58,Electricity_mixes!$W$58:$Y$58)</c:f>
            </c:numRef>
          </c:val>
          <c:extLst>
            <c:ext xmlns:c16="http://schemas.microsoft.com/office/drawing/2014/chart" uri="{C3380CC4-5D6E-409C-BE32-E72D297353CC}">
              <c16:uniqueId val="{00000037-1389-48E1-8F0B-2FF3830F7905}"/>
            </c:ext>
          </c:extLst>
        </c:ser>
        <c:ser>
          <c:idx val="56"/>
          <c:order val="56"/>
          <c:tx>
            <c:strRef>
              <c:f>Electricity_mixes!$A$59</c:f>
              <c:strCache>
                <c:ptCount val="1"/>
                <c:pt idx="0">
                  <c:v>Pump storage consumption </c:v>
                </c:pt>
              </c:strCache>
            </c:strRef>
          </c:tx>
          <c:spPr>
            <a:solidFill>
              <a:schemeClr val="accent3"/>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Electricity_mixes!$B$59:$AH$59</c15:sqref>
                  </c15:fullRef>
                </c:ext>
              </c:extLst>
              <c:f>(Electricity_mixes!$B$59:$E$59,Electricity_mixes!$W$59:$Y$59)</c:f>
            </c:numRef>
          </c:val>
          <c:extLst>
            <c:ext xmlns:c16="http://schemas.microsoft.com/office/drawing/2014/chart" uri="{C3380CC4-5D6E-409C-BE32-E72D297353CC}">
              <c16:uniqueId val="{00000038-1389-48E1-8F0B-2FF3830F7905}"/>
            </c:ext>
          </c:extLst>
        </c:ser>
        <c:ser>
          <c:idx val="57"/>
          <c:order val="57"/>
          <c:tx>
            <c:strRef>
              <c:f>Electricity_mixes!$A$60</c:f>
              <c:strCache>
                <c:ptCount val="1"/>
                <c:pt idx="0">
                  <c:v>Stationary Batteries and CAES</c:v>
                </c:pt>
              </c:strCache>
            </c:strRef>
          </c:tx>
          <c:spPr>
            <a:solidFill>
              <a:schemeClr val="accent4"/>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Electricity_mixes!$B$60:$AH$60</c15:sqref>
                  </c15:fullRef>
                </c:ext>
              </c:extLst>
              <c:f>(Electricity_mixes!$B$60:$E$60,Electricity_mixes!$W$60:$Y$60)</c:f>
            </c:numRef>
          </c:val>
          <c:extLst>
            <c:ext xmlns:c16="http://schemas.microsoft.com/office/drawing/2014/chart" uri="{C3380CC4-5D6E-409C-BE32-E72D297353CC}">
              <c16:uniqueId val="{00000039-1389-48E1-8F0B-2FF3830F7905}"/>
            </c:ext>
          </c:extLst>
        </c:ser>
        <c:ser>
          <c:idx val="58"/>
          <c:order val="58"/>
          <c:tx>
            <c:strRef>
              <c:f>Electricity_mixes!$A$61</c:f>
              <c:strCache>
                <c:ptCount val="1"/>
                <c:pt idx="0">
                  <c:v>Fuel input in centralised heat plants5 (PJ/yr.)</c:v>
                </c:pt>
              </c:strCache>
            </c:strRef>
          </c:tx>
          <c:spPr>
            <a:solidFill>
              <a:schemeClr val="accent5"/>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Electricity_mixes!$B$61:$AH$61</c15:sqref>
                  </c15:fullRef>
                </c:ext>
              </c:extLst>
              <c:f>(Electricity_mixes!$B$61:$E$61,Electricity_mixes!$W$61:$Y$61)</c:f>
            </c:numRef>
          </c:val>
          <c:extLst>
            <c:ext xmlns:c16="http://schemas.microsoft.com/office/drawing/2014/chart" uri="{C3380CC4-5D6E-409C-BE32-E72D297353CC}">
              <c16:uniqueId val="{0000003A-1389-48E1-8F0B-2FF3830F7905}"/>
            </c:ext>
          </c:extLst>
        </c:ser>
        <c:ser>
          <c:idx val="59"/>
          <c:order val="59"/>
          <c:tx>
            <c:strRef>
              <c:f>Electricity_mixes!$A$62</c:f>
              <c:strCache>
                <c:ptCount val="1"/>
                <c:pt idx="0">
                  <c:v>Oil products</c:v>
                </c:pt>
              </c:strCache>
            </c:strRef>
          </c:tx>
          <c:spPr>
            <a:solidFill>
              <a:schemeClr val="accent6"/>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Electricity_mixes!$B$62:$AH$62</c15:sqref>
                  </c15:fullRef>
                </c:ext>
              </c:extLst>
              <c:f>(Electricity_mixes!$B$62:$E$62,Electricity_mixes!$W$62:$Y$62)</c:f>
            </c:numRef>
          </c:val>
          <c:extLst>
            <c:ext xmlns:c16="http://schemas.microsoft.com/office/drawing/2014/chart" uri="{C3380CC4-5D6E-409C-BE32-E72D297353CC}">
              <c16:uniqueId val="{0000003B-1389-48E1-8F0B-2FF3830F7905}"/>
            </c:ext>
          </c:extLst>
        </c:ser>
        <c:ser>
          <c:idx val="60"/>
          <c:order val="60"/>
          <c:tx>
            <c:strRef>
              <c:f>Electricity_mixes!$A$63</c:f>
              <c:strCache>
                <c:ptCount val="1"/>
                <c:pt idx="0">
                  <c:v>Gas (natural gas and biomethane)4</c:v>
                </c:pt>
              </c:strCache>
            </c:strRef>
          </c:tx>
          <c:spPr>
            <a:solidFill>
              <a:schemeClr val="accent1">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Electricity_mixes!$B$63:$AH$63</c15:sqref>
                  </c15:fullRef>
                </c:ext>
              </c:extLst>
              <c:f>(Electricity_mixes!$B$63:$E$63,Electricity_mixes!$W$63:$Y$63)</c:f>
            </c:numRef>
          </c:val>
          <c:extLst>
            <c:ext xmlns:c16="http://schemas.microsoft.com/office/drawing/2014/chart" uri="{C3380CC4-5D6E-409C-BE32-E72D297353CC}">
              <c16:uniqueId val="{0000003C-1389-48E1-8F0B-2FF3830F7905}"/>
            </c:ext>
          </c:extLst>
        </c:ser>
        <c:ser>
          <c:idx val="61"/>
          <c:order val="61"/>
          <c:tx>
            <c:strRef>
              <c:f>Electricity_mixes!$A$64</c:f>
              <c:strCache>
                <c:ptCount val="1"/>
                <c:pt idx="0">
                  <c:v>Woody biomass</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Electricity_mixes!$B$64:$AH$64</c15:sqref>
                  </c15:fullRef>
                </c:ext>
              </c:extLst>
              <c:f>(Electricity_mixes!$B$64:$E$64,Electricity_mixes!$W$64:$Y$64)</c:f>
            </c:numRef>
          </c:val>
          <c:extLst>
            <c:ext xmlns:c16="http://schemas.microsoft.com/office/drawing/2014/chart" uri="{C3380CC4-5D6E-409C-BE32-E72D297353CC}">
              <c16:uniqueId val="{0000003D-1389-48E1-8F0B-2FF3830F7905}"/>
            </c:ext>
          </c:extLst>
        </c:ser>
        <c:ser>
          <c:idx val="62"/>
          <c:order val="62"/>
          <c:tx>
            <c:strRef>
              <c:f>Electricity_mixes!$A$65</c:f>
              <c:strCache>
                <c:ptCount val="1"/>
                <c:pt idx="0">
                  <c:v>Biogas</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Electricity_mixes!$B$65:$AH$65</c15:sqref>
                  </c15:fullRef>
                </c:ext>
              </c:extLst>
              <c:f>(Electricity_mixes!$B$65:$E$65,Electricity_mixes!$W$65:$Y$65)</c:f>
            </c:numRef>
          </c:val>
          <c:extLst>
            <c:ext xmlns:c16="http://schemas.microsoft.com/office/drawing/2014/chart" uri="{C3380CC4-5D6E-409C-BE32-E72D297353CC}">
              <c16:uniqueId val="{0000003E-1389-48E1-8F0B-2FF3830F7905}"/>
            </c:ext>
          </c:extLst>
        </c:ser>
        <c:ser>
          <c:idx val="63"/>
          <c:order val="63"/>
          <c:tx>
            <c:strRef>
              <c:f>Electricity_mixes!$A$66</c:f>
              <c:strCache>
                <c:ptCount val="1"/>
                <c:pt idx="0">
                  <c:v>Solar (thermal)</c:v>
                </c:pt>
              </c:strCache>
            </c:strRef>
          </c:tx>
          <c:spPr>
            <a:solidFill>
              <a:schemeClr val="accent4">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Electricity_mixes!$B$66:$AH$66</c15:sqref>
                  </c15:fullRef>
                </c:ext>
              </c:extLst>
              <c:f>(Electricity_mixes!$B$66:$E$66,Electricity_mixes!$W$66:$Y$66)</c:f>
            </c:numRef>
          </c:val>
          <c:extLst>
            <c:ext xmlns:c16="http://schemas.microsoft.com/office/drawing/2014/chart" uri="{C3380CC4-5D6E-409C-BE32-E72D297353CC}">
              <c16:uniqueId val="{0000003F-1389-48E1-8F0B-2FF3830F7905}"/>
            </c:ext>
          </c:extLst>
        </c:ser>
        <c:ser>
          <c:idx val="64"/>
          <c:order val="64"/>
          <c:tx>
            <c:strRef>
              <c:f>Electricity_mixes!$A$67</c:f>
              <c:strCache>
                <c:ptCount val="1"/>
                <c:pt idx="0">
                  <c:v>Deep geothermal</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Electricity_mixes!$B$67:$AH$67</c15:sqref>
                  </c15:fullRef>
                </c:ext>
              </c:extLst>
              <c:f>(Electricity_mixes!$B$67:$E$67,Electricity_mixes!$W$67:$Y$67)</c:f>
            </c:numRef>
          </c:val>
          <c:extLst>
            <c:ext xmlns:c16="http://schemas.microsoft.com/office/drawing/2014/chart" uri="{C3380CC4-5D6E-409C-BE32-E72D297353CC}">
              <c16:uniqueId val="{00000040-1389-48E1-8F0B-2FF3830F7905}"/>
            </c:ext>
          </c:extLst>
        </c:ser>
        <c:ser>
          <c:idx val="65"/>
          <c:order val="65"/>
          <c:tx>
            <c:strRef>
              <c:f>Electricity_mixes!$A$68</c:f>
              <c:strCache>
                <c:ptCount val="1"/>
                <c:pt idx="0">
                  <c:v>Electricity (heat pumps)</c:v>
                </c:pt>
              </c:strCache>
            </c:strRef>
          </c:tx>
          <c:spPr>
            <a:solidFill>
              <a:schemeClr val="accent6">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Electricity_mixes!$B$68:$AH$68</c15:sqref>
                  </c15:fullRef>
                </c:ext>
              </c:extLst>
              <c:f>(Electricity_mixes!$B$68:$E$68,Electricity_mixes!$W$68:$Y$68)</c:f>
            </c:numRef>
          </c:val>
          <c:extLst>
            <c:ext xmlns:c16="http://schemas.microsoft.com/office/drawing/2014/chart" uri="{C3380CC4-5D6E-409C-BE32-E72D297353CC}">
              <c16:uniqueId val="{00000041-1389-48E1-8F0B-2FF3830F7905}"/>
            </c:ext>
          </c:extLst>
        </c:ser>
        <c:ser>
          <c:idx val="66"/>
          <c:order val="66"/>
          <c:tx>
            <c:strRef>
              <c:f>Electricity_mixes!$A$69</c:f>
              <c:strCache>
                <c:ptCount val="1"/>
                <c:pt idx="0">
                  <c:v>Fuel input for hydrogen production (PJ/yr.)</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Electricity_mixes!$B$69:$AH$69</c15:sqref>
                  </c15:fullRef>
                </c:ext>
              </c:extLst>
              <c:f>(Electricity_mixes!$B$69:$E$69,Electricity_mixes!$W$69:$Y$69)</c:f>
            </c:numRef>
          </c:val>
          <c:extLst>
            <c:ext xmlns:c16="http://schemas.microsoft.com/office/drawing/2014/chart" uri="{C3380CC4-5D6E-409C-BE32-E72D297353CC}">
              <c16:uniqueId val="{00000042-1389-48E1-8F0B-2FF3830F7905}"/>
            </c:ext>
          </c:extLst>
        </c:ser>
        <c:ser>
          <c:idx val="67"/>
          <c:order val="67"/>
          <c:tx>
            <c:strRef>
              <c:f>Electricity_mixes!$A$70</c:f>
              <c:strCache>
                <c:ptCount val="1"/>
                <c:pt idx="0">
                  <c:v>Gas (natural gas and biomethane)4</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Electricity_mixes!$B$70:$AH$70</c15:sqref>
                  </c15:fullRef>
                </c:ext>
              </c:extLst>
              <c:f>(Electricity_mixes!$B$70:$E$70,Electricity_mixes!$W$70:$Y$70)</c:f>
            </c:numRef>
          </c:val>
          <c:extLst>
            <c:ext xmlns:c16="http://schemas.microsoft.com/office/drawing/2014/chart" uri="{C3380CC4-5D6E-409C-BE32-E72D297353CC}">
              <c16:uniqueId val="{00000043-1389-48E1-8F0B-2FF3830F7905}"/>
            </c:ext>
          </c:extLst>
        </c:ser>
        <c:ser>
          <c:idx val="68"/>
          <c:order val="68"/>
          <c:tx>
            <c:strRef>
              <c:f>Electricity_mixes!$A$71</c:f>
              <c:strCache>
                <c:ptCount val="1"/>
                <c:pt idx="0">
                  <c:v>Woody biomass</c:v>
                </c:pt>
              </c:strCache>
            </c:strRef>
          </c:tx>
          <c:spPr>
            <a:solidFill>
              <a:schemeClr val="accent3">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Electricity_mixes!$B$71:$AH$71</c15:sqref>
                  </c15:fullRef>
                </c:ext>
              </c:extLst>
              <c:f>(Electricity_mixes!$B$71:$E$71,Electricity_mixes!$W$71:$Y$71)</c:f>
            </c:numRef>
          </c:val>
          <c:extLst>
            <c:ext xmlns:c16="http://schemas.microsoft.com/office/drawing/2014/chart" uri="{C3380CC4-5D6E-409C-BE32-E72D297353CC}">
              <c16:uniqueId val="{00000044-1389-48E1-8F0B-2FF3830F7905}"/>
            </c:ext>
          </c:extLst>
        </c:ser>
        <c:ser>
          <c:idx val="69"/>
          <c:order val="69"/>
          <c:tx>
            <c:strRef>
              <c:f>Electricity_mixes!$A$72</c:f>
              <c:strCache>
                <c:ptCount val="1"/>
                <c:pt idx="0">
                  <c:v>Electricity</c:v>
                </c:pt>
              </c:strCache>
            </c:strRef>
          </c:tx>
          <c:spPr>
            <a:solidFill>
              <a:schemeClr val="accent4">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Electricity_mixes!$B$72:$AH$72</c15:sqref>
                  </c15:fullRef>
                </c:ext>
              </c:extLst>
              <c:f>(Electricity_mixes!$B$72:$E$72,Electricity_mixes!$W$72:$Y$72)</c:f>
            </c:numRef>
          </c:val>
          <c:extLst>
            <c:ext xmlns:c16="http://schemas.microsoft.com/office/drawing/2014/chart" uri="{C3380CC4-5D6E-409C-BE32-E72D297353CC}">
              <c16:uniqueId val="{00000045-1389-48E1-8F0B-2FF3830F7905}"/>
            </c:ext>
          </c:extLst>
        </c:ser>
        <c:ser>
          <c:idx val="70"/>
          <c:order val="70"/>
          <c:tx>
            <c:strRef>
              <c:f>Electricity_mixes!$A$73</c:f>
              <c:strCache>
                <c:ptCount val="1"/>
                <c:pt idx="0">
                  <c:v>Fuel input for production of domestic biofuels and synfuels7,8,20 (PJ/yr.)</c:v>
                </c:pt>
              </c:strCache>
            </c:strRef>
          </c:tx>
          <c:spPr>
            <a:solidFill>
              <a:schemeClr val="accent5">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Electricity_mixes!$B$73:$AH$73</c15:sqref>
                  </c15:fullRef>
                </c:ext>
              </c:extLst>
              <c:f>(Electricity_mixes!$B$73:$E$73,Electricity_mixes!$W$73:$Y$73)</c:f>
            </c:numRef>
          </c:val>
          <c:extLst>
            <c:ext xmlns:c16="http://schemas.microsoft.com/office/drawing/2014/chart" uri="{C3380CC4-5D6E-409C-BE32-E72D297353CC}">
              <c16:uniqueId val="{00000046-1389-48E1-8F0B-2FF3830F7905}"/>
            </c:ext>
          </c:extLst>
        </c:ser>
        <c:ser>
          <c:idx val="71"/>
          <c:order val="71"/>
          <c:tx>
            <c:strRef>
              <c:f>Electricity_mixes!$A$74</c:f>
              <c:strCache>
                <c:ptCount val="1"/>
                <c:pt idx="0">
                  <c:v>Manure</c:v>
                </c:pt>
              </c:strCache>
            </c:strRef>
          </c:tx>
          <c:spPr>
            <a:solidFill>
              <a:schemeClr val="accent6">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Electricity_mixes!$B$74:$AH$74</c15:sqref>
                  </c15:fullRef>
                </c:ext>
              </c:extLst>
              <c:f>(Electricity_mixes!$B$74:$E$74,Electricity_mixes!$W$74:$Y$74)</c:f>
            </c:numRef>
          </c:val>
          <c:extLst>
            <c:ext xmlns:c16="http://schemas.microsoft.com/office/drawing/2014/chart" uri="{C3380CC4-5D6E-409C-BE32-E72D297353CC}">
              <c16:uniqueId val="{00000047-1389-48E1-8F0B-2FF3830F7905}"/>
            </c:ext>
          </c:extLst>
        </c:ser>
        <c:ser>
          <c:idx val="72"/>
          <c:order val="72"/>
          <c:tx>
            <c:strRef>
              <c:f>Electricity_mixes!$A$75</c:f>
              <c:strCache>
                <c:ptCount val="1"/>
                <c:pt idx="0">
                  <c:v>Wastes1</c:v>
                </c:pt>
              </c:strCache>
            </c:strRef>
          </c:tx>
          <c:spPr>
            <a:solidFill>
              <a:schemeClr val="accent1">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Electricity_mixes!$B$75:$AH$75</c15:sqref>
                  </c15:fullRef>
                </c:ext>
              </c:extLst>
              <c:f>(Electricity_mixes!$B$75:$E$75,Electricity_mixes!$W$75:$Y$75)</c:f>
            </c:numRef>
          </c:val>
          <c:extLst>
            <c:ext xmlns:c16="http://schemas.microsoft.com/office/drawing/2014/chart" uri="{C3380CC4-5D6E-409C-BE32-E72D297353CC}">
              <c16:uniqueId val="{00000048-1389-48E1-8F0B-2FF3830F7905}"/>
            </c:ext>
          </c:extLst>
        </c:ser>
        <c:ser>
          <c:idx val="73"/>
          <c:order val="73"/>
          <c:tx>
            <c:strRef>
              <c:f>Electricity_mixes!$A$76</c:f>
              <c:strCache>
                <c:ptCount val="1"/>
                <c:pt idx="0">
                  <c:v>Woody biomass</c:v>
                </c:pt>
              </c:strCache>
            </c:strRef>
          </c:tx>
          <c:spPr>
            <a:solidFill>
              <a:schemeClr val="accent2">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Electricity_mixes!$B$76:$AH$76</c15:sqref>
                  </c15:fullRef>
                </c:ext>
              </c:extLst>
              <c:f>(Electricity_mixes!$B$76:$E$76,Electricity_mixes!$W$76:$Y$76)</c:f>
            </c:numRef>
          </c:val>
          <c:extLst>
            <c:ext xmlns:c16="http://schemas.microsoft.com/office/drawing/2014/chart" uri="{C3380CC4-5D6E-409C-BE32-E72D297353CC}">
              <c16:uniqueId val="{00000049-1389-48E1-8F0B-2FF3830F7905}"/>
            </c:ext>
          </c:extLst>
        </c:ser>
        <c:ser>
          <c:idx val="74"/>
          <c:order val="74"/>
          <c:tx>
            <c:strRef>
              <c:f>Electricity_mixes!$A$77</c:f>
              <c:strCache>
                <c:ptCount val="1"/>
                <c:pt idx="0">
                  <c:v>Electricity</c:v>
                </c:pt>
              </c:strCache>
            </c:strRef>
          </c:tx>
          <c:spPr>
            <a:solidFill>
              <a:schemeClr val="accent3">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Electricity_mixes!$B$77:$AH$77</c15:sqref>
                  </c15:fullRef>
                </c:ext>
              </c:extLst>
              <c:f>(Electricity_mixes!$B$77:$E$77,Electricity_mixes!$W$77:$Y$77)</c:f>
            </c:numRef>
          </c:val>
          <c:extLst>
            <c:ext xmlns:c16="http://schemas.microsoft.com/office/drawing/2014/chart" uri="{C3380CC4-5D6E-409C-BE32-E72D297353CC}">
              <c16:uniqueId val="{0000004A-1389-48E1-8F0B-2FF3830F7905}"/>
            </c:ext>
          </c:extLst>
        </c:ser>
        <c:ser>
          <c:idx val="75"/>
          <c:order val="75"/>
          <c:tx>
            <c:strRef>
              <c:f>Electricity_mixes!$A$78</c:f>
              <c:strCache>
                <c:ptCount val="1"/>
                <c:pt idx="0">
                  <c:v>Hydrogen</c:v>
                </c:pt>
              </c:strCache>
            </c:strRef>
          </c:tx>
          <c:spPr>
            <a:solidFill>
              <a:schemeClr val="accent4">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Electricity_mixes!$B$78:$AH$78</c15:sqref>
                  </c15:fullRef>
                </c:ext>
              </c:extLst>
              <c:f>(Electricity_mixes!$B$78:$E$78,Electricity_mixes!$W$78:$Y$78)</c:f>
            </c:numRef>
          </c:val>
          <c:extLst>
            <c:ext xmlns:c16="http://schemas.microsoft.com/office/drawing/2014/chart" uri="{C3380CC4-5D6E-409C-BE32-E72D297353CC}">
              <c16:uniqueId val="{0000004B-1389-48E1-8F0B-2FF3830F7905}"/>
            </c:ext>
          </c:extLst>
        </c:ser>
        <c:ser>
          <c:idx val="76"/>
          <c:order val="76"/>
          <c:tx>
            <c:strRef>
              <c:f>Electricity_mixes!$A$79</c:f>
              <c:strCache>
                <c:ptCount val="1"/>
                <c:pt idx="0">
                  <c:v>Fuel input in Direct Air Capture (PJ/yr.)</c:v>
                </c:pt>
              </c:strCache>
            </c:strRef>
          </c:tx>
          <c:spPr>
            <a:solidFill>
              <a:schemeClr val="accent5">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Electricity_mixes!$B$79:$AH$79</c15:sqref>
                  </c15:fullRef>
                </c:ext>
              </c:extLst>
              <c:f>(Electricity_mixes!$B$79:$E$79,Electricity_mixes!$W$79:$Y$79)</c:f>
            </c:numRef>
          </c:val>
          <c:extLst>
            <c:ext xmlns:c16="http://schemas.microsoft.com/office/drawing/2014/chart" uri="{C3380CC4-5D6E-409C-BE32-E72D297353CC}">
              <c16:uniqueId val="{0000004C-1389-48E1-8F0B-2FF3830F7905}"/>
            </c:ext>
          </c:extLst>
        </c:ser>
        <c:ser>
          <c:idx val="77"/>
          <c:order val="77"/>
          <c:tx>
            <c:strRef>
              <c:f>Electricity_mixes!$A$80</c:f>
              <c:strCache>
                <c:ptCount val="1"/>
                <c:pt idx="0">
                  <c:v>Electricity</c:v>
                </c:pt>
              </c:strCache>
            </c:strRef>
          </c:tx>
          <c:spPr>
            <a:solidFill>
              <a:schemeClr val="accent6">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Electricity_mixes!$B$80:$AH$80</c15:sqref>
                  </c15:fullRef>
                </c:ext>
              </c:extLst>
              <c:f>(Electricity_mixes!$B$80:$E$80,Electricity_mixes!$W$80:$Y$80)</c:f>
            </c:numRef>
          </c:val>
          <c:extLst>
            <c:ext xmlns:c16="http://schemas.microsoft.com/office/drawing/2014/chart" uri="{C3380CC4-5D6E-409C-BE32-E72D297353CC}">
              <c16:uniqueId val="{0000004D-1389-48E1-8F0B-2FF3830F7905}"/>
            </c:ext>
          </c:extLst>
        </c:ser>
        <c:ser>
          <c:idx val="78"/>
          <c:order val="78"/>
          <c:tx>
            <c:strRef>
              <c:f>Electricity_mixes!$A$81</c:f>
              <c:strCache>
                <c:ptCount val="1"/>
                <c:pt idx="0">
                  <c:v>Heat</c:v>
                </c:pt>
              </c:strCache>
            </c:strRef>
          </c:tx>
          <c:spPr>
            <a:solidFill>
              <a:schemeClr val="accent1">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Electricity_mixes!$B$81:$AH$81</c15:sqref>
                  </c15:fullRef>
                </c:ext>
              </c:extLst>
              <c:f>(Electricity_mixes!$B$81:$E$81,Electricity_mixes!$W$81:$Y$81)</c:f>
            </c:numRef>
          </c:val>
          <c:extLst>
            <c:ext xmlns:c16="http://schemas.microsoft.com/office/drawing/2014/chart" uri="{C3380CC4-5D6E-409C-BE32-E72D297353CC}">
              <c16:uniqueId val="{0000004E-1389-48E1-8F0B-2FF3830F7905}"/>
            </c:ext>
          </c:extLst>
        </c:ser>
        <c:ser>
          <c:idx val="80"/>
          <c:order val="79"/>
          <c:tx>
            <c:strRef>
              <c:f>Electricity_mixes!$A$83</c:f>
              <c:strCache>
                <c:ptCount val="1"/>
                <c:pt idx="0">
                  <c:v>Oil products</c:v>
                </c:pt>
              </c:strCache>
            </c:strRef>
          </c:tx>
          <c:spPr>
            <a:solidFill>
              <a:schemeClr val="accent3">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Electricity_mixes!$B$83:$AH$83</c15:sqref>
                  </c15:fullRef>
                </c:ext>
              </c:extLst>
              <c:f>(Electricity_mixes!$B$83:$E$83,Electricity_mixes!$W$83:$Y$83)</c:f>
              <c:numCache>
                <c:formatCode>0.0</c:formatCode>
                <c:ptCount val="7"/>
                <c:pt idx="0">
                  <c:v>3.1399999999999997E-2</c:v>
                </c:pt>
                <c:pt idx="1">
                  <c:v>3.7773014257229636E-6</c:v>
                </c:pt>
                <c:pt idx="2">
                  <c:v>3.4846251473050711E-6</c:v>
                </c:pt>
                <c:pt idx="3">
                  <c:v>2.8782479719248176E-6</c:v>
                </c:pt>
                <c:pt idx="4">
                  <c:v>0</c:v>
                </c:pt>
                <c:pt idx="5">
                  <c:v>0</c:v>
                </c:pt>
                <c:pt idx="6">
                  <c:v>0</c:v>
                </c:pt>
              </c:numCache>
            </c:numRef>
          </c:val>
          <c:extLst>
            <c:ext xmlns:c16="http://schemas.microsoft.com/office/drawing/2014/chart" uri="{C3380CC4-5D6E-409C-BE32-E72D297353CC}">
              <c16:uniqueId val="{0000004F-1389-48E1-8F0B-2FF3830F7905}"/>
            </c:ext>
          </c:extLst>
        </c:ser>
        <c:ser>
          <c:idx val="81"/>
          <c:order val="80"/>
          <c:tx>
            <c:strRef>
              <c:f>Electricity_mixes!$A$84</c:f>
              <c:strCache>
                <c:ptCount val="1"/>
                <c:pt idx="0">
                  <c:v>Gas (natural gas and biomethane)4</c:v>
                </c:pt>
              </c:strCache>
            </c:strRef>
          </c:tx>
          <c:spPr>
            <a:solidFill>
              <a:schemeClr val="accent4">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Electricity_mixes!$B$84:$AH$84</c15:sqref>
                  </c15:fullRef>
                </c:ext>
              </c:extLst>
              <c:f>(Electricity_mixes!$B$84:$E$84,Electricity_mixes!$W$84:$Y$84)</c:f>
              <c:numCache>
                <c:formatCode>0.0</c:formatCode>
                <c:ptCount val="7"/>
                <c:pt idx="0">
                  <c:v>0.66359999999999975</c:v>
                </c:pt>
                <c:pt idx="1">
                  <c:v>3.9163972342442945</c:v>
                </c:pt>
                <c:pt idx="2">
                  <c:v>7.0676819404315676</c:v>
                </c:pt>
                <c:pt idx="3">
                  <c:v>9.8715564871683021</c:v>
                </c:pt>
                <c:pt idx="4">
                  <c:v>1.5488760409186031</c:v>
                </c:pt>
                <c:pt idx="5">
                  <c:v>1.8510996395253216</c:v>
                </c:pt>
                <c:pt idx="6">
                  <c:v>2.1189415514815915</c:v>
                </c:pt>
              </c:numCache>
            </c:numRef>
          </c:val>
          <c:extLst>
            <c:ext xmlns:c16="http://schemas.microsoft.com/office/drawing/2014/chart" uri="{C3380CC4-5D6E-409C-BE32-E72D297353CC}">
              <c16:uniqueId val="{00000050-1389-48E1-8F0B-2FF3830F7905}"/>
            </c:ext>
          </c:extLst>
        </c:ser>
        <c:ser>
          <c:idx val="82"/>
          <c:order val="81"/>
          <c:tx>
            <c:strRef>
              <c:f>Electricity_mixes!$A$85</c:f>
              <c:strCache>
                <c:ptCount val="1"/>
                <c:pt idx="0">
                  <c:v>Gas (natural gas and biomethane)4 with CCS</c:v>
                </c:pt>
              </c:strCache>
            </c:strRef>
          </c:tx>
          <c:spPr>
            <a:solidFill>
              <a:schemeClr val="accent5">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Electricity_mixes!$B$85:$AH$85</c15:sqref>
                  </c15:fullRef>
                </c:ext>
              </c:extLst>
              <c:f>(Electricity_mixes!$B$85:$E$85,Electricity_mixes!$W$85:$Y$85)</c:f>
              <c:numCache>
                <c:formatCode>0.0</c:formatCode>
                <c:ptCount val="7"/>
                <c:pt idx="0">
                  <c:v>0</c:v>
                </c:pt>
                <c:pt idx="1">
                  <c:v>0</c:v>
                </c:pt>
                <c:pt idx="2">
                  <c:v>0</c:v>
                </c:pt>
                <c:pt idx="3">
                  <c:v>0</c:v>
                </c:pt>
                <c:pt idx="4">
                  <c:v>0</c:v>
                </c:pt>
                <c:pt idx="5">
                  <c:v>0.4783378434177496</c:v>
                </c:pt>
                <c:pt idx="6">
                  <c:v>0.99105814058466879</c:v>
                </c:pt>
              </c:numCache>
            </c:numRef>
          </c:val>
          <c:extLst>
            <c:ext xmlns:c16="http://schemas.microsoft.com/office/drawing/2014/chart" uri="{C3380CC4-5D6E-409C-BE32-E72D297353CC}">
              <c16:uniqueId val="{00000051-1389-48E1-8F0B-2FF3830F7905}"/>
            </c:ext>
          </c:extLst>
        </c:ser>
        <c:ser>
          <c:idx val="83"/>
          <c:order val="82"/>
          <c:tx>
            <c:strRef>
              <c:f>Electricity_mixes!$A$86</c:f>
              <c:strCache>
                <c:ptCount val="1"/>
                <c:pt idx="0">
                  <c:v>Nuclear power plants</c:v>
                </c:pt>
              </c:strCache>
            </c:strRef>
          </c:tx>
          <c:spPr>
            <a:solidFill>
              <a:schemeClr val="accent6">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Electricity_mixes!$B$86:$AH$86</c15:sqref>
                  </c15:fullRef>
                </c:ext>
              </c:extLst>
              <c:f>(Electricity_mixes!$B$86:$E$86,Electricity_mixes!$W$86:$Y$86)</c:f>
              <c:numCache>
                <c:formatCode>0.0</c:formatCode>
                <c:ptCount val="7"/>
                <c:pt idx="0">
                  <c:v>25.280555555555555</c:v>
                </c:pt>
                <c:pt idx="1">
                  <c:v>18.826001565945941</c:v>
                </c:pt>
                <c:pt idx="2">
                  <c:v>7.7786902660440509</c:v>
                </c:pt>
                <c:pt idx="3">
                  <c:v>0</c:v>
                </c:pt>
                <c:pt idx="4">
                  <c:v>18.826001603147333</c:v>
                </c:pt>
                <c:pt idx="5">
                  <c:v>7.7786902656111572</c:v>
                </c:pt>
                <c:pt idx="6">
                  <c:v>0</c:v>
                </c:pt>
              </c:numCache>
            </c:numRef>
          </c:val>
          <c:extLst>
            <c:ext xmlns:c16="http://schemas.microsoft.com/office/drawing/2014/chart" uri="{C3380CC4-5D6E-409C-BE32-E72D297353CC}">
              <c16:uniqueId val="{00000052-1389-48E1-8F0B-2FF3830F7905}"/>
            </c:ext>
          </c:extLst>
        </c:ser>
        <c:ser>
          <c:idx val="84"/>
          <c:order val="83"/>
          <c:tx>
            <c:strRef>
              <c:f>Electricity_mixes!$A$87</c:f>
              <c:strCache>
                <c:ptCount val="1"/>
                <c:pt idx="0">
                  <c:v>Woody biomass</c:v>
                </c:pt>
              </c:strCache>
            </c:strRef>
          </c:tx>
          <c:spPr>
            <a:solidFill>
              <a:schemeClr val="accent1">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Electricity_mixes!$B$87:$AH$87</c15:sqref>
                  </c15:fullRef>
                </c:ext>
              </c:extLst>
              <c:f>(Electricity_mixes!$B$87:$E$87,Electricity_mixes!$W$87:$Y$87)</c:f>
              <c:numCache>
                <c:formatCode>0.0</c:formatCode>
                <c:ptCount val="7"/>
                <c:pt idx="0">
                  <c:v>0.31277777777777777</c:v>
                </c:pt>
                <c:pt idx="1">
                  <c:v>0.57558624257245505</c:v>
                </c:pt>
                <c:pt idx="2">
                  <c:v>0.57558775921997019</c:v>
                </c:pt>
                <c:pt idx="3">
                  <c:v>0.57558910145904985</c:v>
                </c:pt>
                <c:pt idx="4">
                  <c:v>0.87366634712665836</c:v>
                </c:pt>
                <c:pt idx="5">
                  <c:v>1.1805319717865179</c:v>
                </c:pt>
                <c:pt idx="6">
                  <c:v>0.55195245536228066</c:v>
                </c:pt>
              </c:numCache>
            </c:numRef>
          </c:val>
          <c:extLst>
            <c:ext xmlns:c16="http://schemas.microsoft.com/office/drawing/2014/chart" uri="{C3380CC4-5D6E-409C-BE32-E72D297353CC}">
              <c16:uniqueId val="{00000053-1389-48E1-8F0B-2FF3830F7905}"/>
            </c:ext>
          </c:extLst>
        </c:ser>
        <c:ser>
          <c:idx val="85"/>
          <c:order val="84"/>
          <c:tx>
            <c:strRef>
              <c:f>Electricity_mixes!$A$88</c:f>
              <c:strCache>
                <c:ptCount val="1"/>
                <c:pt idx="0">
                  <c:v>Woody biomass with CCS</c:v>
                </c:pt>
              </c:strCache>
            </c:strRef>
          </c:tx>
          <c:spPr>
            <a:solidFill>
              <a:schemeClr val="accent2">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Electricity_mixes!$B$88:$AH$88</c15:sqref>
                  </c15:fullRef>
                </c:ext>
              </c:extLst>
              <c:f>(Electricity_mixes!$B$88:$E$88,Electricity_mixes!$W$88:$Y$88)</c:f>
              <c:numCache>
                <c:formatCode>0.0</c:formatCode>
                <c:ptCount val="7"/>
                <c:pt idx="0">
                  <c:v>0</c:v>
                </c:pt>
                <c:pt idx="1">
                  <c:v>0</c:v>
                </c:pt>
                <c:pt idx="2">
                  <c:v>0</c:v>
                </c:pt>
                <c:pt idx="3">
                  <c:v>0</c:v>
                </c:pt>
                <c:pt idx="4">
                  <c:v>0</c:v>
                </c:pt>
                <c:pt idx="5">
                  <c:v>1.9194629029313928E-2</c:v>
                </c:pt>
                <c:pt idx="6">
                  <c:v>0.69552866227449617</c:v>
                </c:pt>
              </c:numCache>
            </c:numRef>
          </c:val>
          <c:extLst>
            <c:ext xmlns:c16="http://schemas.microsoft.com/office/drawing/2014/chart" uri="{C3380CC4-5D6E-409C-BE32-E72D297353CC}">
              <c16:uniqueId val="{00000054-1389-48E1-8F0B-2FF3830F7905}"/>
            </c:ext>
          </c:extLst>
        </c:ser>
        <c:ser>
          <c:idx val="86"/>
          <c:order val="85"/>
          <c:tx>
            <c:strRef>
              <c:f>Electricity_mixes!$A$89</c:f>
              <c:strCache>
                <c:ptCount val="1"/>
                <c:pt idx="0">
                  <c:v>Waste (incl. non renewable waste)</c:v>
                </c:pt>
              </c:strCache>
            </c:strRef>
          </c:tx>
          <c:spPr>
            <a:solidFill>
              <a:schemeClr val="accent3">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Electricity_mixes!$B$89:$AH$89</c15:sqref>
                  </c15:fullRef>
                </c:ext>
              </c:extLst>
              <c:f>(Electricity_mixes!$B$89:$E$89,Electricity_mixes!$W$89:$Y$89)</c:f>
              <c:numCache>
                <c:formatCode>0.0</c:formatCode>
                <c:ptCount val="7"/>
                <c:pt idx="0">
                  <c:v>2.355</c:v>
                </c:pt>
                <c:pt idx="1">
                  <c:v>2.5158929381514628</c:v>
                </c:pt>
                <c:pt idx="2">
                  <c:v>2.5539046922692075</c:v>
                </c:pt>
                <c:pt idx="3">
                  <c:v>2.6001007117714767</c:v>
                </c:pt>
                <c:pt idx="4">
                  <c:v>2.5156692314703082</c:v>
                </c:pt>
                <c:pt idx="5">
                  <c:v>2.079632561129912</c:v>
                </c:pt>
                <c:pt idx="6">
                  <c:v>1.2223217834036684</c:v>
                </c:pt>
              </c:numCache>
            </c:numRef>
          </c:val>
          <c:extLst>
            <c:ext xmlns:c16="http://schemas.microsoft.com/office/drawing/2014/chart" uri="{C3380CC4-5D6E-409C-BE32-E72D297353CC}">
              <c16:uniqueId val="{00000055-1389-48E1-8F0B-2FF3830F7905}"/>
            </c:ext>
          </c:extLst>
        </c:ser>
        <c:ser>
          <c:idx val="87"/>
          <c:order val="86"/>
          <c:tx>
            <c:strRef>
              <c:f>Electricity_mixes!$A$90</c:f>
              <c:strCache>
                <c:ptCount val="1"/>
                <c:pt idx="0">
                  <c:v>Waste with CCS</c:v>
                </c:pt>
              </c:strCache>
            </c:strRef>
          </c:tx>
          <c:spPr>
            <a:solidFill>
              <a:schemeClr val="accent4">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Electricity_mixes!$B$90:$AH$90</c15:sqref>
                  </c15:fullRef>
                </c:ext>
              </c:extLst>
              <c:f>(Electricity_mixes!$B$90:$E$90,Electricity_mixes!$W$90:$Y$90)</c:f>
              <c:numCache>
                <c:formatCode>0.0</c:formatCode>
                <c:ptCount val="7"/>
                <c:pt idx="0">
                  <c:v>0</c:v>
                </c:pt>
                <c:pt idx="1">
                  <c:v>0</c:v>
                </c:pt>
                <c:pt idx="2">
                  <c:v>0</c:v>
                </c:pt>
                <c:pt idx="3">
                  <c:v>0</c:v>
                </c:pt>
                <c:pt idx="4">
                  <c:v>0</c:v>
                </c:pt>
                <c:pt idx="5">
                  <c:v>0.45056126971159588</c:v>
                </c:pt>
                <c:pt idx="6">
                  <c:v>1.4532804454826385</c:v>
                </c:pt>
              </c:numCache>
            </c:numRef>
          </c:val>
          <c:extLst>
            <c:ext xmlns:c16="http://schemas.microsoft.com/office/drawing/2014/chart" uri="{C3380CC4-5D6E-409C-BE32-E72D297353CC}">
              <c16:uniqueId val="{00000056-1389-48E1-8F0B-2FF3830F7905}"/>
            </c:ext>
          </c:extLst>
        </c:ser>
        <c:ser>
          <c:idx val="88"/>
          <c:order val="87"/>
          <c:tx>
            <c:strRef>
              <c:f>Electricity_mixes!$A$91</c:f>
              <c:strCache>
                <c:ptCount val="1"/>
                <c:pt idx="0">
                  <c:v>Biogas</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Electricity_mixes!$B$91:$AH$91</c15:sqref>
                  </c15:fullRef>
                </c:ext>
              </c:extLst>
              <c:f>(Electricity_mixes!$B$91:$E$91,Electricity_mixes!$W$91:$Y$91)</c:f>
              <c:numCache>
                <c:formatCode>0.0</c:formatCode>
                <c:ptCount val="7"/>
                <c:pt idx="0">
                  <c:v>0.37222222222222223</c:v>
                </c:pt>
                <c:pt idx="1">
                  <c:v>0.12340746190699248</c:v>
                </c:pt>
                <c:pt idx="2">
                  <c:v>0.12340745448198449</c:v>
                </c:pt>
                <c:pt idx="3">
                  <c:v>0.12340745542287485</c:v>
                </c:pt>
                <c:pt idx="4">
                  <c:v>0.13607419285060735</c:v>
                </c:pt>
                <c:pt idx="5">
                  <c:v>0.53038906645505779</c:v>
                </c:pt>
                <c:pt idx="6">
                  <c:v>0.54452113930103396</c:v>
                </c:pt>
              </c:numCache>
            </c:numRef>
          </c:val>
          <c:extLst>
            <c:ext xmlns:c16="http://schemas.microsoft.com/office/drawing/2014/chart" uri="{C3380CC4-5D6E-409C-BE32-E72D297353CC}">
              <c16:uniqueId val="{00000057-1389-48E1-8F0B-2FF3830F7905}"/>
            </c:ext>
          </c:extLst>
        </c:ser>
        <c:ser>
          <c:idx val="89"/>
          <c:order val="88"/>
          <c:tx>
            <c:strRef>
              <c:f>Electricity_mixes!$A$92</c:f>
              <c:strCache>
                <c:ptCount val="1"/>
                <c:pt idx="0">
                  <c:v>Hydro (excluding pump storage)</c:v>
                </c:pt>
              </c:strCache>
            </c:strRef>
          </c:tx>
          <c:spPr>
            <a:solidFill>
              <a:schemeClr val="accent6">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Electricity_mixes!$B$92:$AH$92</c15:sqref>
                  </c15:fullRef>
                </c:ext>
              </c:extLst>
              <c:f>(Electricity_mixes!$B$92:$E$92,Electricity_mixes!$W$92:$Y$92)</c:f>
              <c:numCache>
                <c:formatCode>#,##0.0</c:formatCode>
                <c:ptCount val="7"/>
                <c:pt idx="0">
                  <c:v>36.567</c:v>
                </c:pt>
                <c:pt idx="1">
                  <c:v>36.704594268471105</c:v>
                </c:pt>
                <c:pt idx="2">
                  <c:v>36.732038689782783</c:v>
                </c:pt>
                <c:pt idx="3">
                  <c:v>37.586999775106747</c:v>
                </c:pt>
                <c:pt idx="4">
                  <c:v>37.400404825544783</c:v>
                </c:pt>
                <c:pt idx="5">
                  <c:v>37.586999621783299</c:v>
                </c:pt>
                <c:pt idx="6">
                  <c:v>37.586999503641358</c:v>
                </c:pt>
              </c:numCache>
            </c:numRef>
          </c:val>
          <c:extLst>
            <c:ext xmlns:c16="http://schemas.microsoft.com/office/drawing/2014/chart" uri="{C3380CC4-5D6E-409C-BE32-E72D297353CC}">
              <c16:uniqueId val="{00000058-1389-48E1-8F0B-2FF3830F7905}"/>
            </c:ext>
          </c:extLst>
        </c:ser>
        <c:ser>
          <c:idx val="90"/>
          <c:order val="89"/>
          <c:tx>
            <c:strRef>
              <c:f>Electricity_mixes!$A$93</c:f>
              <c:strCache>
                <c:ptCount val="1"/>
                <c:pt idx="0">
                  <c:v>Solar</c:v>
                </c:pt>
              </c:strCache>
            </c:strRef>
          </c:tx>
          <c:spPr>
            <a:solidFill>
              <a:schemeClr val="accent1">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Electricity_mixes!$B$93:$AH$93</c15:sqref>
                  </c15:fullRef>
                </c:ext>
              </c:extLst>
              <c:f>(Electricity_mixes!$B$93:$E$93,Electricity_mixes!$W$93:$Y$93)</c:f>
              <c:numCache>
                <c:formatCode>#,##0.0</c:formatCode>
                <c:ptCount val="7"/>
                <c:pt idx="0" formatCode="0.0">
                  <c:v>2.1777777777777776</c:v>
                </c:pt>
                <c:pt idx="1">
                  <c:v>4.2495976625879797</c:v>
                </c:pt>
                <c:pt idx="2">
                  <c:v>7.2484360623679125</c:v>
                </c:pt>
                <c:pt idx="3">
                  <c:v>11.806941057381088</c:v>
                </c:pt>
                <c:pt idx="4">
                  <c:v>8.4076243657324028</c:v>
                </c:pt>
                <c:pt idx="5">
                  <c:v>17.832507140158359</c:v>
                </c:pt>
                <c:pt idx="6">
                  <c:v>27.157719835609374</c:v>
                </c:pt>
              </c:numCache>
            </c:numRef>
          </c:val>
          <c:extLst>
            <c:ext xmlns:c16="http://schemas.microsoft.com/office/drawing/2014/chart" uri="{C3380CC4-5D6E-409C-BE32-E72D297353CC}">
              <c16:uniqueId val="{00000059-1389-48E1-8F0B-2FF3830F7905}"/>
            </c:ext>
          </c:extLst>
        </c:ser>
        <c:ser>
          <c:idx val="91"/>
          <c:order val="90"/>
          <c:tx>
            <c:strRef>
              <c:f>Electricity_mixes!$A$94</c:f>
              <c:strCache>
                <c:ptCount val="1"/>
                <c:pt idx="0">
                  <c:v>Wind</c:v>
                </c:pt>
              </c:strCache>
            </c:strRef>
          </c:tx>
          <c:spPr>
            <a:solidFill>
              <a:schemeClr val="accent2">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Electricity_mixes!$B$94:$AH$94</c15:sqref>
                  </c15:fullRef>
                </c:ext>
              </c:extLst>
              <c:f>(Electricity_mixes!$B$94:$E$94,Electricity_mixes!$W$94:$Y$94)</c:f>
              <c:numCache>
                <c:formatCode>#,##0.0</c:formatCode>
                <c:ptCount val="7"/>
                <c:pt idx="0" formatCode="0.0">
                  <c:v>0.14583333333333334</c:v>
                </c:pt>
                <c:pt idx="1">
                  <c:v>7.2420146543764566E-2</c:v>
                </c:pt>
                <c:pt idx="2">
                  <c:v>0.11796478652359577</c:v>
                </c:pt>
                <c:pt idx="3">
                  <c:v>0.19215220495334404</c:v>
                </c:pt>
                <c:pt idx="4">
                  <c:v>7.3614875370854482E-2</c:v>
                </c:pt>
                <c:pt idx="5">
                  <c:v>0.11991087465914151</c:v>
                </c:pt>
                <c:pt idx="6">
                  <c:v>0.19532217913833524</c:v>
                </c:pt>
              </c:numCache>
            </c:numRef>
          </c:val>
          <c:extLst>
            <c:ext xmlns:c16="http://schemas.microsoft.com/office/drawing/2014/chart" uri="{C3380CC4-5D6E-409C-BE32-E72D297353CC}">
              <c16:uniqueId val="{0000005A-1389-48E1-8F0B-2FF3830F7905}"/>
            </c:ext>
          </c:extLst>
        </c:ser>
        <c:ser>
          <c:idx val="92"/>
          <c:order val="91"/>
          <c:tx>
            <c:strRef>
              <c:f>Electricity_mixes!$A$95</c:f>
              <c:strCache>
                <c:ptCount val="1"/>
                <c:pt idx="0">
                  <c:v>Deep geothermal</c:v>
                </c:pt>
              </c:strCache>
            </c:strRef>
          </c:tx>
          <c:spPr>
            <a:solidFill>
              <a:schemeClr val="accent3">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Electricity_mixes!$B$95:$AH$95</c15:sqref>
                  </c15:fullRef>
                </c:ext>
              </c:extLst>
              <c:f>(Electricity_mixes!$B$95:$E$95,Electricity_mixes!$W$95:$Y$95)</c:f>
              <c:numCache>
                <c:formatCode>0.0</c:formatCode>
                <c:ptCount val="7"/>
                <c:pt idx="0">
                  <c:v>0</c:v>
                </c:pt>
                <c:pt idx="1">
                  <c:v>0</c:v>
                </c:pt>
                <c:pt idx="2">
                  <c:v>3.5919940318833035E-6</c:v>
                </c:pt>
                <c:pt idx="3">
                  <c:v>3.6377835409518382E-6</c:v>
                </c:pt>
                <c:pt idx="4">
                  <c:v>0</c:v>
                </c:pt>
                <c:pt idx="5">
                  <c:v>2.9881122526412786E-7</c:v>
                </c:pt>
                <c:pt idx="6">
                  <c:v>3.012634307172822E-7</c:v>
                </c:pt>
              </c:numCache>
            </c:numRef>
          </c:val>
          <c:extLst>
            <c:ext xmlns:c16="http://schemas.microsoft.com/office/drawing/2014/chart" uri="{C3380CC4-5D6E-409C-BE32-E72D297353CC}">
              <c16:uniqueId val="{0000005B-1389-48E1-8F0B-2FF3830F7905}"/>
            </c:ext>
          </c:extLst>
        </c:ser>
        <c:ser>
          <c:idx val="93"/>
          <c:order val="92"/>
          <c:tx>
            <c:strRef>
              <c:f>Electricity_mixes!$A$96</c:f>
              <c:strCache>
                <c:ptCount val="1"/>
                <c:pt idx="0">
                  <c:v>Hydrogen</c:v>
                </c:pt>
              </c:strCache>
            </c:strRef>
          </c:tx>
          <c:spPr>
            <a:solidFill>
              <a:schemeClr val="accent4">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Electricity_mixes!$B$96:$AH$96</c15:sqref>
                  </c15:fullRef>
                </c:ext>
              </c:extLst>
              <c:f>(Electricity_mixes!$B$96:$E$96,Electricity_mixes!$W$96:$Y$96)</c:f>
              <c:numCache>
                <c:formatCode>0.0</c:formatCode>
                <c:ptCount val="7"/>
                <c:pt idx="0">
                  <c:v>0</c:v>
                </c:pt>
                <c:pt idx="1">
                  <c:v>9.583019304675359E-6</c:v>
                </c:pt>
                <c:pt idx="2">
                  <c:v>2.5412083562816172E-5</c:v>
                </c:pt>
                <c:pt idx="3">
                  <c:v>2.6610835814008219E-5</c:v>
                </c:pt>
                <c:pt idx="4">
                  <c:v>0.84408809701885135</c:v>
                </c:pt>
                <c:pt idx="5">
                  <c:v>1.0502925038099009</c:v>
                </c:pt>
                <c:pt idx="6">
                  <c:v>1.9450167759087635</c:v>
                </c:pt>
              </c:numCache>
            </c:numRef>
          </c:val>
          <c:extLst>
            <c:ext xmlns:c16="http://schemas.microsoft.com/office/drawing/2014/chart" uri="{C3380CC4-5D6E-409C-BE32-E72D297353CC}">
              <c16:uniqueId val="{0000005C-1389-48E1-8F0B-2FF3830F7905}"/>
            </c:ext>
          </c:extLst>
        </c:ser>
        <c:ser>
          <c:idx val="95"/>
          <c:order val="93"/>
          <c:tx>
            <c:strRef>
              <c:f>Electricity_mixes!$A$98</c:f>
              <c:strCache>
                <c:ptCount val="1"/>
                <c:pt idx="0">
                  <c:v>Pump storage production6</c:v>
                </c:pt>
              </c:strCache>
            </c:strRef>
          </c:tx>
          <c:spPr>
            <a:solidFill>
              <a:schemeClr val="accent6">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Electricity_mixes!$B$98:$AH$98</c15:sqref>
                  </c15:fullRef>
                </c:ext>
              </c:extLst>
              <c:f>(Electricity_mixes!$B$98:$E$98,Electricity_mixes!$W$98:$Y$98)</c:f>
              <c:numCache>
                <c:formatCode>0.0</c:formatCode>
                <c:ptCount val="7"/>
                <c:pt idx="0">
                  <c:v>3.3120809771098436</c:v>
                </c:pt>
                <c:pt idx="1">
                  <c:v>3.4265630149130306</c:v>
                </c:pt>
                <c:pt idx="2">
                  <c:v>3.4604977393545648</c:v>
                </c:pt>
                <c:pt idx="3">
                  <c:v>3.5121368162688977</c:v>
                </c:pt>
                <c:pt idx="4">
                  <c:v>3.4627814155751766</c:v>
                </c:pt>
                <c:pt idx="5">
                  <c:v>3.5500818982051223</c:v>
                </c:pt>
                <c:pt idx="6">
                  <c:v>3.6548675885660664</c:v>
                </c:pt>
              </c:numCache>
            </c:numRef>
          </c:val>
          <c:extLst>
            <c:ext xmlns:c16="http://schemas.microsoft.com/office/drawing/2014/chart" uri="{C3380CC4-5D6E-409C-BE32-E72D297353CC}">
              <c16:uniqueId val="{0000005D-1389-48E1-8F0B-2FF3830F7905}"/>
            </c:ext>
          </c:extLst>
        </c:ser>
        <c:ser>
          <c:idx val="96"/>
          <c:order val="94"/>
          <c:tx>
            <c:strRef>
              <c:f>Electricity_mixes!$A$99</c:f>
              <c:strCache>
                <c:ptCount val="1"/>
                <c:pt idx="0">
                  <c:v>Stationary Batteries and CAES</c:v>
                </c:pt>
              </c:strCache>
            </c:strRef>
          </c:tx>
          <c:spPr>
            <a:solidFill>
              <a:schemeClr val="accent1">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Electricity_mixes!$B$99:$AH$99</c15:sqref>
                  </c15:fullRef>
                </c:ext>
              </c:extLst>
              <c:f>(Electricity_mixes!$B$99:$E$99,Electricity_mixes!$W$99:$Y$99)</c:f>
              <c:numCache>
                <c:formatCode>0.0</c:formatCode>
                <c:ptCount val="7"/>
                <c:pt idx="0">
                  <c:v>5.1630487533704198E-3</c:v>
                </c:pt>
                <c:pt idx="1">
                  <c:v>1.7020458148880597E-3</c:v>
                </c:pt>
                <c:pt idx="2">
                  <c:v>1.5869408792298968E-2</c:v>
                </c:pt>
                <c:pt idx="3">
                  <c:v>0.15432808611749682</c:v>
                </c:pt>
                <c:pt idx="4">
                  <c:v>1.3463847555545066E-2</c:v>
                </c:pt>
                <c:pt idx="5">
                  <c:v>0.39429347351877042</c:v>
                </c:pt>
                <c:pt idx="6">
                  <c:v>2.0896812936442295</c:v>
                </c:pt>
              </c:numCache>
            </c:numRef>
          </c:val>
          <c:extLst>
            <c:ext xmlns:c16="http://schemas.microsoft.com/office/drawing/2014/chart" uri="{C3380CC4-5D6E-409C-BE32-E72D297353CC}">
              <c16:uniqueId val="{0000005E-1389-48E1-8F0B-2FF3830F7905}"/>
            </c:ext>
          </c:extLst>
        </c:ser>
        <c:dLbls>
          <c:showLegendKey val="0"/>
          <c:showVal val="0"/>
          <c:showCatName val="0"/>
          <c:showSerName val="0"/>
          <c:showPercent val="0"/>
          <c:showBubbleSize val="0"/>
        </c:dLbls>
        <c:gapWidth val="150"/>
        <c:overlap val="100"/>
        <c:axId val="350190703"/>
        <c:axId val="1637637599"/>
      </c:barChart>
      <c:catAx>
        <c:axId val="35019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7637599"/>
        <c:crosses val="autoZero"/>
        <c:auto val="1"/>
        <c:lblAlgn val="ctr"/>
        <c:lblOffset val="100"/>
        <c:noMultiLvlLbl val="0"/>
      </c:catAx>
      <c:valAx>
        <c:axId val="1637637599"/>
        <c:scaling>
          <c:orientation val="minMax"/>
        </c:scaling>
        <c:delete val="0"/>
        <c:axPos val="l"/>
        <c:majorGridlines>
          <c:spPr>
            <a:ln w="9525" cap="flat" cmpd="sng" algn="ctr">
              <a:solidFill>
                <a:schemeClr val="tx1">
                  <a:lumMod val="15000"/>
                  <a:lumOff val="85000"/>
                </a:schemeClr>
              </a:solidFill>
              <a:round/>
            </a:ln>
            <a:effectLst/>
          </c:spPr>
        </c:majorGridlines>
        <c:title>
          <c:tx>
            <c:strRef>
              <c:f>Electricity_mixes!$A$82</c:f>
              <c:strCache>
                <c:ptCount val="1"/>
                <c:pt idx="0">
                  <c:v>Domestic electricity production by source (TWh/yr.)3</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350190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LCIA_ADP!$R$25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(LCIA_ADP!$Z$22:$Z$23,LCIA_ADP!$AC$22:$AW$23)</c:f>
              <c:multiLvlStrCache>
                <c:ptCount val="14"/>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LCIA_ADP!$Y$25:$AW$25</c15:sqref>
                  </c15:fullRef>
                </c:ext>
              </c:extLst>
              <c:f>(LCIA_ADP!$Z$25,LCIA_ADP!$AC$25:$AD$25,LCIA_ADP!$AG$25:$AQ$25)</c:f>
              <c:numCache>
                <c:formatCode>0.0</c:formatCode>
                <c:ptCount val="14"/>
                <c:pt idx="0">
                  <c:v>0</c:v>
                </c:pt>
                <c:pt idx="1">
                  <c:v>5.3009418606959118E-2</c:v>
                </c:pt>
                <c:pt idx="2">
                  <c:v>0</c:v>
                </c:pt>
                <c:pt idx="3">
                  <c:v>5.3009418606959118E-2</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CE8A-45E8-9BD7-2A32397279A7}"/>
            </c:ext>
          </c:extLst>
        </c:ser>
        <c:ser>
          <c:idx val="2"/>
          <c:order val="1"/>
          <c:tx>
            <c:strRef>
              <c:f>LCIA_ADP!$R$26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(LCIA_ADP!$Z$22:$Z$23,LCIA_ADP!$AC$22:$AW$23)</c:f>
              <c:multiLvlStrCache>
                <c:ptCount val="14"/>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LCIA_ADP!$Y$26:$AW$26</c15:sqref>
                  </c15:fullRef>
                </c:ext>
              </c:extLst>
              <c:f>(LCIA_ADP!$Z$26,LCIA_ADP!$AC$26:$AD$26,LCIA_ADP!$AG$26:$AQ$26)</c:f>
              <c:numCache>
                <c:formatCode>0.0</c:formatCode>
                <c:ptCount val="14"/>
                <c:pt idx="0">
                  <c:v>4.5327309595490508</c:v>
                </c:pt>
                <c:pt idx="1">
                  <c:v>4.5327309595490508</c:v>
                </c:pt>
                <c:pt idx="2">
                  <c:v>4.3789617934211797</c:v>
                </c:pt>
                <c:pt idx="3">
                  <c:v>4.3789617934211797</c:v>
                </c:pt>
                <c:pt idx="4">
                  <c:v>3.632313655650361</c:v>
                </c:pt>
                <c:pt idx="5">
                  <c:v>7.7974293245685589</c:v>
                </c:pt>
                <c:pt idx="6">
                  <c:v>3.5071036121271848</c:v>
                </c:pt>
                <c:pt idx="7">
                  <c:v>7.5638251166597055</c:v>
                </c:pt>
                <c:pt idx="8">
                  <c:v>8.7579235868423595</c:v>
                </c:pt>
                <c:pt idx="9">
                  <c:v>2.6273770760527078</c:v>
                </c:pt>
                <c:pt idx="10">
                  <c:v>7.0142072242543696</c:v>
                </c:pt>
                <c:pt idx="11">
                  <c:v>2.1042621672763109</c:v>
                </c:pt>
                <c:pt idx="12">
                  <c:v>15.127650233319411</c:v>
                </c:pt>
                <c:pt idx="13">
                  <c:v>4.5382950699958231</c:v>
                </c:pt>
              </c:numCache>
            </c:numRef>
          </c:val>
          <c:extLst>
            <c:ext xmlns:c16="http://schemas.microsoft.com/office/drawing/2014/chart" uri="{C3380CC4-5D6E-409C-BE32-E72D297353CC}">
              <c16:uniqueId val="{00000001-CE8A-45E8-9BD7-2A32397279A7}"/>
            </c:ext>
          </c:extLst>
        </c:ser>
        <c:ser>
          <c:idx val="3"/>
          <c:order val="2"/>
          <c:tx>
            <c:strRef>
              <c:f>LCIA_ADP!$R$27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(LCIA_ADP!$Z$22:$Z$23,LCIA_ADP!$AC$22:$AW$23)</c:f>
              <c:multiLvlStrCache>
                <c:ptCount val="14"/>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LCIA_ADP!$Y$27:$AW$27</c15:sqref>
                  </c15:fullRef>
                </c:ext>
              </c:extLst>
              <c:f>(LCIA_ADP!$Z$27,LCIA_ADP!$AC$27:$AD$27,LCIA_ADP!$AG$27:$AQ$27)</c:f>
              <c:numCache>
                <c:formatCode>0.0</c:formatCode>
                <c:ptCount val="14"/>
                <c:pt idx="0">
                  <c:v>1.8608747326563153</c:v>
                </c:pt>
                <c:pt idx="1">
                  <c:v>1.8608747326563153</c:v>
                </c:pt>
                <c:pt idx="2">
                  <c:v>1.6831849078602772</c:v>
                </c:pt>
                <c:pt idx="3">
                  <c:v>1.6831849078602772</c:v>
                </c:pt>
                <c:pt idx="4">
                  <c:v>1.8608747326563153</c:v>
                </c:pt>
                <c:pt idx="5">
                  <c:v>1.8608747326563153</c:v>
                </c:pt>
                <c:pt idx="6">
                  <c:v>1.6831849078602772</c:v>
                </c:pt>
                <c:pt idx="7">
                  <c:v>1.6831849078602772</c:v>
                </c:pt>
                <c:pt idx="8">
                  <c:v>3.3663698157205544</c:v>
                </c:pt>
                <c:pt idx="9">
                  <c:v>1.0099109447161663</c:v>
                </c:pt>
                <c:pt idx="10">
                  <c:v>3.3663698157205544</c:v>
                </c:pt>
                <c:pt idx="11">
                  <c:v>1.0099109447161663</c:v>
                </c:pt>
                <c:pt idx="12">
                  <c:v>3.3663698157205544</c:v>
                </c:pt>
                <c:pt idx="13">
                  <c:v>1.0099109447161663</c:v>
                </c:pt>
              </c:numCache>
            </c:numRef>
          </c:val>
          <c:extLst>
            <c:ext xmlns:c16="http://schemas.microsoft.com/office/drawing/2014/chart" uri="{C3380CC4-5D6E-409C-BE32-E72D297353CC}">
              <c16:uniqueId val="{00000002-CE8A-45E8-9BD7-2A32397279A7}"/>
            </c:ext>
          </c:extLst>
        </c:ser>
        <c:ser>
          <c:idx val="4"/>
          <c:order val="3"/>
          <c:tx>
            <c:strRef>
              <c:f>LCIA_ADP!$R$28</c:f>
              <c:strCache>
                <c:ptCount val="1"/>
                <c:pt idx="0">
                  <c:v>CO2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(LCIA_ADP!$Z$22:$Z$23,LCIA_ADP!$AC$22:$AW$23)</c:f>
              <c:multiLvlStrCache>
                <c:ptCount val="14"/>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LCIA_ADP!$Y$28:$AW$28</c15:sqref>
                  </c15:fullRef>
                </c:ext>
              </c:extLst>
              <c:f>(LCIA_ADP!$Z$28,LCIA_ADP!$AC$28:$AD$28,LCIA_ADP!$AG$28:$AQ$28)</c:f>
              <c:numCache>
                <c:formatCode>0.0</c:formatCode>
                <c:ptCount val="14"/>
                <c:pt idx="0">
                  <c:v>3.6760384889530318E-2</c:v>
                </c:pt>
                <c:pt idx="1">
                  <c:v>3.6760384889530318E-2</c:v>
                </c:pt>
                <c:pt idx="2">
                  <c:v>3.2745478453176539E-2</c:v>
                </c:pt>
                <c:pt idx="3">
                  <c:v>3.2745478453176539E-2</c:v>
                </c:pt>
                <c:pt idx="4">
                  <c:v>3.5431376035968132E-2</c:v>
                </c:pt>
                <c:pt idx="5">
                  <c:v>6.0859745434124785E-2</c:v>
                </c:pt>
                <c:pt idx="6">
                  <c:v>3.1561621676127506E-2</c:v>
                </c:pt>
                <c:pt idx="7">
                  <c:v>5.4212748010332538E-2</c:v>
                </c:pt>
                <c:pt idx="8">
                  <c:v>6.5490956906353079E-2</c:v>
                </c:pt>
                <c:pt idx="9">
                  <c:v>1.9647287071905925E-2</c:v>
                </c:pt>
                <c:pt idx="10">
                  <c:v>6.3123243352255012E-2</c:v>
                </c:pt>
                <c:pt idx="11">
                  <c:v>1.8936973005676504E-2</c:v>
                </c:pt>
                <c:pt idx="12">
                  <c:v>0.10842549602066508</c:v>
                </c:pt>
                <c:pt idx="13">
                  <c:v>3.2527648806199523E-2</c:v>
                </c:pt>
              </c:numCache>
            </c:numRef>
          </c:val>
          <c:extLst>
            <c:ext xmlns:c16="http://schemas.microsoft.com/office/drawing/2014/chart" uri="{C3380CC4-5D6E-409C-BE32-E72D297353CC}">
              <c16:uniqueId val="{00000003-CE8A-45E8-9BD7-2A32397279A7}"/>
            </c:ext>
          </c:extLst>
        </c:ser>
        <c:ser>
          <c:idx val="5"/>
          <c:order val="4"/>
          <c:tx>
            <c:strRef>
              <c:f>LCIA_ADP!$R$29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(LCIA_ADP!$Z$22:$Z$23,LCIA_ADP!$AC$22:$AW$23)</c:f>
              <c:multiLvlStrCache>
                <c:ptCount val="14"/>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LCIA_ADP!$Y$29:$AW$29</c15:sqref>
                  </c15:fullRef>
                </c:ext>
              </c:extLst>
              <c:f>(LCIA_ADP!$Z$29,LCIA_ADP!$AC$29:$AD$29,LCIA_ADP!$AG$29:$AQ$29)</c:f>
              <c:numCache>
                <c:formatCode>0.0</c:formatCode>
                <c:ptCount val="14"/>
                <c:pt idx="0">
                  <c:v>0.15851695986181216</c:v>
                </c:pt>
                <c:pt idx="1">
                  <c:v>0.15851695986181216</c:v>
                </c:pt>
                <c:pt idx="2">
                  <c:v>0.14195722002769462</c:v>
                </c:pt>
                <c:pt idx="3">
                  <c:v>0.14195722002769462</c:v>
                </c:pt>
                <c:pt idx="4">
                  <c:v>0.15851695986181216</c:v>
                </c:pt>
                <c:pt idx="5">
                  <c:v>0.15851695986181216</c:v>
                </c:pt>
                <c:pt idx="6">
                  <c:v>0.14195722002769462</c:v>
                </c:pt>
                <c:pt idx="7">
                  <c:v>0.14195722002769462</c:v>
                </c:pt>
                <c:pt idx="8">
                  <c:v>0.28391444005538924</c:v>
                </c:pt>
                <c:pt idx="9">
                  <c:v>8.5174332016616769E-2</c:v>
                </c:pt>
                <c:pt idx="10">
                  <c:v>0.28391444005538924</c:v>
                </c:pt>
                <c:pt idx="11">
                  <c:v>8.5174332016616769E-2</c:v>
                </c:pt>
                <c:pt idx="12">
                  <c:v>0.28391444005538924</c:v>
                </c:pt>
                <c:pt idx="13">
                  <c:v>8.5174332016616769E-2</c:v>
                </c:pt>
              </c:numCache>
            </c:numRef>
          </c:val>
          <c:extLst>
            <c:ext xmlns:c16="http://schemas.microsoft.com/office/drawing/2014/chart" uri="{C3380CC4-5D6E-409C-BE32-E72D297353CC}">
              <c16:uniqueId val="{00000004-CE8A-45E8-9BD7-2A32397279A7}"/>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LCIA_ADP!$O$42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LCIA_ADP!$AE$54</c:f>
          <c:strCache>
            <c:ptCount val="1"/>
            <c:pt idx="0">
              <c:v>CO2 supply chain climate change impacts</c:v>
            </c:pt>
          </c:strCache>
        </c:strRef>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LCIA_ADP!$AD$57</c:f>
              <c:strCache>
                <c:ptCount val="1"/>
                <c:pt idx="0">
                  <c:v>CO₂ capture </c:v>
                </c:pt>
              </c:strCache>
            </c:strRef>
          </c:tx>
          <c:spPr>
            <a:solidFill>
              <a:schemeClr val="accent1"/>
            </a:solidFill>
            <a:ln>
              <a:noFill/>
            </a:ln>
            <a:effectLst/>
          </c:spPr>
          <c:invertIfNegative val="0"/>
          <c:cat>
            <c:multiLvlStrRef>
              <c:f>LCIA_ADP!$AE$55:$AK$56</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LCIA_ADP!$AE$57:$AK$57</c:f>
              <c:numCache>
                <c:formatCode>0.0000</c:formatCode>
                <c:ptCount val="7"/>
                <c:pt idx="0">
                  <c:v>3.4389163918367008E-2</c:v>
                </c:pt>
                <c:pt idx="1">
                  <c:v>2.9714230463765992E-2</c:v>
                </c:pt>
                <c:pt idx="2">
                  <c:v>2.7880965905215008E-2</c:v>
                </c:pt>
                <c:pt idx="3">
                  <c:v>2.6460497486195986E-2</c:v>
                </c:pt>
                <c:pt idx="4">
                  <c:v>2.6917965522209E-2</c:v>
                </c:pt>
                <c:pt idx="5">
                  <c:v>2.4490599379457009E-2</c:v>
                </c:pt>
                <c:pt idx="6">
                  <c:v>2.3718343536768702E-2</c:v>
                </c:pt>
              </c:numCache>
            </c:numRef>
          </c:val>
          <c:extLst>
            <c:ext xmlns:c16="http://schemas.microsoft.com/office/drawing/2014/chart" uri="{C3380CC4-5D6E-409C-BE32-E72D297353CC}">
              <c16:uniqueId val="{00000000-9F30-4857-BAB3-A5F93E6DE9C9}"/>
            </c:ext>
          </c:extLst>
        </c:ser>
        <c:ser>
          <c:idx val="1"/>
          <c:order val="1"/>
          <c:tx>
            <c:strRef>
              <c:f>LCIA_ADP!$AD$58</c:f>
              <c:strCache>
                <c:ptCount val="1"/>
                <c:pt idx="0">
                  <c:v>Conditioning</c:v>
                </c:pt>
              </c:strCache>
            </c:strRef>
          </c:tx>
          <c:spPr>
            <a:solidFill>
              <a:schemeClr val="accent2"/>
            </a:solidFill>
            <a:ln>
              <a:noFill/>
            </a:ln>
            <a:effectLst/>
          </c:spPr>
          <c:invertIfNegative val="0"/>
          <c:cat>
            <c:multiLvlStrRef>
              <c:f>LCIA_ADP!$AE$55:$AK$56</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LCIA_ADP!$AE$58:$AK$58</c:f>
              <c:numCache>
                <c:formatCode>0.0000</c:formatCode>
                <c:ptCount val="7"/>
                <c:pt idx="0">
                  <c:v>3.8866565832717942E-3</c:v>
                </c:pt>
                <c:pt idx="1">
                  <c:v>3.7588559927177329E-3</c:v>
                </c:pt>
                <c:pt idx="2">
                  <c:v>3.712074492049619E-3</c:v>
                </c:pt>
                <c:pt idx="3">
                  <c:v>3.6779142302028715E-3</c:v>
                </c:pt>
                <c:pt idx="4">
                  <c:v>3.6975130865660212E-3</c:v>
                </c:pt>
                <c:pt idx="5">
                  <c:v>3.6094830310270387E-3</c:v>
                </c:pt>
                <c:pt idx="6">
                  <c:v>3.581624993022451E-3</c:v>
                </c:pt>
              </c:numCache>
            </c:numRef>
          </c:val>
          <c:extLst>
            <c:ext xmlns:c16="http://schemas.microsoft.com/office/drawing/2014/chart" uri="{C3380CC4-5D6E-409C-BE32-E72D297353CC}">
              <c16:uniqueId val="{00000001-9F30-4857-BAB3-A5F93E6DE9C9}"/>
            </c:ext>
          </c:extLst>
        </c:ser>
        <c:ser>
          <c:idx val="2"/>
          <c:order val="2"/>
          <c:tx>
            <c:strRef>
              <c:f>LCIA_ADP!$AD$59</c:f>
              <c:strCache>
                <c:ptCount val="1"/>
                <c:pt idx="0">
                  <c:v>Storage</c:v>
                </c:pt>
              </c:strCache>
            </c:strRef>
          </c:tx>
          <c:spPr>
            <a:solidFill>
              <a:schemeClr val="accent3"/>
            </a:solidFill>
            <a:ln>
              <a:noFill/>
            </a:ln>
            <a:effectLst/>
          </c:spPr>
          <c:invertIfNegative val="0"/>
          <c:cat>
            <c:multiLvlStrRef>
              <c:f>LCIA_ADP!$AE$55:$AK$56</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LCIA_ADP!$AE$59:$AK$59</c:f>
              <c:numCache>
                <c:formatCode>0.0000</c:formatCode>
                <c:ptCount val="7"/>
                <c:pt idx="0">
                  <c:v>6.2875134828678722E-3</c:v>
                </c:pt>
                <c:pt idx="1">
                  <c:v>5.1651317392265722E-3</c:v>
                </c:pt>
                <c:pt idx="2">
                  <c:v>4.7044526455660499E-3</c:v>
                </c:pt>
                <c:pt idx="3">
                  <c:v>4.3391768461405363E-3</c:v>
                </c:pt>
                <c:pt idx="4">
                  <c:v>4.5272783697521794E-3</c:v>
                </c:pt>
                <c:pt idx="5">
                  <c:v>3.7649665815758099E-3</c:v>
                </c:pt>
                <c:pt idx="6">
                  <c:v>3.5511783598803776E-3</c:v>
                </c:pt>
              </c:numCache>
            </c:numRef>
          </c:val>
          <c:extLst>
            <c:ext xmlns:c16="http://schemas.microsoft.com/office/drawing/2014/chart" uri="{C3380CC4-5D6E-409C-BE32-E72D297353CC}">
              <c16:uniqueId val="{00000002-9F30-4857-BAB3-A5F93E6DE9C9}"/>
            </c:ext>
          </c:extLst>
        </c:ser>
        <c:ser>
          <c:idx val="3"/>
          <c:order val="3"/>
          <c:tx>
            <c:strRef>
              <c:f>LCIA_ADP!$AD$60</c:f>
              <c:strCache>
                <c:ptCount val="1"/>
                <c:pt idx="0">
                  <c:v>Transport</c:v>
                </c:pt>
              </c:strCache>
            </c:strRef>
          </c:tx>
          <c:spPr>
            <a:solidFill>
              <a:schemeClr val="accent4"/>
            </a:solidFill>
            <a:ln>
              <a:noFill/>
            </a:ln>
            <a:effectLst/>
          </c:spPr>
          <c:invertIfNegative val="0"/>
          <c:cat>
            <c:multiLvlStrRef>
              <c:f>LCIA_ADP!$AE$55:$AK$56</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LCIA_ADP!$AE$60:$AK$60</c:f>
              <c:numCache>
                <c:formatCode>0.0000</c:formatCode>
                <c:ptCount val="7"/>
                <c:pt idx="0">
                  <c:v>2.3855881443869804E-2</c:v>
                </c:pt>
                <c:pt idx="1">
                  <c:v>2.1643794581771798E-2</c:v>
                </c:pt>
                <c:pt idx="2">
                  <c:v>1.8339048602366896E-2</c:v>
                </c:pt>
                <c:pt idx="3">
                  <c:v>1.6008650758087599E-2</c:v>
                </c:pt>
                <c:pt idx="4">
                  <c:v>1.8555273727641403E-2</c:v>
                </c:pt>
                <c:pt idx="5">
                  <c:v>1.3104842395329497E-2</c:v>
                </c:pt>
                <c:pt idx="6">
                  <c:v>9.8256188690552214E-3</c:v>
                </c:pt>
              </c:numCache>
            </c:numRef>
          </c:val>
          <c:extLst>
            <c:ext xmlns:c16="http://schemas.microsoft.com/office/drawing/2014/chart" uri="{C3380CC4-5D6E-409C-BE32-E72D297353CC}">
              <c16:uniqueId val="{00000003-9F30-4857-BAB3-A5F93E6DE9C9}"/>
            </c:ext>
          </c:extLst>
        </c:ser>
        <c:ser>
          <c:idx val="4"/>
          <c:order val="4"/>
          <c:tx>
            <c:strRef>
              <c:f>LCIA_ADP!$AD$61</c:f>
              <c:strCache>
                <c:ptCount val="1"/>
                <c:pt idx="0">
                  <c:v>Supercritical</c:v>
                </c:pt>
              </c:strCache>
            </c:strRef>
          </c:tx>
          <c:spPr>
            <a:solidFill>
              <a:schemeClr val="accent5"/>
            </a:solidFill>
            <a:ln>
              <a:noFill/>
            </a:ln>
            <a:effectLst/>
          </c:spPr>
          <c:invertIfNegative val="0"/>
          <c:cat>
            <c:multiLvlStrRef>
              <c:f>LCIA_ADP!$AE$55:$AK$56</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LCIA_ADP!$AE$61:$AK$61</c:f>
              <c:numCache>
                <c:formatCode>0.0000</c:formatCode>
                <c:ptCount val="7"/>
                <c:pt idx="0">
                  <c:v>2.8962454878822541E-8</c:v>
                </c:pt>
                <c:pt idx="1">
                  <c:v>4.1465919843608479E-8</c:v>
                </c:pt>
                <c:pt idx="2">
                  <c:v>6.2948690732200774E-8</c:v>
                </c:pt>
                <c:pt idx="3">
                  <c:v>9.1851755389116274E-8</c:v>
                </c:pt>
                <c:pt idx="4">
                  <c:v>7.8747724820138476E-8</c:v>
                </c:pt>
                <c:pt idx="5">
                  <c:v>1.3573922720555576E-7</c:v>
                </c:pt>
                <c:pt idx="6">
                  <c:v>1.952373801170082E-7</c:v>
                </c:pt>
              </c:numCache>
            </c:numRef>
          </c:val>
          <c:extLst>
            <c:ext xmlns:c16="http://schemas.microsoft.com/office/drawing/2014/chart" uri="{C3380CC4-5D6E-409C-BE32-E72D297353CC}">
              <c16:uniqueId val="{00000004-9F30-4857-BAB3-A5F93E6DE9C9}"/>
            </c:ext>
          </c:extLst>
        </c:ser>
        <c:ser>
          <c:idx val="5"/>
          <c:order val="5"/>
          <c:tx>
            <c:strRef>
              <c:f>LCIA_ADP!$AD$62</c:f>
              <c:strCache>
                <c:ptCount val="1"/>
                <c:pt idx="0">
                  <c:v>Injection</c:v>
                </c:pt>
              </c:strCache>
            </c:strRef>
          </c:tx>
          <c:spPr>
            <a:solidFill>
              <a:schemeClr val="accent6"/>
            </a:solidFill>
            <a:ln>
              <a:noFill/>
            </a:ln>
            <a:effectLst/>
          </c:spPr>
          <c:invertIfNegative val="0"/>
          <c:cat>
            <c:multiLvlStrRef>
              <c:f>LCIA_ADP!$AE$55:$AK$56</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LCIA_ADP!$AE$62:$AK$62</c:f>
              <c:numCache>
                <c:formatCode>0.0000</c:formatCode>
                <c:ptCount val="7"/>
                <c:pt idx="0">
                  <c:v>2.8962454878822541E-8</c:v>
                </c:pt>
                <c:pt idx="1">
                  <c:v>4.1465919843608479E-8</c:v>
                </c:pt>
                <c:pt idx="2">
                  <c:v>6.2948690732200774E-8</c:v>
                </c:pt>
                <c:pt idx="3">
                  <c:v>9.1851755389116274E-8</c:v>
                </c:pt>
                <c:pt idx="4">
                  <c:v>7.8747724820138476E-8</c:v>
                </c:pt>
                <c:pt idx="5">
                  <c:v>1.3573922720555576E-7</c:v>
                </c:pt>
                <c:pt idx="6">
                  <c:v>1.952373801170082E-7</c:v>
                </c:pt>
              </c:numCache>
            </c:numRef>
          </c:val>
          <c:extLst>
            <c:ext xmlns:c16="http://schemas.microsoft.com/office/drawing/2014/chart" uri="{C3380CC4-5D6E-409C-BE32-E72D297353CC}">
              <c16:uniqueId val="{00000005-9F30-4857-BAB3-A5F93E6DE9C9}"/>
            </c:ext>
          </c:extLst>
        </c:ser>
        <c:dLbls>
          <c:showLegendKey val="0"/>
          <c:showVal val="0"/>
          <c:showCatName val="0"/>
          <c:showSerName val="0"/>
          <c:showPercent val="0"/>
          <c:showBubbleSize val="0"/>
        </c:dLbls>
        <c:gapWidth val="150"/>
        <c:overlap val="100"/>
        <c:axId val="2120261327"/>
        <c:axId val="1154166895"/>
      </c:barChart>
      <c:catAx>
        <c:axId val="212026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154166895"/>
        <c:crosses val="autoZero"/>
        <c:auto val="1"/>
        <c:lblAlgn val="ctr"/>
        <c:lblOffset val="100"/>
        <c:noMultiLvlLbl val="0"/>
      </c:catAx>
      <c:valAx>
        <c:axId val="115416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t>Greenhouse gas emissions
[kg CO₂-eq/kg]</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2120261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LCIA_ADP!$B$8:$C$8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LCIA_ADP!$Y$8:$AW$8</c15:sqref>
                  </c15:fullRef>
                </c:ext>
              </c:extLst>
              <c:f>(LCIA_ADP!$Y$8:$AB$8,LCIA_ADP!$AD$8:$AF$8)</c:f>
              <c:numCache>
                <c:formatCode>General</c:formatCode>
                <c:ptCount val="7"/>
                <c:pt idx="0">
                  <c:v>6.0001446766251439E-5</c:v>
                </c:pt>
                <c:pt idx="1">
                  <c:v>0</c:v>
                </c:pt>
                <c:pt idx="2">
                  <c:v>0</c:v>
                </c:pt>
                <c:pt idx="3">
                  <c:v>0</c:v>
                </c:pt>
                <c:pt idx="4">
                  <c:v>0</c:v>
                </c:pt>
                <c:pt idx="5">
                  <c:v>0</c:v>
                </c:pt>
                <c:pt idx="6">
                  <c:v>0</c:v>
                </c:pt>
              </c:numCache>
            </c:numRef>
          </c:val>
          <c:extLst>
            <c:ext xmlns:c16="http://schemas.microsoft.com/office/drawing/2014/chart" uri="{C3380CC4-5D6E-409C-BE32-E72D297353CC}">
              <c16:uniqueId val="{00000000-2510-40B9-950B-C161BCAEA733}"/>
            </c:ext>
          </c:extLst>
        </c:ser>
        <c:ser>
          <c:idx val="1"/>
          <c:order val="1"/>
          <c:tx>
            <c:strRef>
              <c:f>LCIA_ADP!$B$9:$C$9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LCIA_ADP!$Y$9:$AW$9</c15:sqref>
                  </c15:fullRef>
                </c:ext>
              </c:extLst>
              <c:f>(LCIA_ADP!$Y$9:$AB$9,LCIA_ADP!$AD$9:$AF$9)</c:f>
              <c:numCache>
                <c:formatCode>General</c:formatCode>
                <c:ptCount val="7"/>
                <c:pt idx="0">
                  <c:v>2.7000651044813145E-4</c:v>
                </c:pt>
                <c:pt idx="1">
                  <c:v>0</c:v>
                </c:pt>
                <c:pt idx="2">
                  <c:v>0</c:v>
                </c:pt>
                <c:pt idx="3">
                  <c:v>0</c:v>
                </c:pt>
                <c:pt idx="4">
                  <c:v>0</c:v>
                </c:pt>
                <c:pt idx="5">
                  <c:v>0</c:v>
                </c:pt>
                <c:pt idx="6">
                  <c:v>0</c:v>
                </c:pt>
              </c:numCache>
            </c:numRef>
          </c:val>
          <c:extLst>
            <c:ext xmlns:c16="http://schemas.microsoft.com/office/drawing/2014/chart" uri="{C3380CC4-5D6E-409C-BE32-E72D297353CC}">
              <c16:uniqueId val="{00000001-2510-40B9-950B-C161BCAEA733}"/>
            </c:ext>
          </c:extLst>
        </c:ser>
        <c:ser>
          <c:idx val="2"/>
          <c:order val="2"/>
          <c:tx>
            <c:strRef>
              <c:f>LCIA_ADP!$B$10:$C$10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LCIA_ADP!$Y$10:$AW$10</c15:sqref>
                  </c15:fullRef>
                </c:ext>
              </c:extLst>
              <c:f>(LCIA_ADP!$Y$10:$AB$10,LCIA_ADP!$AD$10:$AF$10)</c:f>
              <c:numCache>
                <c:formatCode>General</c:formatCode>
                <c:ptCount val="7"/>
                <c:pt idx="0">
                  <c:v>4.5968549804395326E-3</c:v>
                </c:pt>
                <c:pt idx="1">
                  <c:v>3.7019200907294067E-3</c:v>
                </c:pt>
                <c:pt idx="2">
                  <c:v>3.3608562416467787E-3</c:v>
                </c:pt>
                <c:pt idx="3">
                  <c:v>3.0044617602192764E-3</c:v>
                </c:pt>
                <c:pt idx="4">
                  <c:v>3.5514121707996772E-3</c:v>
                </c:pt>
                <c:pt idx="5">
                  <c:v>2.7829575390840747E-3</c:v>
                </c:pt>
                <c:pt idx="6">
                  <c:v>2.4300539716541818E-3</c:v>
                </c:pt>
              </c:numCache>
            </c:numRef>
          </c:val>
          <c:extLst>
            <c:ext xmlns:c16="http://schemas.microsoft.com/office/drawing/2014/chart" uri="{C3380CC4-5D6E-409C-BE32-E72D297353CC}">
              <c16:uniqueId val="{00000002-2510-40B9-950B-C161BCAEA733}"/>
            </c:ext>
          </c:extLst>
        </c:ser>
        <c:ser>
          <c:idx val="3"/>
          <c:order val="3"/>
          <c:tx>
            <c:strRef>
              <c:f>LCIA_ADP!$B$11:$C$11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LCIA_ADP!$Y$11:$AW$11</c15:sqref>
                  </c15:fullRef>
                </c:ext>
              </c:extLst>
              <c:f>(LCIA_ADP!$Y$11:$AB$11,LCIA_ADP!$AD$11:$AF$11)</c:f>
              <c:numCache>
                <c:formatCode>General</c:formatCode>
                <c:ptCount val="7"/>
                <c:pt idx="0">
                  <c:v>8.3489315473123853E-4</c:v>
                </c:pt>
                <c:pt idx="1">
                  <c:v>8.3074801928430372E-4</c:v>
                </c:pt>
                <c:pt idx="2">
                  <c:v>8.1522138792019595E-4</c:v>
                </c:pt>
                <c:pt idx="3">
                  <c:v>8.0642084340208989E-4</c:v>
                </c:pt>
                <c:pt idx="4">
                  <c:v>8.2749084743150817E-4</c:v>
                </c:pt>
                <c:pt idx="5">
                  <c:v>6.7490571030803142E-4</c:v>
                </c:pt>
                <c:pt idx="6">
                  <c:v>4.9444440000928386E-4</c:v>
                </c:pt>
              </c:numCache>
            </c:numRef>
          </c:val>
          <c:extLst>
            <c:ext xmlns:c16="http://schemas.microsoft.com/office/drawing/2014/chart" uri="{C3380CC4-5D6E-409C-BE32-E72D297353CC}">
              <c16:uniqueId val="{00000003-2510-40B9-950B-C161BCAEA733}"/>
            </c:ext>
          </c:extLst>
        </c:ser>
        <c:ser>
          <c:idx val="4"/>
          <c:order val="4"/>
          <c:tx>
            <c:strRef>
              <c:f>LCIA_ADP!$B$12:$C$12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LCIA_ADP!$Y$12:$AW$12</c15:sqref>
                  </c15:fullRef>
                </c:ext>
              </c:extLst>
              <c:f>(LCIA_ADP!$Y$12:$AB$12,LCIA_ADP!$AD$12:$AF$12)</c:f>
              <c:numCache>
                <c:formatCode>General</c:formatCode>
                <c:ptCount val="7"/>
                <c:pt idx="0">
                  <c:v>2.8467298750352827E-8</c:v>
                </c:pt>
                <c:pt idx="1">
                  <c:v>6.284953534118252E-8</c:v>
                </c:pt>
                <c:pt idx="2">
                  <c:v>5.0355117542444152E-8</c:v>
                </c:pt>
                <c:pt idx="3">
                  <c:v>3.755439463615448E-8</c:v>
                </c:pt>
                <c:pt idx="4">
                  <c:v>5.877518999455008E-8</c:v>
                </c:pt>
                <c:pt idx="5">
                  <c:v>2.6232963259533733E-8</c:v>
                </c:pt>
                <c:pt idx="6">
                  <c:v>1.6982453783291873E-8</c:v>
                </c:pt>
              </c:numCache>
            </c:numRef>
          </c:val>
          <c:extLst>
            <c:ext xmlns:c16="http://schemas.microsoft.com/office/drawing/2014/chart" uri="{C3380CC4-5D6E-409C-BE32-E72D297353CC}">
              <c16:uniqueId val="{00000004-2510-40B9-950B-C161BCAEA733}"/>
            </c:ext>
          </c:extLst>
        </c:ser>
        <c:ser>
          <c:idx val="5"/>
          <c:order val="5"/>
          <c:tx>
            <c:strRef>
              <c:f>LCIA_ADP!$B$13:$C$13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LCIA_ADP!$Y$13:$AW$13</c15:sqref>
                  </c15:fullRef>
                </c:ext>
              </c:extLst>
              <c:f>(LCIA_ADP!$Y$13:$AB$13,LCIA_ADP!$AD$13:$AF$13)</c:f>
              <c:numCache>
                <c:formatCode>General</c:formatCode>
                <c:ptCount val="7"/>
                <c:pt idx="0">
                  <c:v>2.0111419030359673E-3</c:v>
                </c:pt>
                <c:pt idx="1">
                  <c:v>1.8608747326563154E-3</c:v>
                </c:pt>
                <c:pt idx="2">
                  <c:v>1.7474134058461778E-3</c:v>
                </c:pt>
                <c:pt idx="3">
                  <c:v>1.6836276757646669E-3</c:v>
                </c:pt>
                <c:pt idx="4">
                  <c:v>1.6831849078602771E-3</c:v>
                </c:pt>
                <c:pt idx="5">
                  <c:v>1.3111298808283387E-3</c:v>
                </c:pt>
                <c:pt idx="6">
                  <c:v>1.0917237401074152E-3</c:v>
                </c:pt>
              </c:numCache>
            </c:numRef>
          </c:val>
          <c:extLst>
            <c:ext xmlns:c16="http://schemas.microsoft.com/office/drawing/2014/chart" uri="{C3380CC4-5D6E-409C-BE32-E72D297353CC}">
              <c16:uniqueId val="{00000005-2510-40B9-950B-C161BCAEA733}"/>
            </c:ext>
          </c:extLst>
        </c:ser>
        <c:ser>
          <c:idx val="6"/>
          <c:order val="6"/>
          <c:tx>
            <c:strRef>
              <c:f>LCIA_ADP!$B$14:$C$14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LCIA_ADP!$Y$14:$AW$14</c15:sqref>
                  </c15:fullRef>
                </c:ext>
              </c:extLst>
              <c:f>(LCIA_ADP!$Y$14:$AB$14,LCIA_ADP!$AD$14:$AF$14)</c:f>
              <c:numCache>
                <c:formatCode>General</c:formatCode>
                <c:ptCount val="7"/>
                <c:pt idx="0">
                  <c:v>2.0970719196028805E-5</c:v>
                </c:pt>
                <c:pt idx="1">
                  <c:v>1.8119916630160139E-5</c:v>
                </c:pt>
                <c:pt idx="2">
                  <c:v>1.7001980865258589E-5</c:v>
                </c:pt>
                <c:pt idx="3">
                  <c:v>1.6135770671466551E-5</c:v>
                </c:pt>
                <c:pt idx="4">
                  <c:v>1.6414737433995601E-5</c:v>
                </c:pt>
                <c:pt idx="5">
                  <c:v>1.4934514946283059E-5</c:v>
                </c:pt>
                <c:pt idx="6">
                  <c:v>1.4463588684075808E-5</c:v>
                </c:pt>
              </c:numCache>
            </c:numRef>
          </c:val>
          <c:extLst>
            <c:ext xmlns:c16="http://schemas.microsoft.com/office/drawing/2014/chart" uri="{C3380CC4-5D6E-409C-BE32-E72D297353CC}">
              <c16:uniqueId val="{00000006-2510-40B9-950B-C161BCAEA733}"/>
            </c:ext>
          </c:extLst>
        </c:ser>
        <c:ser>
          <c:idx val="7"/>
          <c:order val="7"/>
          <c:tx>
            <c:strRef>
              <c:f>LCIA_ADP!$B$15:$C$15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LCIA_ADP!$Y$15:$AW$15</c15:sqref>
                  </c15:fullRef>
                </c:ext>
              </c:extLst>
              <c:f>(LCIA_ADP!$Y$15:$AB$15,LCIA_ADP!$AD$15:$AF$15)</c:f>
              <c:numCache>
                <c:formatCode>General</c:formatCode>
                <c:ptCount val="7"/>
                <c:pt idx="0">
                  <c:v>3.8341635755804193E-6</c:v>
                </c:pt>
                <c:pt idx="1">
                  <c:v>3.1497284310528184E-6</c:v>
                </c:pt>
                <c:pt idx="2">
                  <c:v>2.8688035462382707E-6</c:v>
                </c:pt>
                <c:pt idx="3">
                  <c:v>2.6460561646200105E-6</c:v>
                </c:pt>
                <c:pt idx="4">
                  <c:v>2.7607616061762139E-6</c:v>
                </c:pt>
                <c:pt idx="5">
                  <c:v>2.2958992882781308E-6</c:v>
                </c:pt>
                <c:pt idx="6">
                  <c:v>2.1655299435846769E-6</c:v>
                </c:pt>
              </c:numCache>
            </c:numRef>
          </c:val>
          <c:extLst>
            <c:ext xmlns:c16="http://schemas.microsoft.com/office/drawing/2014/chart" uri="{C3380CC4-5D6E-409C-BE32-E72D297353CC}">
              <c16:uniqueId val="{00000007-2510-40B9-950B-C161BCAEA733}"/>
            </c:ext>
          </c:extLst>
        </c:ser>
        <c:ser>
          <c:idx val="8"/>
          <c:order val="8"/>
          <c:tx>
            <c:strRef>
              <c:f>LCIA_ADP!$B$16:$C$16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LCIA_ADP!$Y$16:$AW$16</c15:sqref>
                  </c15:fullRef>
                </c:ext>
              </c:extLst>
              <c:f>(LCIA_ADP!$Y$16:$AB$16,LCIA_ADP!$AD$16:$AF$16)</c:f>
              <c:numCache>
                <c:formatCode>General</c:formatCode>
                <c:ptCount val="7"/>
                <c:pt idx="0">
                  <c:v>1.4547460127867619E-5</c:v>
                </c:pt>
                <c:pt idx="1">
                  <c:v>1.3198516241578319E-5</c:v>
                </c:pt>
                <c:pt idx="2">
                  <c:v>1.118326224724404E-5</c:v>
                </c:pt>
                <c:pt idx="3">
                  <c:v>9.7621716117339743E-6</c:v>
                </c:pt>
                <c:pt idx="4">
                  <c:v>1.1315117630411294E-5</c:v>
                </c:pt>
                <c:pt idx="5">
                  <c:v>7.9914117898600626E-6</c:v>
                </c:pt>
                <c:pt idx="6">
                  <c:v>5.9917215411017641E-6</c:v>
                </c:pt>
              </c:numCache>
            </c:numRef>
          </c:val>
          <c:extLst>
            <c:ext xmlns:c16="http://schemas.microsoft.com/office/drawing/2014/chart" uri="{C3380CC4-5D6E-409C-BE32-E72D297353CC}">
              <c16:uniqueId val="{00000008-2510-40B9-950B-C161BCAEA733}"/>
            </c:ext>
          </c:extLst>
        </c:ser>
        <c:ser>
          <c:idx val="9"/>
          <c:order val="9"/>
          <c:tx>
            <c:strRef>
              <c:f>LCIA_ADP!$B$17:$C$17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LCIA_ADP!$Y$17:$AW$17</c15:sqref>
                  </c15:fullRef>
                </c:ext>
              </c:extLst>
              <c:f>(LCIA_ADP!$Y$17:$AB$17,LCIA_ADP!$AD$17:$AF$17)</c:f>
              <c:numCache>
                <c:formatCode>General</c:formatCode>
                <c:ptCount val="7"/>
                <c:pt idx="0">
                  <c:v>2.3701242454215625E-6</c:v>
                </c:pt>
                <c:pt idx="1">
                  <c:v>2.2921983005714796E-6</c:v>
                </c:pt>
                <c:pt idx="2">
                  <c:v>2.2636837601409035E-6</c:v>
                </c:pt>
                <c:pt idx="3">
                  <c:v>2.2428702520690817E-6</c:v>
                </c:pt>
                <c:pt idx="4">
                  <c:v>2.2548137617567408E-6</c:v>
                </c:pt>
                <c:pt idx="5">
                  <c:v>2.2011672576688527E-6</c:v>
                </c:pt>
                <c:pt idx="6">
                  <c:v>2.184215540707285E-6</c:v>
                </c:pt>
              </c:numCache>
            </c:numRef>
          </c:val>
          <c:extLst>
            <c:ext xmlns:c16="http://schemas.microsoft.com/office/drawing/2014/chart" uri="{C3380CC4-5D6E-409C-BE32-E72D297353CC}">
              <c16:uniqueId val="{00000009-2510-40B9-950B-C161BCAEA733}"/>
            </c:ext>
          </c:extLst>
        </c:ser>
        <c:ser>
          <c:idx val="10"/>
          <c:order val="10"/>
          <c:tx>
            <c:strRef>
              <c:f>LCIA_ADP!$B$18:$C$18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LCIA_ADP!$Y$18:$AW$18</c15:sqref>
                  </c15:fullRef>
                </c:ext>
              </c:extLst>
              <c:f>(LCIA_ADP!$Y$18:$AB$18,LCIA_ADP!$AD$18:$AF$18)</c:f>
              <c:numCache>
                <c:formatCode>General</c:formatCode>
                <c:ptCount val="7"/>
                <c:pt idx="0">
                  <c:v>1.7661479352426285E-11</c:v>
                </c:pt>
                <c:pt idx="1">
                  <c:v>2.528616756457172E-11</c:v>
                </c:pt>
                <c:pt idx="2">
                  <c:v>3.8386490588612366E-11</c:v>
                </c:pt>
                <c:pt idx="3">
                  <c:v>5.6011753426163244E-11</c:v>
                </c:pt>
                <c:pt idx="4">
                  <c:v>4.8020836692900012E-11</c:v>
                </c:pt>
                <c:pt idx="5">
                  <c:v>8.2774597962625712E-11</c:v>
                </c:pt>
                <c:pt idx="6">
                  <c:v>1.1905692981431853E-10</c:v>
                </c:pt>
              </c:numCache>
            </c:numRef>
          </c:val>
          <c:extLst>
            <c:ext xmlns:c16="http://schemas.microsoft.com/office/drawing/2014/chart" uri="{C3380CC4-5D6E-409C-BE32-E72D297353CC}">
              <c16:uniqueId val="{0000000A-2510-40B9-950B-C161BCAEA733}"/>
            </c:ext>
          </c:extLst>
        </c:ser>
        <c:ser>
          <c:idx val="11"/>
          <c:order val="11"/>
          <c:tx>
            <c:strRef>
              <c:f>LCIA_ADP!$B$19:$C$19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LCIA_ADP!$Y$19:$AW$19</c15:sqref>
                  </c15:fullRef>
                </c:ext>
              </c:extLst>
              <c:f>(LCIA_ADP!$Y$19:$AB$19,LCIA_ADP!$AD$19:$AF$19)</c:f>
              <c:numCache>
                <c:formatCode>General</c:formatCode>
                <c:ptCount val="7"/>
                <c:pt idx="0">
                  <c:v>2.2396299330595257E-4</c:v>
                </c:pt>
                <c:pt idx="1">
                  <c:v>1.5851695986181217E-4</c:v>
                </c:pt>
                <c:pt idx="2">
                  <c:v>1.4370152279940605E-4</c:v>
                </c:pt>
                <c:pt idx="3">
                  <c:v>1.3632829357682795E-4</c:v>
                </c:pt>
                <c:pt idx="4">
                  <c:v>1.4195722002769461E-4</c:v>
                </c:pt>
                <c:pt idx="5">
                  <c:v>1.1067782437403336E-4</c:v>
                </c:pt>
                <c:pt idx="6">
                  <c:v>9.4420393666005698E-5</c:v>
                </c:pt>
              </c:numCache>
            </c:numRef>
          </c:val>
          <c:extLst>
            <c:ext xmlns:c16="http://schemas.microsoft.com/office/drawing/2014/chart" uri="{C3380CC4-5D6E-409C-BE32-E72D297353CC}">
              <c16:uniqueId val="{0000000B-2510-40B9-950B-C161BCAEA733}"/>
            </c:ext>
          </c:extLst>
        </c:ser>
        <c:ser>
          <c:idx val="12"/>
          <c:order val="12"/>
          <c:tx>
            <c:strRef>
              <c:f>LCIA_ADP!$B$20:$C$20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LCIA_ADP!$Y$20:$AW$20</c15:sqref>
                  </c15:fullRef>
                </c:ext>
              </c:extLst>
              <c:f>(LCIA_ADP!$Y$20:$AB$20,LCIA_ADP!$AD$20:$AF$20)</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C-2510-40B9-950B-C161BCAEA733}"/>
            </c:ext>
          </c:extLst>
        </c:ser>
        <c:ser>
          <c:idx val="13"/>
          <c:order val="13"/>
          <c:tx>
            <c:strRef>
              <c:f>LCIA_ADP!$B$21:$C$21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LCIA_ADP!$Y$6:$AW$7</c:f>
              <c:multiLvlStrCache>
                <c:ptCount val="7"/>
                <c:lvl>
                  <c:pt idx="0">
                    <c:v>2020</c:v>
                  </c:pt>
                  <c:pt idx="1">
                    <c:v>2030</c:v>
                  </c:pt>
                  <c:pt idx="2">
                    <c:v>2040</c:v>
                  </c:pt>
                  <c:pt idx="3">
                    <c:v>2050</c:v>
                  </c:pt>
                  <c:pt idx="4">
                    <c:v>2030</c:v>
                  </c:pt>
                  <c:pt idx="5">
                    <c:v>2040</c:v>
                  </c:pt>
                  <c:pt idx="6">
                    <c:v>2050</c:v>
                  </c:pt>
                </c:lvl>
                <c:lvl>
                  <c:pt idx="0">
                    <c:v>BAU</c:v>
                  </c:pt>
                  <c:pt idx="4">
                    <c:v>LOW</c:v>
                  </c:pt>
                </c:lvl>
              </c:multiLvlStrCache>
            </c:multiLvlStrRef>
          </c:cat>
          <c:val>
            <c:numRef>
              <c:extLst>
                <c:ext xmlns:c15="http://schemas.microsoft.com/office/drawing/2012/chart" uri="{02D57815-91ED-43cb-92C2-25804820EDAC}">
                  <c15:fullRef>
                    <c15:sqref>LCIA_ADP!$Y$21:$AW$21</c15:sqref>
                  </c15:fullRef>
                </c:ext>
              </c:extLst>
              <c:f>(LCIA_ADP!$Y$21:$AB$21,LCIA_ADP!$AD$21:$AF$21)</c:f>
              <c:numCache>
                <c:formatCode>General</c:formatCode>
                <c:ptCount val="7"/>
                <c:pt idx="0">
                  <c:v>5.0830724410525848E-5</c:v>
                </c:pt>
                <c:pt idx="1">
                  <c:v>5.0578356504101619E-5</c:v>
                </c:pt>
                <c:pt idx="2">
                  <c:v>4.9633050011384171E-5</c:v>
                </c:pt>
                <c:pt idx="3">
                  <c:v>4.9097247255633463E-5</c:v>
                </c:pt>
                <c:pt idx="4">
                  <c:v>5.038005040484935E-5</c:v>
                </c:pt>
                <c:pt idx="5">
                  <c:v>4.1090223305042204E-5</c:v>
                </c:pt>
                <c:pt idx="6">
                  <c:v>3.0103213675635297E-5</c:v>
                </c:pt>
              </c:numCache>
            </c:numRef>
          </c:val>
          <c:extLst>
            <c:ext xmlns:c16="http://schemas.microsoft.com/office/drawing/2014/chart" uri="{C3380CC4-5D6E-409C-BE32-E72D297353CC}">
              <c16:uniqueId val="{0000000D-2510-40B9-950B-C161BCAEA733}"/>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LCIA_ADP!$P$42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861017888"/>
        <c:crosses val="autoZero"/>
        <c:crossBetween val="between"/>
      </c:valAx>
      <c:spPr>
        <a:noFill/>
        <a:ln>
          <a:noFill/>
        </a:ln>
        <a:effectLst/>
      </c:spPr>
    </c:plotArea>
    <c:legend>
      <c:legendPos val="r"/>
      <c:layout>
        <c:manualLayout>
          <c:xMode val="edge"/>
          <c:yMode val="edge"/>
          <c:x val="0.66117352897437753"/>
          <c:y val="0.11970372695448224"/>
          <c:w val="0.32752853876962551"/>
          <c:h val="0.86493103756806833"/>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LCIA_ADP!$R$25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(LCIA_ADP!$Z$22:$Z$23,LCIA_ADP!$AB$22:$AB$23,LCIA_ADP!$AD$22:$AD$23,LCIA_ADP!$AF$22:$AF$23,LCIA_ADP!$AR$22:$AR$23,LCIA_ADP!$AT$22:$AW$23)</c:f>
              <c:multiLvlStrCache>
                <c:ptCount val="8"/>
                <c:lvl>
                  <c:pt idx="0">
                    <c:v>2030</c:v>
                  </c:pt>
                  <c:pt idx="1">
                    <c:v>2050</c:v>
                  </c:pt>
                  <c:pt idx="2">
                    <c:v>2030</c:v>
                  </c:pt>
                  <c:pt idx="3">
                    <c:v>2050</c:v>
                  </c:pt>
                  <c:pt idx="4">
                    <c:v>BAU 2030</c:v>
                  </c:pt>
                  <c:pt idx="5">
                    <c:v>BAU 2050</c:v>
                  </c:pt>
                  <c:pt idx="6">
                    <c:v>LOW 2030</c:v>
                  </c:pt>
                  <c:pt idx="7">
                    <c:v>LOW 2050</c:v>
                  </c:pt>
                </c:lvl>
                <c:lvl>
                  <c:pt idx="2">
                    <c:v>LOW</c:v>
                  </c:pt>
                  <c:pt idx="4">
                    <c:v>Rotary drilling</c:v>
                  </c:pt>
                </c:lvl>
              </c:multiLvlStrCache>
            </c:multiLvlStrRef>
          </c:cat>
          <c:val>
            <c:numRef>
              <c:extLst>
                <c:ext xmlns:c15="http://schemas.microsoft.com/office/drawing/2012/chart" uri="{02D57815-91ED-43cb-92C2-25804820EDAC}">
                  <c15:fullRef>
                    <c15:sqref>LCIA_ADP!$Y$25:$AW$25</c15:sqref>
                  </c15:fullRef>
                </c:ext>
              </c:extLst>
              <c:f>(LCIA_ADP!$Z$25,LCIA_ADP!$AB$25,LCIA_ADP!$AD$25,LCIA_ADP!$AF$25,LCIA_ADP!$AR$25,LCIA_ADP!$AT$25:$AU$25,LCIA_ADP!$AW$25)</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62D5-4DAC-A37C-645693D9067F}"/>
            </c:ext>
          </c:extLst>
        </c:ser>
        <c:ser>
          <c:idx val="2"/>
          <c:order val="1"/>
          <c:tx>
            <c:strRef>
              <c:f>LCIA_ADP!$R$26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(LCIA_ADP!$Z$22:$Z$23,LCIA_ADP!$AB$22:$AB$23,LCIA_ADP!$AD$22:$AD$23,LCIA_ADP!$AF$22:$AF$23,LCIA_ADP!$AR$22:$AR$23,LCIA_ADP!$AT$22:$AW$23)</c:f>
              <c:multiLvlStrCache>
                <c:ptCount val="8"/>
                <c:lvl>
                  <c:pt idx="0">
                    <c:v>2030</c:v>
                  </c:pt>
                  <c:pt idx="1">
                    <c:v>2050</c:v>
                  </c:pt>
                  <c:pt idx="2">
                    <c:v>2030</c:v>
                  </c:pt>
                  <c:pt idx="3">
                    <c:v>2050</c:v>
                  </c:pt>
                  <c:pt idx="4">
                    <c:v>BAU 2030</c:v>
                  </c:pt>
                  <c:pt idx="5">
                    <c:v>BAU 2050</c:v>
                  </c:pt>
                  <c:pt idx="6">
                    <c:v>LOW 2030</c:v>
                  </c:pt>
                  <c:pt idx="7">
                    <c:v>LOW 2050</c:v>
                  </c:pt>
                </c:lvl>
                <c:lvl>
                  <c:pt idx="2">
                    <c:v>LOW</c:v>
                  </c:pt>
                  <c:pt idx="4">
                    <c:v>Rotary drilling</c:v>
                  </c:pt>
                </c:lvl>
              </c:multiLvlStrCache>
            </c:multiLvlStrRef>
          </c:cat>
          <c:val>
            <c:numRef>
              <c:extLst>
                <c:ext xmlns:c15="http://schemas.microsoft.com/office/drawing/2012/chart" uri="{02D57815-91ED-43cb-92C2-25804820EDAC}">
                  <c15:fullRef>
                    <c15:sqref>LCIA_ADP!$Y$26:$AW$26</c15:sqref>
                  </c15:fullRef>
                </c:ext>
              </c:extLst>
              <c:f>(LCIA_ADP!$Z$26,LCIA_ADP!$AB$26,LCIA_ADP!$AD$26,LCIA_ADP!$AF$26,LCIA_ADP!$AR$26,LCIA_ADP!$AT$26:$AU$26,LCIA_ADP!$AW$26)</c:f>
              <c:numCache>
                <c:formatCode>0.0</c:formatCode>
                <c:ptCount val="8"/>
                <c:pt idx="0">
                  <c:v>4.5327309595490508</c:v>
                </c:pt>
                <c:pt idx="1">
                  <c:v>3.8109201580160024</c:v>
                </c:pt>
                <c:pt idx="2">
                  <c:v>4.3789617934211797</c:v>
                </c:pt>
                <c:pt idx="3">
                  <c:v>2.9245153541172488</c:v>
                </c:pt>
                <c:pt idx="4">
                  <c:v>4.5327309595490508</c:v>
                </c:pt>
                <c:pt idx="5">
                  <c:v>3.8109201580160024</c:v>
                </c:pt>
                <c:pt idx="6">
                  <c:v>4.3789617934211797</c:v>
                </c:pt>
                <c:pt idx="7">
                  <c:v>2.9245153541172488</c:v>
                </c:pt>
              </c:numCache>
            </c:numRef>
          </c:val>
          <c:extLst>
            <c:ext xmlns:c16="http://schemas.microsoft.com/office/drawing/2014/chart" uri="{C3380CC4-5D6E-409C-BE32-E72D297353CC}">
              <c16:uniqueId val="{00000001-62D5-4DAC-A37C-645693D9067F}"/>
            </c:ext>
          </c:extLst>
        </c:ser>
        <c:ser>
          <c:idx val="3"/>
          <c:order val="2"/>
          <c:tx>
            <c:strRef>
              <c:f>LCIA_ADP!$R$27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(LCIA_ADP!$Z$22:$Z$23,LCIA_ADP!$AB$22:$AB$23,LCIA_ADP!$AD$22:$AD$23,LCIA_ADP!$AF$22:$AF$23,LCIA_ADP!$AR$22:$AR$23,LCIA_ADP!$AT$22:$AW$23)</c:f>
              <c:multiLvlStrCache>
                <c:ptCount val="8"/>
                <c:lvl>
                  <c:pt idx="0">
                    <c:v>2030</c:v>
                  </c:pt>
                  <c:pt idx="1">
                    <c:v>2050</c:v>
                  </c:pt>
                  <c:pt idx="2">
                    <c:v>2030</c:v>
                  </c:pt>
                  <c:pt idx="3">
                    <c:v>2050</c:v>
                  </c:pt>
                  <c:pt idx="4">
                    <c:v>BAU 2030</c:v>
                  </c:pt>
                  <c:pt idx="5">
                    <c:v>BAU 2050</c:v>
                  </c:pt>
                  <c:pt idx="6">
                    <c:v>LOW 2030</c:v>
                  </c:pt>
                  <c:pt idx="7">
                    <c:v>LOW 2050</c:v>
                  </c:pt>
                </c:lvl>
                <c:lvl>
                  <c:pt idx="2">
                    <c:v>LOW</c:v>
                  </c:pt>
                  <c:pt idx="4">
                    <c:v>Rotary drilling</c:v>
                  </c:pt>
                </c:lvl>
              </c:multiLvlStrCache>
            </c:multiLvlStrRef>
          </c:cat>
          <c:val>
            <c:numRef>
              <c:extLst>
                <c:ext xmlns:c15="http://schemas.microsoft.com/office/drawing/2012/chart" uri="{02D57815-91ED-43cb-92C2-25804820EDAC}">
                  <c15:fullRef>
                    <c15:sqref>LCIA_ADP!$Y$27:$AW$27</c15:sqref>
                  </c15:fullRef>
                </c:ext>
              </c:extLst>
              <c:f>(LCIA_ADP!$Z$27,LCIA_ADP!$AB$27,LCIA_ADP!$AD$27,LCIA_ADP!$AF$27,LCIA_ADP!$AR$27,LCIA_ADP!$AT$27:$AU$27,LCIA_ADP!$AW$27)</c:f>
              <c:numCache>
                <c:formatCode>0.0</c:formatCode>
                <c:ptCount val="8"/>
                <c:pt idx="0">
                  <c:v>1.8608747326563153</c:v>
                </c:pt>
                <c:pt idx="1">
                  <c:v>1.6836276757646669</c:v>
                </c:pt>
                <c:pt idx="2">
                  <c:v>1.6831849078602772</c:v>
                </c:pt>
                <c:pt idx="3">
                  <c:v>1.0917237401074151</c:v>
                </c:pt>
                <c:pt idx="4">
                  <c:v>1.8608747326563153</c:v>
                </c:pt>
                <c:pt idx="5">
                  <c:v>1.6836276757646669</c:v>
                </c:pt>
                <c:pt idx="6">
                  <c:v>1.6831849078602772</c:v>
                </c:pt>
                <c:pt idx="7">
                  <c:v>1.0917237401074151</c:v>
                </c:pt>
              </c:numCache>
            </c:numRef>
          </c:val>
          <c:extLst>
            <c:ext xmlns:c16="http://schemas.microsoft.com/office/drawing/2014/chart" uri="{C3380CC4-5D6E-409C-BE32-E72D297353CC}">
              <c16:uniqueId val="{00000002-62D5-4DAC-A37C-645693D9067F}"/>
            </c:ext>
          </c:extLst>
        </c:ser>
        <c:ser>
          <c:idx val="4"/>
          <c:order val="3"/>
          <c:tx>
            <c:strRef>
              <c:f>LCIA_ADP!$R$28</c:f>
              <c:strCache>
                <c:ptCount val="1"/>
                <c:pt idx="0">
                  <c:v>CO2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(LCIA_ADP!$Z$22:$Z$23,LCIA_ADP!$AB$22:$AB$23,LCIA_ADP!$AD$22:$AD$23,LCIA_ADP!$AF$22:$AF$23,LCIA_ADP!$AR$22:$AR$23,LCIA_ADP!$AT$22:$AW$23)</c:f>
              <c:multiLvlStrCache>
                <c:ptCount val="8"/>
                <c:lvl>
                  <c:pt idx="0">
                    <c:v>2030</c:v>
                  </c:pt>
                  <c:pt idx="1">
                    <c:v>2050</c:v>
                  </c:pt>
                  <c:pt idx="2">
                    <c:v>2030</c:v>
                  </c:pt>
                  <c:pt idx="3">
                    <c:v>2050</c:v>
                  </c:pt>
                  <c:pt idx="4">
                    <c:v>BAU 2030</c:v>
                  </c:pt>
                  <c:pt idx="5">
                    <c:v>BAU 2050</c:v>
                  </c:pt>
                  <c:pt idx="6">
                    <c:v>LOW 2030</c:v>
                  </c:pt>
                  <c:pt idx="7">
                    <c:v>LOW 2050</c:v>
                  </c:pt>
                </c:lvl>
                <c:lvl>
                  <c:pt idx="2">
                    <c:v>LOW</c:v>
                  </c:pt>
                  <c:pt idx="4">
                    <c:v>Rotary drilling</c:v>
                  </c:pt>
                </c:lvl>
              </c:multiLvlStrCache>
            </c:multiLvlStrRef>
          </c:cat>
          <c:val>
            <c:numRef>
              <c:extLst>
                <c:ext xmlns:c15="http://schemas.microsoft.com/office/drawing/2012/chart" uri="{02D57815-91ED-43cb-92C2-25804820EDAC}">
                  <c15:fullRef>
                    <c15:sqref>LCIA_ADP!$Y$28:$AW$28</c15:sqref>
                  </c15:fullRef>
                </c:ext>
              </c:extLst>
              <c:f>(LCIA_ADP!$Z$28,LCIA_ADP!$AB$28,LCIA_ADP!$AD$28,LCIA_ADP!$AF$28,LCIA_ADP!$AR$28,LCIA_ADP!$AT$28:$AU$28,LCIA_ADP!$AW$28)</c:f>
              <c:numCache>
                <c:formatCode>0.0</c:formatCode>
                <c:ptCount val="8"/>
                <c:pt idx="0">
                  <c:v>3.6760384889530318E-2</c:v>
                </c:pt>
                <c:pt idx="1">
                  <c:v>3.0786924711643047E-2</c:v>
                </c:pt>
                <c:pt idx="2">
                  <c:v>3.2745478453176539E-2</c:v>
                </c:pt>
                <c:pt idx="3">
                  <c:v>2.4805174766399346E-2</c:v>
                </c:pt>
                <c:pt idx="4">
                  <c:v>3.6760384889530318E-2</c:v>
                </c:pt>
                <c:pt idx="5">
                  <c:v>3.0786924711643047E-2</c:v>
                </c:pt>
                <c:pt idx="6">
                  <c:v>3.2745478453176539E-2</c:v>
                </c:pt>
                <c:pt idx="7">
                  <c:v>2.4805174766399346E-2</c:v>
                </c:pt>
              </c:numCache>
            </c:numRef>
          </c:val>
          <c:extLst>
            <c:ext xmlns:c16="http://schemas.microsoft.com/office/drawing/2014/chart" uri="{C3380CC4-5D6E-409C-BE32-E72D297353CC}">
              <c16:uniqueId val="{00000003-62D5-4DAC-A37C-645693D9067F}"/>
            </c:ext>
          </c:extLst>
        </c:ser>
        <c:ser>
          <c:idx val="5"/>
          <c:order val="4"/>
          <c:tx>
            <c:strRef>
              <c:f>LCIA_ADP!$R$29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LCIA_ADP!$Y$22:$AW$23</c15:sqref>
                  </c15:fullRef>
                </c:ext>
              </c:extLst>
              <c:f>(LCIA_ADP!$Z$22:$Z$23,LCIA_ADP!$AB$22:$AB$23,LCIA_ADP!$AD$22:$AD$23,LCIA_ADP!$AF$22:$AF$23,LCIA_ADP!$AR$22:$AR$23,LCIA_ADP!$AT$22:$AW$23)</c:f>
              <c:multiLvlStrCache>
                <c:ptCount val="8"/>
                <c:lvl>
                  <c:pt idx="0">
                    <c:v>2030</c:v>
                  </c:pt>
                  <c:pt idx="1">
                    <c:v>2050</c:v>
                  </c:pt>
                  <c:pt idx="2">
                    <c:v>2030</c:v>
                  </c:pt>
                  <c:pt idx="3">
                    <c:v>2050</c:v>
                  </c:pt>
                  <c:pt idx="4">
                    <c:v>BAU 2030</c:v>
                  </c:pt>
                  <c:pt idx="5">
                    <c:v>BAU 2050</c:v>
                  </c:pt>
                  <c:pt idx="6">
                    <c:v>LOW 2030</c:v>
                  </c:pt>
                  <c:pt idx="7">
                    <c:v>LOW 2050</c:v>
                  </c:pt>
                </c:lvl>
                <c:lvl>
                  <c:pt idx="2">
                    <c:v>LOW</c:v>
                  </c:pt>
                  <c:pt idx="4">
                    <c:v>Rotary drilling</c:v>
                  </c:pt>
                </c:lvl>
              </c:multiLvlStrCache>
            </c:multiLvlStrRef>
          </c:cat>
          <c:val>
            <c:numRef>
              <c:extLst>
                <c:ext xmlns:c15="http://schemas.microsoft.com/office/drawing/2012/chart" uri="{02D57815-91ED-43cb-92C2-25804820EDAC}">
                  <c15:fullRef>
                    <c15:sqref>LCIA_ADP!$Y$29:$AW$29</c15:sqref>
                  </c15:fullRef>
                </c:ext>
              </c:extLst>
              <c:f>(LCIA_ADP!$Z$29,LCIA_ADP!$AB$29,LCIA_ADP!$AD$29,LCIA_ADP!$AF$29,LCIA_ADP!$AR$29,LCIA_ADP!$AT$29:$AU$29,LCIA_ADP!$AW$29)</c:f>
              <c:numCache>
                <c:formatCode>0.0</c:formatCode>
                <c:ptCount val="8"/>
                <c:pt idx="0">
                  <c:v>0.15851695986181216</c:v>
                </c:pt>
                <c:pt idx="1">
                  <c:v>0.13632829357682796</c:v>
                </c:pt>
                <c:pt idx="2">
                  <c:v>0.14195722002769462</c:v>
                </c:pt>
                <c:pt idx="3">
                  <c:v>9.44203936660057E-2</c:v>
                </c:pt>
                <c:pt idx="4">
                  <c:v>0.15851695986181216</c:v>
                </c:pt>
                <c:pt idx="5">
                  <c:v>0.13632829357682796</c:v>
                </c:pt>
                <c:pt idx="6">
                  <c:v>0.14195722002769462</c:v>
                </c:pt>
                <c:pt idx="7">
                  <c:v>9.44203936660057E-2</c:v>
                </c:pt>
              </c:numCache>
            </c:numRef>
          </c:val>
          <c:extLst>
            <c:ext xmlns:c16="http://schemas.microsoft.com/office/drawing/2014/chart" uri="{C3380CC4-5D6E-409C-BE32-E72D297353CC}">
              <c16:uniqueId val="{00000004-62D5-4DAC-A37C-645693D9067F}"/>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LCIA_ADP!$O$42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LCIA_ADP!$C$205:$C$210</c:f>
              <c:strCache>
                <c:ptCount val="6"/>
                <c:pt idx="0">
                  <c:v>Wind</c:v>
                </c:pt>
                <c:pt idx="1">
                  <c:v>Photovoltaics</c:v>
                </c:pt>
                <c:pt idx="2">
                  <c:v>Nuclear</c:v>
                </c:pt>
                <c:pt idx="3">
                  <c:v>Hydropower, reservoir</c:v>
                </c:pt>
                <c:pt idx="4">
                  <c:v>Hydropower, run-of-river</c:v>
                </c:pt>
                <c:pt idx="5">
                  <c:v>AGS</c:v>
                </c:pt>
              </c:strCache>
            </c:strRef>
          </c:cat>
          <c:val>
            <c:numRef>
              <c:f>LCIA_ADP!$D$205:$D$210</c:f>
              <c:numCache>
                <c:formatCode>General</c:formatCode>
                <c:ptCount val="6"/>
                <c:pt idx="0">
                  <c:v>37.898065602633402</c:v>
                </c:pt>
                <c:pt idx="1">
                  <c:v>50</c:v>
                </c:pt>
                <c:pt idx="2">
                  <c:v>6.3168766692017</c:v>
                </c:pt>
                <c:pt idx="3">
                  <c:v>6.4703980357316402</c:v>
                </c:pt>
                <c:pt idx="4">
                  <c:v>3.7453943378596102</c:v>
                </c:pt>
                <c:pt idx="5">
                  <c:v>8.0894426652427285</c:v>
                </c:pt>
              </c:numCache>
            </c:numRef>
          </c:val>
          <c:extLst>
            <c:ext xmlns:c16="http://schemas.microsoft.com/office/drawing/2014/chart" uri="{C3380CC4-5D6E-409C-BE32-E72D297353CC}">
              <c16:uniqueId val="{00000000-D669-49C4-88E8-2724020E65B4}"/>
            </c:ext>
          </c:extLst>
        </c:ser>
        <c:dLbls>
          <c:showLegendKey val="0"/>
          <c:showVal val="0"/>
          <c:showCatName val="0"/>
          <c:showSerName val="0"/>
          <c:showPercent val="0"/>
          <c:showBubbleSize val="0"/>
        </c:dLbls>
        <c:gapWidth val="219"/>
        <c:overlap val="-27"/>
        <c:axId val="601788639"/>
        <c:axId val="1984996511"/>
      </c:barChart>
      <c:catAx>
        <c:axId val="60178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984996511"/>
        <c:crosses val="autoZero"/>
        <c:auto val="1"/>
        <c:lblAlgn val="ctr"/>
        <c:lblOffset val="100"/>
        <c:noMultiLvlLbl val="0"/>
      </c:catAx>
      <c:valAx>
        <c:axId val="1984996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a:t>Greenhouse gas emissions
[g CO₂-eq/kWh</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60178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stacked"/>
        <c:varyColors val="0"/>
        <c:ser>
          <c:idx val="0"/>
          <c:order val="0"/>
          <c:tx>
            <c:strRef>
              <c:f>LCIA_ADP!$B$8:$C$8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LCIA_ADP!$Y$8:$AW$8</c15:sqref>
                  </c15:fullRef>
                </c:ext>
              </c:extLst>
              <c:f>(LCIA_ADP!$Z$8,LCIA_ADP!$AB$8:$AD$8,LCIA_ADP!$AF$8:$AR$8,LCIA_ADP!$AT$8:$AU$8,LCIA_ADP!$AW$8)</c:f>
              <c:numCache>
                <c:formatCode>General</c:formatCode>
                <c:ptCount val="20"/>
                <c:pt idx="0">
                  <c:v>0</c:v>
                </c:pt>
                <c:pt idx="1">
                  <c:v>0</c:v>
                </c:pt>
                <c:pt idx="2">
                  <c:v>9.638076110356202E-6</c:v>
                </c:pt>
                <c:pt idx="3">
                  <c:v>0</c:v>
                </c:pt>
                <c:pt idx="4">
                  <c:v>0</c:v>
                </c:pt>
                <c:pt idx="5">
                  <c:v>9.638076110356202E-6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4CB0-4F6A-89C4-1BE33F4FF2A8}"/>
            </c:ext>
          </c:extLst>
        </c:ser>
        <c:ser>
          <c:idx val="1"/>
          <c:order val="1"/>
          <c:tx>
            <c:strRef>
              <c:f>LCIA_ADP!$B$9:$C$9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LCIA_ADP!$Y$9:$AW$9</c15:sqref>
                  </c15:fullRef>
                </c:ext>
              </c:extLst>
              <c:f>(LCIA_ADP!$Z$9,LCIA_ADP!$AB$9:$AD$9,LCIA_ADP!$AF$9:$AR$9,LCIA_ADP!$AT$9:$AU$9,LCIA_ADP!$AW$9)</c:f>
              <c:numCache>
                <c:formatCode>General</c:formatCode>
                <c:ptCount val="20"/>
                <c:pt idx="0">
                  <c:v>0</c:v>
                </c:pt>
                <c:pt idx="1">
                  <c:v>0</c:v>
                </c:pt>
                <c:pt idx="2">
                  <c:v>4.3371342496602912E-5</c:v>
                </c:pt>
                <c:pt idx="3">
                  <c:v>0</c:v>
                </c:pt>
                <c:pt idx="4">
                  <c:v>0</c:v>
                </c:pt>
                <c:pt idx="5">
                  <c:v>4.3371342496602912E-5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CB0-4F6A-89C4-1BE33F4FF2A8}"/>
            </c:ext>
          </c:extLst>
        </c:ser>
        <c:ser>
          <c:idx val="2"/>
          <c:order val="2"/>
          <c:tx>
            <c:strRef>
              <c:f>LCIA_ADP!$B$10:$C$10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LCIA_ADP!$Y$10:$AW$10</c15:sqref>
                  </c15:fullRef>
                </c:ext>
              </c:extLst>
              <c:f>(LCIA_ADP!$Z$10,LCIA_ADP!$AB$10:$AD$10,LCIA_ADP!$AF$10:$AR$10,LCIA_ADP!$AT$10:$AU$10,LCIA_ADP!$AW$10)</c:f>
              <c:numCache>
                <c:formatCode>General</c:formatCode>
                <c:ptCount val="20"/>
                <c:pt idx="0">
                  <c:v>3.7019200907294067E-3</c:v>
                </c:pt>
                <c:pt idx="1">
                  <c:v>3.0044617602192764E-3</c:v>
                </c:pt>
                <c:pt idx="2">
                  <c:v>3.7019200907294067E-3</c:v>
                </c:pt>
                <c:pt idx="3">
                  <c:v>3.5514121707996772E-3</c:v>
                </c:pt>
                <c:pt idx="4">
                  <c:v>2.4300539716541818E-3</c:v>
                </c:pt>
                <c:pt idx="5">
                  <c:v>3.5514121707996772E-3</c:v>
                </c:pt>
                <c:pt idx="6">
                  <c:v>3.0206314501650057E-3</c:v>
                </c:pt>
                <c:pt idx="7">
                  <c:v>5.5265164202814377E-3</c:v>
                </c:pt>
                <c:pt idx="8">
                  <c:v>2.897822490139864E-3</c:v>
                </c:pt>
                <c:pt idx="9">
                  <c:v>5.3018264025371147E-3</c:v>
                </c:pt>
                <c:pt idx="10">
                  <c:v>7.1028243415993545E-3</c:v>
                </c:pt>
                <c:pt idx="11">
                  <c:v>2.1308473024798063E-3</c:v>
                </c:pt>
                <c:pt idx="12">
                  <c:v>5.795644980279728E-3</c:v>
                </c:pt>
                <c:pt idx="13">
                  <c:v>1.7386934940839184E-3</c:v>
                </c:pt>
                <c:pt idx="14">
                  <c:v>1.0603652805074229E-2</c:v>
                </c:pt>
                <c:pt idx="15">
                  <c:v>3.1810958415222691E-3</c:v>
                </c:pt>
                <c:pt idx="16">
                  <c:v>3.7019200907294067E-3</c:v>
                </c:pt>
                <c:pt idx="17">
                  <c:v>3.0044617602192764E-3</c:v>
                </c:pt>
                <c:pt idx="18">
                  <c:v>3.5514121707996772E-3</c:v>
                </c:pt>
                <c:pt idx="19">
                  <c:v>2.4300539716541818E-3</c:v>
                </c:pt>
              </c:numCache>
            </c:numRef>
          </c:val>
          <c:extLst>
            <c:ext xmlns:c16="http://schemas.microsoft.com/office/drawing/2014/chart" uri="{C3380CC4-5D6E-409C-BE32-E72D297353CC}">
              <c16:uniqueId val="{00000002-4CB0-4F6A-89C4-1BE33F4FF2A8}"/>
            </c:ext>
          </c:extLst>
        </c:ser>
        <c:ser>
          <c:idx val="3"/>
          <c:order val="3"/>
          <c:tx>
            <c:strRef>
              <c:f>LCIA_ADP!$B$11:$C$11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LCIA_ADP!$Y$11:$AW$11</c15:sqref>
                  </c15:fullRef>
                </c:ext>
              </c:extLst>
              <c:f>(LCIA_ADP!$Z$11,LCIA_ADP!$AB$11:$AD$11,LCIA_ADP!$AF$11:$AR$11,LCIA_ADP!$AT$11:$AU$11,LCIA_ADP!$AW$11)</c:f>
              <c:numCache>
                <c:formatCode>General</c:formatCode>
                <c:ptCount val="20"/>
                <c:pt idx="0">
                  <c:v>8.3074801928430372E-4</c:v>
                </c:pt>
                <c:pt idx="1">
                  <c:v>8.0642084340208989E-4</c:v>
                </c:pt>
                <c:pt idx="2">
                  <c:v>8.3074801928430372E-4</c:v>
                </c:pt>
                <c:pt idx="3">
                  <c:v>8.2749084743150817E-4</c:v>
                </c:pt>
                <c:pt idx="4">
                  <c:v>4.9444440000928386E-4</c:v>
                </c:pt>
                <c:pt idx="5">
                  <c:v>8.2749084743150817E-4</c:v>
                </c:pt>
                <c:pt idx="6">
                  <c:v>6.116359326887006E-4</c:v>
                </c:pt>
                <c:pt idx="7">
                  <c:v>2.2707411132981115E-3</c:v>
                </c:pt>
                <c:pt idx="8">
                  <c:v>6.092378489161649E-4</c:v>
                </c:pt>
                <c:pt idx="9">
                  <c:v>2.2618380598239769E-3</c:v>
                </c:pt>
                <c:pt idx="10">
                  <c:v>1.6549816948630163E-3</c:v>
                </c:pt>
                <c:pt idx="11">
                  <c:v>4.9649450845890496E-4</c:v>
                </c:pt>
                <c:pt idx="12">
                  <c:v>1.2184756978323298E-3</c:v>
                </c:pt>
                <c:pt idx="13">
                  <c:v>3.6554270934969894E-4</c:v>
                </c:pt>
                <c:pt idx="14">
                  <c:v>4.5236761196479538E-3</c:v>
                </c:pt>
                <c:pt idx="15">
                  <c:v>1.357102835894386E-3</c:v>
                </c:pt>
                <c:pt idx="16">
                  <c:v>8.3074801928430372E-4</c:v>
                </c:pt>
                <c:pt idx="17">
                  <c:v>8.0642084340208989E-4</c:v>
                </c:pt>
                <c:pt idx="18">
                  <c:v>8.2749084743150817E-4</c:v>
                </c:pt>
                <c:pt idx="19">
                  <c:v>4.9444440000928386E-4</c:v>
                </c:pt>
              </c:numCache>
            </c:numRef>
          </c:val>
          <c:extLst>
            <c:ext xmlns:c16="http://schemas.microsoft.com/office/drawing/2014/chart" uri="{C3380CC4-5D6E-409C-BE32-E72D297353CC}">
              <c16:uniqueId val="{00000003-4CB0-4F6A-89C4-1BE33F4FF2A8}"/>
            </c:ext>
          </c:extLst>
        </c:ser>
        <c:ser>
          <c:idx val="4"/>
          <c:order val="4"/>
          <c:tx>
            <c:strRef>
              <c:f>LCIA_ADP!$B$12:$C$12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LCIA_ADP!$Y$12:$AW$12</c15:sqref>
                  </c15:fullRef>
                </c:ext>
              </c:extLst>
              <c:f>(LCIA_ADP!$Z$12,LCIA_ADP!$AB$12:$AD$12,LCIA_ADP!$AF$12:$AR$12,LCIA_ADP!$AT$12:$AU$12,LCIA_ADP!$AW$12)</c:f>
              <c:numCache>
                <c:formatCode>General</c:formatCode>
                <c:ptCount val="20"/>
                <c:pt idx="0">
                  <c:v>6.284953534118252E-8</c:v>
                </c:pt>
                <c:pt idx="1">
                  <c:v>3.755439463615448E-8</c:v>
                </c:pt>
                <c:pt idx="2">
                  <c:v>6.284953534118252E-8</c:v>
                </c:pt>
                <c:pt idx="3">
                  <c:v>5.877518999455008E-8</c:v>
                </c:pt>
                <c:pt idx="4">
                  <c:v>1.6982453783291873E-8</c:v>
                </c:pt>
                <c:pt idx="5">
                  <c:v>5.877518999455008E-8</c:v>
                </c:pt>
                <c:pt idx="6">
                  <c:v>4.627279665448123E-8</c:v>
                </c:pt>
                <c:pt idx="7">
                  <c:v>1.7179098900994794E-7</c:v>
                </c:pt>
                <c:pt idx="8">
                  <c:v>4.3273071156092091E-8</c:v>
                </c:pt>
                <c:pt idx="9">
                  <c:v>1.6065429861332973E-7</c:v>
                </c:pt>
                <c:pt idx="10">
                  <c:v>1.1755037998910016E-7</c:v>
                </c:pt>
                <c:pt idx="11">
                  <c:v>3.5265113996730051E-8</c:v>
                </c:pt>
                <c:pt idx="12">
                  <c:v>8.6546142312184182E-8</c:v>
                </c:pt>
                <c:pt idx="13">
                  <c:v>2.5963842693655255E-8</c:v>
                </c:pt>
                <c:pt idx="14">
                  <c:v>3.2130859722665945E-7</c:v>
                </c:pt>
                <c:pt idx="15">
                  <c:v>9.6392579167997844E-8</c:v>
                </c:pt>
                <c:pt idx="16">
                  <c:v>6.284953534118252E-8</c:v>
                </c:pt>
                <c:pt idx="17">
                  <c:v>3.755439463615448E-8</c:v>
                </c:pt>
                <c:pt idx="18">
                  <c:v>5.877518999455008E-8</c:v>
                </c:pt>
                <c:pt idx="19">
                  <c:v>1.6982453783291873E-8</c:v>
                </c:pt>
              </c:numCache>
            </c:numRef>
          </c:val>
          <c:extLst>
            <c:ext xmlns:c16="http://schemas.microsoft.com/office/drawing/2014/chart" uri="{C3380CC4-5D6E-409C-BE32-E72D297353CC}">
              <c16:uniqueId val="{00000004-4CB0-4F6A-89C4-1BE33F4FF2A8}"/>
            </c:ext>
          </c:extLst>
        </c:ser>
        <c:ser>
          <c:idx val="5"/>
          <c:order val="5"/>
          <c:tx>
            <c:strRef>
              <c:f>LCIA_ADP!$B$13:$C$13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LCIA_ADP!$Y$13:$AW$13</c15:sqref>
                  </c15:fullRef>
                </c:ext>
              </c:extLst>
              <c:f>(LCIA_ADP!$Z$13,LCIA_ADP!$AB$13:$AD$13,LCIA_ADP!$AF$13:$AR$13,LCIA_ADP!$AT$13:$AU$13,LCIA_ADP!$AW$13)</c:f>
              <c:numCache>
                <c:formatCode>General</c:formatCode>
                <c:ptCount val="20"/>
                <c:pt idx="0">
                  <c:v>1.8608747326563154E-3</c:v>
                </c:pt>
                <c:pt idx="1">
                  <c:v>1.6836276757646669E-3</c:v>
                </c:pt>
                <c:pt idx="2">
                  <c:v>1.8608747326563154E-3</c:v>
                </c:pt>
                <c:pt idx="3">
                  <c:v>1.6831849078602771E-3</c:v>
                </c:pt>
                <c:pt idx="4">
                  <c:v>1.0917237401074152E-3</c:v>
                </c:pt>
                <c:pt idx="5">
                  <c:v>1.6831849078602771E-3</c:v>
                </c:pt>
                <c:pt idx="6">
                  <c:v>1.8608747326563154E-3</c:v>
                </c:pt>
                <c:pt idx="7">
                  <c:v>1.8608747326563154E-3</c:v>
                </c:pt>
                <c:pt idx="8">
                  <c:v>1.6831849078602771E-3</c:v>
                </c:pt>
                <c:pt idx="9">
                  <c:v>1.6831849078602771E-3</c:v>
                </c:pt>
                <c:pt idx="10">
                  <c:v>3.3663698157205542E-3</c:v>
                </c:pt>
                <c:pt idx="11">
                  <c:v>1.0099109447161663E-3</c:v>
                </c:pt>
                <c:pt idx="12">
                  <c:v>3.3663698157205542E-3</c:v>
                </c:pt>
                <c:pt idx="13">
                  <c:v>1.0099109447161663E-3</c:v>
                </c:pt>
                <c:pt idx="14">
                  <c:v>3.3663698157205542E-3</c:v>
                </c:pt>
                <c:pt idx="15">
                  <c:v>1.0099109447161663E-3</c:v>
                </c:pt>
                <c:pt idx="16">
                  <c:v>1.8608747326563154E-3</c:v>
                </c:pt>
                <c:pt idx="17">
                  <c:v>1.6836276757646669E-3</c:v>
                </c:pt>
                <c:pt idx="18">
                  <c:v>1.6831849078602771E-3</c:v>
                </c:pt>
                <c:pt idx="19">
                  <c:v>1.0917237401074152E-3</c:v>
                </c:pt>
              </c:numCache>
            </c:numRef>
          </c:val>
          <c:extLst>
            <c:ext xmlns:c16="http://schemas.microsoft.com/office/drawing/2014/chart" uri="{C3380CC4-5D6E-409C-BE32-E72D297353CC}">
              <c16:uniqueId val="{00000005-4CB0-4F6A-89C4-1BE33F4FF2A8}"/>
            </c:ext>
          </c:extLst>
        </c:ser>
        <c:ser>
          <c:idx val="6"/>
          <c:order val="6"/>
          <c:tx>
            <c:strRef>
              <c:f>LCIA_ADP!$B$14:$C$14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LCIA_ADP!$Y$14:$AW$14</c15:sqref>
                  </c15:fullRef>
                </c:ext>
              </c:extLst>
              <c:f>(LCIA_ADP!$Z$14,LCIA_ADP!$AB$14:$AD$14,LCIA_ADP!$AF$14:$AR$14,LCIA_ADP!$AT$14:$AU$14,LCIA_ADP!$AW$14)</c:f>
              <c:numCache>
                <c:formatCode>General</c:formatCode>
                <c:ptCount val="20"/>
                <c:pt idx="0">
                  <c:v>1.8119916630160139E-5</c:v>
                </c:pt>
                <c:pt idx="1">
                  <c:v>1.6135770671466551E-5</c:v>
                </c:pt>
                <c:pt idx="2">
                  <c:v>1.8119916630160139E-5</c:v>
                </c:pt>
                <c:pt idx="3">
                  <c:v>1.6414737433995601E-5</c:v>
                </c:pt>
                <c:pt idx="4">
                  <c:v>1.4463588684075808E-5</c:v>
                </c:pt>
                <c:pt idx="5">
                  <c:v>1.6414737433995601E-5</c:v>
                </c:pt>
                <c:pt idx="6">
                  <c:v>1.746482203037127E-5</c:v>
                </c:pt>
                <c:pt idx="7">
                  <c:v>2.999896537299831E-5</c:v>
                </c:pt>
                <c:pt idx="8">
                  <c:v>1.5821290672101331E-5</c:v>
                </c:pt>
                <c:pt idx="9">
                  <c:v>2.717590538301176E-5</c:v>
                </c:pt>
                <c:pt idx="10">
                  <c:v>3.2829474867991202E-5</c:v>
                </c:pt>
                <c:pt idx="11">
                  <c:v>9.84884246039736E-6</c:v>
                </c:pt>
                <c:pt idx="12">
                  <c:v>3.1642581344202662E-5</c:v>
                </c:pt>
                <c:pt idx="13">
                  <c:v>9.4927744032607993E-6</c:v>
                </c:pt>
                <c:pt idx="14">
                  <c:v>5.435181076602352E-5</c:v>
                </c:pt>
                <c:pt idx="15">
                  <c:v>1.6305543229807055E-5</c:v>
                </c:pt>
                <c:pt idx="16">
                  <c:v>1.8119916630160139E-5</c:v>
                </c:pt>
                <c:pt idx="17">
                  <c:v>1.6135770671466551E-5</c:v>
                </c:pt>
                <c:pt idx="18">
                  <c:v>1.6414737433995601E-5</c:v>
                </c:pt>
                <c:pt idx="19">
                  <c:v>1.4463588684075808E-5</c:v>
                </c:pt>
              </c:numCache>
            </c:numRef>
          </c:val>
          <c:extLst>
            <c:ext xmlns:c16="http://schemas.microsoft.com/office/drawing/2014/chart" uri="{C3380CC4-5D6E-409C-BE32-E72D297353CC}">
              <c16:uniqueId val="{00000006-4CB0-4F6A-89C4-1BE33F4FF2A8}"/>
            </c:ext>
          </c:extLst>
        </c:ser>
        <c:ser>
          <c:idx val="7"/>
          <c:order val="7"/>
          <c:tx>
            <c:strRef>
              <c:f>LCIA_ADP!$B$15:$C$15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LCIA_ADP!$Y$15:$AW$15</c15:sqref>
                  </c15:fullRef>
                </c:ext>
              </c:extLst>
              <c:f>(LCIA_ADP!$Z$15,LCIA_ADP!$AB$15:$AD$15,LCIA_ADP!$AF$15:$AR$15,LCIA_ADP!$AT$15:$AU$15,LCIA_ADP!$AW$15)</c:f>
              <c:numCache>
                <c:formatCode>General</c:formatCode>
                <c:ptCount val="20"/>
                <c:pt idx="0">
                  <c:v>3.1497284310528184E-6</c:v>
                </c:pt>
                <c:pt idx="1">
                  <c:v>2.6460561646200105E-6</c:v>
                </c:pt>
                <c:pt idx="2">
                  <c:v>3.1497284310528184E-6</c:v>
                </c:pt>
                <c:pt idx="3">
                  <c:v>2.7607616061762139E-6</c:v>
                </c:pt>
                <c:pt idx="4">
                  <c:v>2.1655299435846769E-6</c:v>
                </c:pt>
                <c:pt idx="5">
                  <c:v>2.7607616061762139E-6</c:v>
                </c:pt>
                <c:pt idx="6">
                  <c:v>3.0358553858231439E-6</c:v>
                </c:pt>
                <c:pt idx="7">
                  <c:v>5.2146263178842639E-6</c:v>
                </c:pt>
                <c:pt idx="8">
                  <c:v>2.6609509913469949E-6</c:v>
                </c:pt>
                <c:pt idx="9">
                  <c:v>4.5706607550793968E-6</c:v>
                </c:pt>
                <c:pt idx="10">
                  <c:v>5.5215232123524279E-6</c:v>
                </c:pt>
                <c:pt idx="11">
                  <c:v>1.6564569637057286E-6</c:v>
                </c:pt>
                <c:pt idx="12">
                  <c:v>5.3219019826939898E-6</c:v>
                </c:pt>
                <c:pt idx="13">
                  <c:v>1.5965705948081971E-6</c:v>
                </c:pt>
                <c:pt idx="14">
                  <c:v>9.1413215101587936E-6</c:v>
                </c:pt>
                <c:pt idx="15">
                  <c:v>2.7423964530476379E-6</c:v>
                </c:pt>
                <c:pt idx="16">
                  <c:v>3.1497284310528184E-6</c:v>
                </c:pt>
                <c:pt idx="17">
                  <c:v>2.6460561646200105E-6</c:v>
                </c:pt>
                <c:pt idx="18">
                  <c:v>2.7607616061762139E-6</c:v>
                </c:pt>
                <c:pt idx="19">
                  <c:v>2.1655299435846769E-6</c:v>
                </c:pt>
              </c:numCache>
            </c:numRef>
          </c:val>
          <c:extLst>
            <c:ext xmlns:c16="http://schemas.microsoft.com/office/drawing/2014/chart" uri="{C3380CC4-5D6E-409C-BE32-E72D297353CC}">
              <c16:uniqueId val="{00000007-4CB0-4F6A-89C4-1BE33F4FF2A8}"/>
            </c:ext>
          </c:extLst>
        </c:ser>
        <c:ser>
          <c:idx val="8"/>
          <c:order val="8"/>
          <c:tx>
            <c:strRef>
              <c:f>LCIA_ADP!$B$16:$C$16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LCIA_ADP!$Y$16:$AW$16</c15:sqref>
                  </c15:fullRef>
                </c:ext>
              </c:extLst>
              <c:f>(LCIA_ADP!$Z$16,LCIA_ADP!$AB$16:$AD$16,LCIA_ADP!$AF$16:$AR$16,LCIA_ADP!$AT$16:$AU$16,LCIA_ADP!$AW$16)</c:f>
              <c:numCache>
                <c:formatCode>General</c:formatCode>
                <c:ptCount val="20"/>
                <c:pt idx="0">
                  <c:v>1.3198516241578319E-5</c:v>
                </c:pt>
                <c:pt idx="1">
                  <c:v>9.7621716117339743E-6</c:v>
                </c:pt>
                <c:pt idx="2">
                  <c:v>1.3198516241578319E-5</c:v>
                </c:pt>
                <c:pt idx="3">
                  <c:v>1.1315117630411294E-5</c:v>
                </c:pt>
                <c:pt idx="4">
                  <c:v>5.9917215411017641E-6</c:v>
                </c:pt>
                <c:pt idx="5">
                  <c:v>1.1315117630411294E-5</c:v>
                </c:pt>
                <c:pt idx="6">
                  <c:v>1.2721346456994867E-5</c:v>
                </c:pt>
                <c:pt idx="7">
                  <c:v>2.1851195002024939E-5</c:v>
                </c:pt>
                <c:pt idx="8">
                  <c:v>1.0906038901907634E-5</c:v>
                </c:pt>
                <c:pt idx="9">
                  <c:v>1.8733078573944367E-5</c:v>
                </c:pt>
                <c:pt idx="10">
                  <c:v>2.2630235260822588E-5</c:v>
                </c:pt>
                <c:pt idx="11">
                  <c:v>6.7890705782467768E-6</c:v>
                </c:pt>
                <c:pt idx="12">
                  <c:v>2.1812077803815267E-5</c:v>
                </c:pt>
                <c:pt idx="13">
                  <c:v>6.5436233411445802E-6</c:v>
                </c:pt>
                <c:pt idx="14">
                  <c:v>3.7466157147888733E-5</c:v>
                </c:pt>
                <c:pt idx="15">
                  <c:v>1.1239847144366621E-5</c:v>
                </c:pt>
                <c:pt idx="16">
                  <c:v>1.3198516241578319E-5</c:v>
                </c:pt>
                <c:pt idx="17">
                  <c:v>9.7621716117339743E-6</c:v>
                </c:pt>
                <c:pt idx="18">
                  <c:v>1.1315117630411294E-5</c:v>
                </c:pt>
                <c:pt idx="19">
                  <c:v>5.9917215411017641E-6</c:v>
                </c:pt>
              </c:numCache>
            </c:numRef>
          </c:val>
          <c:extLst>
            <c:ext xmlns:c16="http://schemas.microsoft.com/office/drawing/2014/chart" uri="{C3380CC4-5D6E-409C-BE32-E72D297353CC}">
              <c16:uniqueId val="{00000008-4CB0-4F6A-89C4-1BE33F4FF2A8}"/>
            </c:ext>
          </c:extLst>
        </c:ser>
        <c:ser>
          <c:idx val="9"/>
          <c:order val="9"/>
          <c:tx>
            <c:strRef>
              <c:f>LCIA_ADP!$B$17:$C$17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LCIA_ADP!$Y$17:$AW$17</c15:sqref>
                  </c15:fullRef>
                </c:ext>
              </c:extLst>
              <c:f>(LCIA_ADP!$Z$17,LCIA_ADP!$AB$17:$AD$17,LCIA_ADP!$AF$17:$AR$17,LCIA_ADP!$AT$17:$AU$17,LCIA_ADP!$AW$17)</c:f>
              <c:numCache>
                <c:formatCode>General</c:formatCode>
                <c:ptCount val="20"/>
                <c:pt idx="0">
                  <c:v>2.2921983005714796E-6</c:v>
                </c:pt>
                <c:pt idx="1">
                  <c:v>2.2428702520690817E-6</c:v>
                </c:pt>
                <c:pt idx="2">
                  <c:v>2.2921983005714796E-6</c:v>
                </c:pt>
                <c:pt idx="3">
                  <c:v>2.2548137617567408E-6</c:v>
                </c:pt>
                <c:pt idx="4">
                  <c:v>2.184215540707285E-6</c:v>
                </c:pt>
                <c:pt idx="5">
                  <c:v>2.2548137617567408E-6</c:v>
                </c:pt>
                <c:pt idx="6">
                  <c:v>2.2093277907894313E-6</c:v>
                </c:pt>
                <c:pt idx="7">
                  <c:v>3.794916877952638E-6</c:v>
                </c:pt>
                <c:pt idx="8">
                  <c:v>2.1732948260460855E-6</c:v>
                </c:pt>
                <c:pt idx="9">
                  <c:v>3.7330237959766338E-6</c:v>
                </c:pt>
                <c:pt idx="10">
                  <c:v>4.5096275235134815E-6</c:v>
                </c:pt>
                <c:pt idx="11">
                  <c:v>1.3528882570540446E-6</c:v>
                </c:pt>
                <c:pt idx="12">
                  <c:v>4.3465896520921709E-6</c:v>
                </c:pt>
                <c:pt idx="13">
                  <c:v>1.3039768956276515E-6</c:v>
                </c:pt>
                <c:pt idx="14">
                  <c:v>7.4660475919532675E-6</c:v>
                </c:pt>
                <c:pt idx="15">
                  <c:v>2.2398142775859801E-6</c:v>
                </c:pt>
                <c:pt idx="16">
                  <c:v>2.2921983005714796E-6</c:v>
                </c:pt>
                <c:pt idx="17">
                  <c:v>2.2428702520690817E-6</c:v>
                </c:pt>
                <c:pt idx="18">
                  <c:v>2.2548137617567408E-6</c:v>
                </c:pt>
                <c:pt idx="19">
                  <c:v>2.184215540707285E-6</c:v>
                </c:pt>
              </c:numCache>
            </c:numRef>
          </c:val>
          <c:extLst>
            <c:ext xmlns:c16="http://schemas.microsoft.com/office/drawing/2014/chart" uri="{C3380CC4-5D6E-409C-BE32-E72D297353CC}">
              <c16:uniqueId val="{00000009-4CB0-4F6A-89C4-1BE33F4FF2A8}"/>
            </c:ext>
          </c:extLst>
        </c:ser>
        <c:ser>
          <c:idx val="10"/>
          <c:order val="10"/>
          <c:tx>
            <c:strRef>
              <c:f>LCIA_ADP!$B$18:$C$18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LCIA_ADP!$Y$18:$AW$18</c15:sqref>
                  </c15:fullRef>
                </c:ext>
              </c:extLst>
              <c:f>(LCIA_ADP!$Z$18,LCIA_ADP!$AB$18:$AD$18,LCIA_ADP!$AF$18:$AR$18,LCIA_ADP!$AT$18:$AU$18,LCIA_ADP!$AW$18)</c:f>
              <c:numCache>
                <c:formatCode>General</c:formatCode>
                <c:ptCount val="20"/>
                <c:pt idx="0">
                  <c:v>2.528616756457172E-11</c:v>
                </c:pt>
                <c:pt idx="1">
                  <c:v>5.6011753426163244E-11</c:v>
                </c:pt>
                <c:pt idx="2">
                  <c:v>2.528616756457172E-11</c:v>
                </c:pt>
                <c:pt idx="3">
                  <c:v>4.8020836692900012E-11</c:v>
                </c:pt>
                <c:pt idx="4">
                  <c:v>1.1905692981431853E-10</c:v>
                </c:pt>
                <c:pt idx="5">
                  <c:v>4.8020836692900012E-11</c:v>
                </c:pt>
                <c:pt idx="6">
                  <c:v>2.4371989416901019E-11</c:v>
                </c:pt>
                <c:pt idx="7">
                  <c:v>4.1863264642333852E-11</c:v>
                </c:pt>
                <c:pt idx="8">
                  <c:v>4.6284725460329528E-11</c:v>
                </c:pt>
                <c:pt idx="9">
                  <c:v>7.9502320376845074E-11</c:v>
                </c:pt>
                <c:pt idx="10">
                  <c:v>9.6041673385800025E-11</c:v>
                </c:pt>
                <c:pt idx="11">
                  <c:v>2.8812502015740011E-11</c:v>
                </c:pt>
                <c:pt idx="12">
                  <c:v>9.2569450920659055E-11</c:v>
                </c:pt>
                <c:pt idx="13">
                  <c:v>2.7770835276197715E-11</c:v>
                </c:pt>
                <c:pt idx="14">
                  <c:v>1.5900464075369015E-10</c:v>
                </c:pt>
                <c:pt idx="15">
                  <c:v>4.7701392226107045E-11</c:v>
                </c:pt>
                <c:pt idx="16">
                  <c:v>2.528616756457172E-11</c:v>
                </c:pt>
                <c:pt idx="17">
                  <c:v>5.6011753426163244E-11</c:v>
                </c:pt>
                <c:pt idx="18">
                  <c:v>4.8020836692900012E-11</c:v>
                </c:pt>
                <c:pt idx="19">
                  <c:v>1.1905692981431853E-10</c:v>
                </c:pt>
              </c:numCache>
            </c:numRef>
          </c:val>
          <c:extLst>
            <c:ext xmlns:c16="http://schemas.microsoft.com/office/drawing/2014/chart" uri="{C3380CC4-5D6E-409C-BE32-E72D297353CC}">
              <c16:uniqueId val="{0000000A-4CB0-4F6A-89C4-1BE33F4FF2A8}"/>
            </c:ext>
          </c:extLst>
        </c:ser>
        <c:ser>
          <c:idx val="11"/>
          <c:order val="11"/>
          <c:tx>
            <c:strRef>
              <c:f>LCIA_ADP!$B$19:$C$19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LCIA_ADP!$Y$19:$AW$19</c15:sqref>
                  </c15:fullRef>
                </c:ext>
              </c:extLst>
              <c:f>(LCIA_ADP!$Z$19,LCIA_ADP!$AB$19:$AD$19,LCIA_ADP!$AF$19:$AR$19,LCIA_ADP!$AT$19:$AU$19,LCIA_ADP!$AW$19)</c:f>
              <c:numCache>
                <c:formatCode>General</c:formatCode>
                <c:ptCount val="20"/>
                <c:pt idx="0">
                  <c:v>1.5851695986181217E-4</c:v>
                </c:pt>
                <c:pt idx="1">
                  <c:v>1.3632829357682795E-4</c:v>
                </c:pt>
                <c:pt idx="2">
                  <c:v>1.5851695986181217E-4</c:v>
                </c:pt>
                <c:pt idx="3">
                  <c:v>1.4195722002769461E-4</c:v>
                </c:pt>
                <c:pt idx="4">
                  <c:v>9.4420393666005698E-5</c:v>
                </c:pt>
                <c:pt idx="5">
                  <c:v>1.4195722002769461E-4</c:v>
                </c:pt>
                <c:pt idx="6">
                  <c:v>1.5851695986181217E-4</c:v>
                </c:pt>
                <c:pt idx="7">
                  <c:v>1.5851695986181217E-4</c:v>
                </c:pt>
                <c:pt idx="8">
                  <c:v>1.4195722002769461E-4</c:v>
                </c:pt>
                <c:pt idx="9">
                  <c:v>1.4195722002769461E-4</c:v>
                </c:pt>
                <c:pt idx="10">
                  <c:v>2.8391444005538923E-4</c:v>
                </c:pt>
                <c:pt idx="11">
                  <c:v>8.5174332016616763E-5</c:v>
                </c:pt>
                <c:pt idx="12">
                  <c:v>2.8391444005538923E-4</c:v>
                </c:pt>
                <c:pt idx="13">
                  <c:v>8.5174332016616763E-5</c:v>
                </c:pt>
                <c:pt idx="14">
                  <c:v>2.8391444005538923E-4</c:v>
                </c:pt>
                <c:pt idx="15">
                  <c:v>8.5174332016616763E-5</c:v>
                </c:pt>
                <c:pt idx="16">
                  <c:v>1.5851695986181217E-4</c:v>
                </c:pt>
                <c:pt idx="17">
                  <c:v>1.3632829357682795E-4</c:v>
                </c:pt>
                <c:pt idx="18">
                  <c:v>1.4195722002769461E-4</c:v>
                </c:pt>
                <c:pt idx="19">
                  <c:v>9.4420393666005698E-5</c:v>
                </c:pt>
              </c:numCache>
            </c:numRef>
          </c:val>
          <c:extLst>
            <c:ext xmlns:c16="http://schemas.microsoft.com/office/drawing/2014/chart" uri="{C3380CC4-5D6E-409C-BE32-E72D297353CC}">
              <c16:uniqueId val="{0000000B-4CB0-4F6A-89C4-1BE33F4FF2A8}"/>
            </c:ext>
          </c:extLst>
        </c:ser>
        <c:ser>
          <c:idx val="12"/>
          <c:order val="12"/>
          <c:tx>
            <c:strRef>
              <c:f>LCIA_ADP!$B$20:$C$20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LCIA_ADP!$Y$20:$AW$20</c15:sqref>
                  </c15:fullRef>
                </c:ext>
              </c:extLst>
              <c:f>(LCIA_ADP!$Z$20,LCIA_ADP!$AB$20:$AD$20,LCIA_ADP!$AF$20:$AR$20,LCIA_ADP!$AT$20:$AU$20,LCIA_ADP!$AW$20)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8.5174332016616763E-5</c:v>
                </c:pt>
                <c:pt idx="12">
                  <c:v>0</c:v>
                </c:pt>
                <c:pt idx="13">
                  <c:v>8.5174332016616763E-5</c:v>
                </c:pt>
                <c:pt idx="14">
                  <c:v>0</c:v>
                </c:pt>
                <c:pt idx="15">
                  <c:v>8.5174332016616763E-5</c:v>
                </c:pt>
                <c:pt idx="16">
                  <c:v>0</c:v>
                </c:pt>
                <c:pt idx="17">
                  <c:v>0</c:v>
                </c:pt>
                <c:pt idx="18">
                  <c:v>0</c:v>
                </c:pt>
                <c:pt idx="19">
                  <c:v>0</c:v>
                </c:pt>
              </c:numCache>
            </c:numRef>
          </c:val>
          <c:extLst>
            <c:ext xmlns:c16="http://schemas.microsoft.com/office/drawing/2014/chart" uri="{C3380CC4-5D6E-409C-BE32-E72D297353CC}">
              <c16:uniqueId val="{0000000C-4CB0-4F6A-89C4-1BE33F4FF2A8}"/>
            </c:ext>
          </c:extLst>
        </c:ser>
        <c:ser>
          <c:idx val="13"/>
          <c:order val="13"/>
          <c:tx>
            <c:strRef>
              <c:f>LCIA_ADP!$B$21:$C$21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LCIA_ADP!$Y$6:$AW$7</c15:sqref>
                  </c15:fullRef>
                </c:ext>
              </c:extLst>
              <c:f>(LCIA_ADP!$Z$6:$Z$7,LCIA_ADP!$AB$6:$AW$7)</c:f>
              <c:multiLvlStrCache>
                <c:ptCount val="20"/>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BAU 2030</c:v>
                  </c:pt>
                  <c:pt idx="17">
                    <c:v>BAU 2050</c:v>
                  </c:pt>
                  <c:pt idx="18">
                    <c:v>LOW 2030</c:v>
                  </c:pt>
                  <c:pt idx="19">
                    <c:v>LOW 2050</c:v>
                  </c:pt>
                </c:lvl>
                <c:lvl>
                  <c:pt idx="3">
                    <c:v>LOW</c:v>
                  </c:pt>
                  <c:pt idx="6">
                    <c:v>Well depth variation, 2030</c:v>
                  </c:pt>
                  <c:pt idx="10">
                    <c:v>Lifetime variation, 2030 LOW</c:v>
                  </c:pt>
                  <c:pt idx="16">
                    <c:v>Rotary drilling</c:v>
                  </c:pt>
                </c:lvl>
              </c:multiLvlStrCache>
            </c:multiLvlStrRef>
          </c:cat>
          <c:val>
            <c:numRef>
              <c:extLst>
                <c:ext xmlns:c15="http://schemas.microsoft.com/office/drawing/2012/chart" uri="{02D57815-91ED-43cb-92C2-25804820EDAC}">
                  <c15:fullRef>
                    <c15:sqref>LCIA_ADP!$Y$21:$AW$21</c15:sqref>
                  </c15:fullRef>
                </c:ext>
              </c:extLst>
              <c:f>(LCIA_ADP!$Z$21,LCIA_ADP!$AB$21:$AD$21,LCIA_ADP!$AF$21:$AR$21,LCIA_ADP!$AT$21:$AU$21,LCIA_ADP!$AW$21)</c:f>
              <c:numCache>
                <c:formatCode>General</c:formatCode>
                <c:ptCount val="20"/>
                <c:pt idx="0">
                  <c:v>5.0578356504101619E-5</c:v>
                </c:pt>
                <c:pt idx="1">
                  <c:v>4.9097247255633463E-5</c:v>
                </c:pt>
                <c:pt idx="2">
                  <c:v>5.0578356504101619E-5</c:v>
                </c:pt>
                <c:pt idx="3">
                  <c:v>5.038005040484935E-5</c:v>
                </c:pt>
                <c:pt idx="4">
                  <c:v>3.0103213675635297E-5</c:v>
                </c:pt>
                <c:pt idx="5">
                  <c:v>5.038005040484935E-5</c:v>
                </c:pt>
                <c:pt idx="6">
                  <c:v>5.0578356504101619E-5</c:v>
                </c:pt>
                <c:pt idx="7">
                  <c:v>1.097813929486938E-4</c:v>
                </c:pt>
                <c:pt idx="8">
                  <c:v>5.038005040484935E-5</c:v>
                </c:pt>
                <c:pt idx="9">
                  <c:v>1.093509653644292E-4</c:v>
                </c:pt>
                <c:pt idx="10">
                  <c:v>1.007601008096987E-4</c:v>
                </c:pt>
                <c:pt idx="11">
                  <c:v>3.0228030242909613E-5</c:v>
                </c:pt>
                <c:pt idx="12">
                  <c:v>1.007601008096987E-4</c:v>
                </c:pt>
                <c:pt idx="13">
                  <c:v>3.0228030242909613E-5</c:v>
                </c:pt>
                <c:pt idx="14">
                  <c:v>2.187019307288584E-4</c:v>
                </c:pt>
                <c:pt idx="15">
                  <c:v>6.5610579218657524E-5</c:v>
                </c:pt>
                <c:pt idx="16">
                  <c:v>5.0578356504101619E-5</c:v>
                </c:pt>
                <c:pt idx="17">
                  <c:v>4.9097247255633463E-5</c:v>
                </c:pt>
                <c:pt idx="18">
                  <c:v>5.038005040484935E-5</c:v>
                </c:pt>
                <c:pt idx="19">
                  <c:v>3.0103213675635297E-5</c:v>
                </c:pt>
              </c:numCache>
            </c:numRef>
          </c:val>
          <c:extLst>
            <c:ext xmlns:c16="http://schemas.microsoft.com/office/drawing/2014/chart" uri="{C3380CC4-5D6E-409C-BE32-E72D297353CC}">
              <c16:uniqueId val="{0000000D-4CB0-4F6A-89C4-1BE33F4FF2A8}"/>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LCIA_ADP!$P$42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a:t>Time for vertical well drilling and completion, 6 km depth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'Drilling - time'!$Y$10</c:f>
              <c:strCache>
                <c:ptCount val="1"/>
                <c:pt idx="0">
                  <c:v>Rotary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'Drilling - time'!$Y$12:$Y$22</c:f>
              <c:numCache>
                <c:formatCode>0</c:formatCode>
                <c:ptCount val="11"/>
                <c:pt idx="0">
                  <c:v>112.51388888888889</c:v>
                </c:pt>
                <c:pt idx="1">
                  <c:v>103.51388888888889</c:v>
                </c:pt>
                <c:pt idx="2">
                  <c:v>82.680555555555557</c:v>
                </c:pt>
                <c:pt idx="3">
                  <c:v>74.680555555555557</c:v>
                </c:pt>
                <c:pt idx="4">
                  <c:v>60.791666666666671</c:v>
                </c:pt>
                <c:pt idx="5">
                  <c:v>54.791666666666671</c:v>
                </c:pt>
                <c:pt idx="6">
                  <c:v>33.958333333333336</c:v>
                </c:pt>
                <c:pt idx="7">
                  <c:v>28.958333333333336</c:v>
                </c:pt>
                <c:pt idx="8">
                  <c:v>13.333333333333334</c:v>
                </c:pt>
                <c:pt idx="9">
                  <c:v>8.3333333333333339</c:v>
                </c:pt>
                <c:pt idx="10" formatCode="General">
                  <c:v>0</c:v>
                </c:pt>
              </c:numCache>
            </c:numRef>
          </c:xVal>
          <c:yVal>
            <c:numRef>
              <c:f>'Drilling - time'!$AA$12:$AA$22</c:f>
              <c:numCache>
                <c:formatCode>General</c:formatCode>
                <c:ptCount val="11"/>
                <c:pt idx="0">
                  <c:v>6000</c:v>
                </c:pt>
                <c:pt idx="1">
                  <c:v>6000</c:v>
                </c:pt>
                <c:pt idx="2">
                  <c:v>5000</c:v>
                </c:pt>
                <c:pt idx="3">
                  <c:v>5000</c:v>
                </c:pt>
                <c:pt idx="4">
                  <c:v>4000</c:v>
                </c:pt>
                <c:pt idx="5">
                  <c:v>4000</c:v>
                </c:pt>
                <c:pt idx="6">
                  <c:v>2500</c:v>
                </c:pt>
                <c:pt idx="7">
                  <c:v>2500</c:v>
                </c:pt>
                <c:pt idx="8">
                  <c:v>1000</c:v>
                </c:pt>
                <c:pt idx="9">
                  <c:v>1000</c:v>
                </c:pt>
                <c:pt idx="10">
                  <c:v>0</c:v>
                </c:pt>
              </c:numCache>
            </c:numRef>
          </c:yVal>
          <c:smooth val="0"/>
          <c:extLst>
            <c:ext xmlns:c16="http://schemas.microsoft.com/office/drawing/2014/chart" uri="{C3380CC4-5D6E-409C-BE32-E72D297353CC}">
              <c16:uniqueId val="{00000000-C602-4C32-AC0F-1CD3CB97929C}"/>
            </c:ext>
          </c:extLst>
        </c:ser>
        <c:ser>
          <c:idx val="2"/>
          <c:order val="1"/>
          <c:tx>
            <c:strRef>
              <c:f>'Drilling - time'!$Z$10</c:f>
              <c:strCache>
                <c:ptCount val="1"/>
                <c:pt idx="0">
                  <c:v>PPGD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'Drilling - time'!$Z$12:$Z$22</c:f>
              <c:numCache>
                <c:formatCode>0</c:formatCode>
                <c:ptCount val="11"/>
                <c:pt idx="0">
                  <c:v>40.951388888888886</c:v>
                </c:pt>
                <c:pt idx="1">
                  <c:v>31.951388888888889</c:v>
                </c:pt>
                <c:pt idx="2">
                  <c:v>29.868055555555557</c:v>
                </c:pt>
                <c:pt idx="3">
                  <c:v>21.868055555555557</c:v>
                </c:pt>
                <c:pt idx="4">
                  <c:v>20.479166666666668</c:v>
                </c:pt>
                <c:pt idx="5">
                  <c:v>14.479166666666668</c:v>
                </c:pt>
                <c:pt idx="6">
                  <c:v>12.395833333333334</c:v>
                </c:pt>
                <c:pt idx="7">
                  <c:v>7.3958333333333339</c:v>
                </c:pt>
                <c:pt idx="8">
                  <c:v>5.8333333333333339</c:v>
                </c:pt>
                <c:pt idx="9">
                  <c:v>0.83333333333333337</c:v>
                </c:pt>
                <c:pt idx="10" formatCode="General">
                  <c:v>0</c:v>
                </c:pt>
              </c:numCache>
            </c:numRef>
          </c:xVal>
          <c:yVal>
            <c:numRef>
              <c:f>'Drilling - time'!$AA$12:$AA$22</c:f>
              <c:numCache>
                <c:formatCode>General</c:formatCode>
                <c:ptCount val="11"/>
                <c:pt idx="0">
                  <c:v>6000</c:v>
                </c:pt>
                <c:pt idx="1">
                  <c:v>6000</c:v>
                </c:pt>
                <c:pt idx="2">
                  <c:v>5000</c:v>
                </c:pt>
                <c:pt idx="3">
                  <c:v>5000</c:v>
                </c:pt>
                <c:pt idx="4">
                  <c:v>4000</c:v>
                </c:pt>
                <c:pt idx="5">
                  <c:v>4000</c:v>
                </c:pt>
                <c:pt idx="6">
                  <c:v>2500</c:v>
                </c:pt>
                <c:pt idx="7">
                  <c:v>2500</c:v>
                </c:pt>
                <c:pt idx="8">
                  <c:v>1000</c:v>
                </c:pt>
                <c:pt idx="9">
                  <c:v>1000</c:v>
                </c:pt>
                <c:pt idx="10">
                  <c:v>0</c:v>
                </c:pt>
              </c:numCache>
            </c:numRef>
          </c:yVal>
          <c:smooth val="0"/>
          <c:extLst>
            <c:ext xmlns:c16="http://schemas.microsoft.com/office/drawing/2014/chart" uri="{C3380CC4-5D6E-409C-BE32-E72D297353CC}">
              <c16:uniqueId val="{00000002-C602-4C32-AC0F-1CD3CB97929C}"/>
            </c:ext>
          </c:extLst>
        </c:ser>
        <c:dLbls>
          <c:showLegendKey val="0"/>
          <c:showVal val="0"/>
          <c:showCatName val="0"/>
          <c:showSerName val="0"/>
          <c:showPercent val="0"/>
          <c:showBubbleSize val="0"/>
        </c:dLbls>
        <c:axId val="352177535"/>
        <c:axId val="186991199"/>
      </c:scatterChart>
      <c:valAx>
        <c:axId val="352177535"/>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 [d]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991199"/>
        <c:crossesAt val="0"/>
        <c:crossBetween val="midCat"/>
        <c:majorUnit val="10"/>
      </c:valAx>
      <c:valAx>
        <c:axId val="186991199"/>
        <c:scaling>
          <c:orientation val="maxMin"/>
          <c:max val="6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Drilling depth [m]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521775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Total depth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depth histogram</a:t>
          </a:r>
        </a:p>
      </cx:txPr>
    </cx:title>
    <cx:plotArea>
      <cx:plotAreaRegion>
        <cx:series layoutId="clusteredColumn" uniqueId="{42E7C8B6-2A20-463D-8A2D-A7719B41219E}">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Histogram of total well depth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total well depth</a:t>
          </a:r>
        </a:p>
      </cx:txPr>
    </cx:title>
    <cx:plotArea>
      <cx:plotAreaRegion>
        <cx:series layoutId="clusteredColumn" uniqueId="{D150EB50-8C61-4773-B811-A7067CDEEAF9}">
          <cx:tx>
            <cx:txData>
              <cx:f>_xlchart.v1.3</cx:f>
              <cx:v>200 DegC Total Depth (km)</cx:v>
            </cx:txData>
          </cx:tx>
          <cx:dataId val="0"/>
          <cx:layoutPr>
            <cx:binning intervalClosed="r" overflow="10">
              <cx:binCount val="3"/>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Histogram of plant electrical capacity [MWel]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plant electrical capacity [MWel]</a:t>
          </a:r>
        </a:p>
      </cx:txPr>
    </cx:title>
    <cx:plotArea>
      <cx:plotAreaRegion>
        <cx:series layoutId="clusteredColumn" uniqueId="{2CE74D15-1C56-47FD-91EC-BEA6F425E3C4}">
          <cx:tx>
            <cx:txData>
              <cx:f>_xlchart.v1.1</cx:f>
              <cx:v>Electrical Power Generate (MWe) per single AGS</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10" Type="http://schemas.openxmlformats.org/officeDocument/2006/relationships/chart" Target="../charts/chart40.xml"/><Relationship Id="rId4" Type="http://schemas.openxmlformats.org/officeDocument/2006/relationships/chart" Target="../charts/chart34.xml"/><Relationship Id="rId9" Type="http://schemas.openxmlformats.org/officeDocument/2006/relationships/chart" Target="../charts/chart39.xml"/></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tmp"/><Relationship Id="rId7" Type="http://schemas.openxmlformats.org/officeDocument/2006/relationships/image" Target="../media/image7.tmp"/><Relationship Id="rId2" Type="http://schemas.openxmlformats.org/officeDocument/2006/relationships/image" Target="../media/image2.tmp"/><Relationship Id="rId1" Type="http://schemas.openxmlformats.org/officeDocument/2006/relationships/image" Target="../media/image1.tmp"/><Relationship Id="rId6" Type="http://schemas.openxmlformats.org/officeDocument/2006/relationships/image" Target="../media/image6.tmp"/><Relationship Id="rId5" Type="http://schemas.openxmlformats.org/officeDocument/2006/relationships/image" Target="../media/image5.tmp"/><Relationship Id="rId10" Type="http://schemas.openxmlformats.org/officeDocument/2006/relationships/image" Target="../media/image10.png"/><Relationship Id="rId4" Type="http://schemas.openxmlformats.org/officeDocument/2006/relationships/image" Target="../media/image4.tmp"/><Relationship Id="rId9"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chart" Target="../charts/chart41.xml"/></Relationships>
</file>

<file path=xl/drawings/_rels/drawing1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19.png"/><Relationship Id="rId1" Type="http://schemas.openxmlformats.org/officeDocument/2006/relationships/image" Target="../media/image20.jpg"/></Relationships>
</file>

<file path=xl/drawings/_rels/drawing1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20.jpg"/></Relationships>
</file>

<file path=xl/drawings/_rels/drawing16.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20.jpg"/></Relationships>
</file>

<file path=xl/drawings/_rels/drawing1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20.jpg"/></Relationships>
</file>

<file path=xl/drawings/_rels/drawing18.xml.rels><?xml version="1.0" encoding="UTF-8" standalone="yes"?>
<Relationships xmlns="http://schemas.openxmlformats.org/package/2006/relationships"><Relationship Id="rId1" Type="http://schemas.microsoft.com/office/2014/relationships/chartEx" Target="../charts/chartEx1.xml"/></Relationships>
</file>

<file path=xl/drawings/_rels/drawing19.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17</xdr:col>
      <xdr:colOff>127890</xdr:colOff>
      <xdr:row>28</xdr:row>
      <xdr:rowOff>94212</xdr:rowOff>
    </xdr:from>
    <xdr:to>
      <xdr:col>27</xdr:col>
      <xdr:colOff>528052</xdr:colOff>
      <xdr:row>49</xdr:row>
      <xdr:rowOff>138958</xdr:rowOff>
    </xdr:to>
    <xdr:graphicFrame macro="">
      <xdr:nvGraphicFramePr>
        <xdr:cNvPr id="2" name="Chart 1">
          <a:extLst>
            <a:ext uri="{FF2B5EF4-FFF2-40B4-BE49-F238E27FC236}">
              <a16:creationId xmlns:a16="http://schemas.microsoft.com/office/drawing/2014/main" id="{A2E50266-918E-FC7A-1D7C-6C7BA424C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85610</xdr:colOff>
      <xdr:row>24</xdr:row>
      <xdr:rowOff>79169</xdr:rowOff>
    </xdr:from>
    <xdr:to>
      <xdr:col>39</xdr:col>
      <xdr:colOff>382119</xdr:colOff>
      <xdr:row>45</xdr:row>
      <xdr:rowOff>66787</xdr:rowOff>
    </xdr:to>
    <xdr:graphicFrame macro="">
      <xdr:nvGraphicFramePr>
        <xdr:cNvPr id="5" name="Chart 4">
          <a:extLst>
            <a:ext uri="{FF2B5EF4-FFF2-40B4-BE49-F238E27FC236}">
              <a16:creationId xmlns:a16="http://schemas.microsoft.com/office/drawing/2014/main" id="{468F128D-A2D5-2EFC-E6F8-1893D169E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437029</xdr:colOff>
      <xdr:row>24</xdr:row>
      <xdr:rowOff>134470</xdr:rowOff>
    </xdr:from>
    <xdr:to>
      <xdr:col>50</xdr:col>
      <xdr:colOff>209103</xdr:colOff>
      <xdr:row>45</xdr:row>
      <xdr:rowOff>118278</xdr:rowOff>
    </xdr:to>
    <xdr:graphicFrame macro="">
      <xdr:nvGraphicFramePr>
        <xdr:cNvPr id="3" name="Chart 2">
          <a:extLst>
            <a:ext uri="{FF2B5EF4-FFF2-40B4-BE49-F238E27FC236}">
              <a16:creationId xmlns:a16="http://schemas.microsoft.com/office/drawing/2014/main" id="{EEBE0EA4-2BDE-459B-8246-ABE68495E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19863</xdr:colOff>
      <xdr:row>51</xdr:row>
      <xdr:rowOff>53074</xdr:rowOff>
    </xdr:from>
    <xdr:to>
      <xdr:col>46</xdr:col>
      <xdr:colOff>373868</xdr:colOff>
      <xdr:row>70</xdr:row>
      <xdr:rowOff>85573</xdr:rowOff>
    </xdr:to>
    <xdr:graphicFrame macro="">
      <xdr:nvGraphicFramePr>
        <xdr:cNvPr id="4" name="Chart 3">
          <a:extLst>
            <a:ext uri="{FF2B5EF4-FFF2-40B4-BE49-F238E27FC236}">
              <a16:creationId xmlns:a16="http://schemas.microsoft.com/office/drawing/2014/main" id="{BDBDEC2E-1D03-C1E9-C6B7-793C0EB7F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0</xdr:colOff>
      <xdr:row>31</xdr:row>
      <xdr:rowOff>0</xdr:rowOff>
    </xdr:from>
    <xdr:to>
      <xdr:col>61</xdr:col>
      <xdr:colOff>88303</xdr:colOff>
      <xdr:row>52</xdr:row>
      <xdr:rowOff>54543</xdr:rowOff>
    </xdr:to>
    <xdr:graphicFrame macro="">
      <xdr:nvGraphicFramePr>
        <xdr:cNvPr id="6" name="Chart 5">
          <a:extLst>
            <a:ext uri="{FF2B5EF4-FFF2-40B4-BE49-F238E27FC236}">
              <a16:creationId xmlns:a16="http://schemas.microsoft.com/office/drawing/2014/main" id="{B8BB6391-0B6B-4A66-9ED8-35932C8A8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0</xdr:colOff>
      <xdr:row>32</xdr:row>
      <xdr:rowOff>0</xdr:rowOff>
    </xdr:from>
    <xdr:to>
      <xdr:col>72</xdr:col>
      <xdr:colOff>153074</xdr:colOff>
      <xdr:row>52</xdr:row>
      <xdr:rowOff>174308</xdr:rowOff>
    </xdr:to>
    <xdr:graphicFrame macro="">
      <xdr:nvGraphicFramePr>
        <xdr:cNvPr id="9" name="Chart 8">
          <a:extLst>
            <a:ext uri="{FF2B5EF4-FFF2-40B4-BE49-F238E27FC236}">
              <a16:creationId xmlns:a16="http://schemas.microsoft.com/office/drawing/2014/main" id="{97898B3C-3A3D-4176-82A7-0973EA059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73</xdr:col>
      <xdr:colOff>0</xdr:colOff>
      <xdr:row>33</xdr:row>
      <xdr:rowOff>0</xdr:rowOff>
    </xdr:from>
    <xdr:to>
      <xdr:col>84</xdr:col>
      <xdr:colOff>53084</xdr:colOff>
      <xdr:row>55</xdr:row>
      <xdr:rowOff>40600</xdr:rowOff>
    </xdr:to>
    <xdr:graphicFrame macro="">
      <xdr:nvGraphicFramePr>
        <xdr:cNvPr id="12" name="Chart 11">
          <a:extLst>
            <a:ext uri="{FF2B5EF4-FFF2-40B4-BE49-F238E27FC236}">
              <a16:creationId xmlns:a16="http://schemas.microsoft.com/office/drawing/2014/main" id="{BF23BC14-3421-404F-9F79-BE12F1D50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188598</xdr:colOff>
      <xdr:row>184</xdr:row>
      <xdr:rowOff>188593</xdr:rowOff>
    </xdr:from>
    <xdr:to>
      <xdr:col>28</xdr:col>
      <xdr:colOff>336641</xdr:colOff>
      <xdr:row>206</xdr:row>
      <xdr:rowOff>33472</xdr:rowOff>
    </xdr:to>
    <xdr:graphicFrame macro="">
      <xdr:nvGraphicFramePr>
        <xdr:cNvPr id="20" name="Chart 19">
          <a:extLst>
            <a:ext uri="{FF2B5EF4-FFF2-40B4-BE49-F238E27FC236}">
              <a16:creationId xmlns:a16="http://schemas.microsoft.com/office/drawing/2014/main" id="{65BFF71F-F74F-46CB-F1DB-0183CF5FD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4190999</xdr:colOff>
      <xdr:row>4</xdr:row>
      <xdr:rowOff>147637</xdr:rowOff>
    </xdr:from>
    <xdr:to>
      <xdr:col>22</xdr:col>
      <xdr:colOff>85724</xdr:colOff>
      <xdr:row>97</xdr:row>
      <xdr:rowOff>123825</xdr:rowOff>
    </xdr:to>
    <xdr:graphicFrame macro="">
      <xdr:nvGraphicFramePr>
        <xdr:cNvPr id="3" name="Chart 2">
          <a:extLst>
            <a:ext uri="{FF2B5EF4-FFF2-40B4-BE49-F238E27FC236}">
              <a16:creationId xmlns:a16="http://schemas.microsoft.com/office/drawing/2014/main" id="{1BD151B1-6C6C-0F90-75E8-3345EC862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272385</xdr:colOff>
      <xdr:row>36</xdr:row>
      <xdr:rowOff>90003</xdr:rowOff>
    </xdr:from>
    <xdr:to>
      <xdr:col>9</xdr:col>
      <xdr:colOff>530598</xdr:colOff>
      <xdr:row>51</xdr:row>
      <xdr:rowOff>114768</xdr:rowOff>
    </xdr:to>
    <xdr:graphicFrame macro="">
      <xdr:nvGraphicFramePr>
        <xdr:cNvPr id="2" name="Chart 1">
          <a:extLst>
            <a:ext uri="{FF2B5EF4-FFF2-40B4-BE49-F238E27FC236}">
              <a16:creationId xmlns:a16="http://schemas.microsoft.com/office/drawing/2014/main" id="{0F26E4A1-A13E-4B3C-81FD-51DCDF733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128927</xdr:colOff>
      <xdr:row>33</xdr:row>
      <xdr:rowOff>68973</xdr:rowOff>
    </xdr:from>
    <xdr:to>
      <xdr:col>19</xdr:col>
      <xdr:colOff>425732</xdr:colOff>
      <xdr:row>57</xdr:row>
      <xdr:rowOff>150888</xdr:rowOff>
    </xdr:to>
    <xdr:graphicFrame macro="">
      <xdr:nvGraphicFramePr>
        <xdr:cNvPr id="3" name="Chart 2">
          <a:extLst>
            <a:ext uri="{FF2B5EF4-FFF2-40B4-BE49-F238E27FC236}">
              <a16:creationId xmlns:a16="http://schemas.microsoft.com/office/drawing/2014/main" id="{E3DFFE79-5E3D-469A-A0EE-8D5C22766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xdr:colOff>
      <xdr:row>74</xdr:row>
      <xdr:rowOff>66675</xdr:rowOff>
    </xdr:from>
    <xdr:to>
      <xdr:col>19</xdr:col>
      <xdr:colOff>48986</xdr:colOff>
      <xdr:row>83</xdr:row>
      <xdr:rowOff>131989</xdr:rowOff>
    </xdr:to>
    <xdr:graphicFrame macro="">
      <xdr:nvGraphicFramePr>
        <xdr:cNvPr id="5" name="Chart 4">
          <a:extLst>
            <a:ext uri="{FF2B5EF4-FFF2-40B4-BE49-F238E27FC236}">
              <a16:creationId xmlns:a16="http://schemas.microsoft.com/office/drawing/2014/main" id="{99CE7473-5397-4A2B-BB46-3155DF008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436790</xdr:colOff>
      <xdr:row>73</xdr:row>
      <xdr:rowOff>21771</xdr:rowOff>
    </xdr:from>
    <xdr:to>
      <xdr:col>20</xdr:col>
      <xdr:colOff>114300</xdr:colOff>
      <xdr:row>88</xdr:row>
      <xdr:rowOff>2271</xdr:rowOff>
    </xdr:to>
    <xdr:graphicFrame macro="">
      <xdr:nvGraphicFramePr>
        <xdr:cNvPr id="6" name="Chart 5">
          <a:extLst>
            <a:ext uri="{FF2B5EF4-FFF2-40B4-BE49-F238E27FC236}">
              <a16:creationId xmlns:a16="http://schemas.microsoft.com/office/drawing/2014/main" id="{882B2EB8-BBAE-4621-99CE-95DB018C8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89190</xdr:colOff>
      <xdr:row>75</xdr:row>
      <xdr:rowOff>1129640</xdr:rowOff>
    </xdr:from>
    <xdr:to>
      <xdr:col>39</xdr:col>
      <xdr:colOff>362790</xdr:colOff>
      <xdr:row>95</xdr:row>
      <xdr:rowOff>157640</xdr:rowOff>
    </xdr:to>
    <xdr:graphicFrame macro="">
      <xdr:nvGraphicFramePr>
        <xdr:cNvPr id="7" name="Chart 6">
          <a:extLst>
            <a:ext uri="{FF2B5EF4-FFF2-40B4-BE49-F238E27FC236}">
              <a16:creationId xmlns:a16="http://schemas.microsoft.com/office/drawing/2014/main" id="{C12C79DB-8C06-4399-B9F4-0C7DB7C3E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408837</xdr:colOff>
      <xdr:row>95</xdr:row>
      <xdr:rowOff>94880</xdr:rowOff>
    </xdr:from>
    <xdr:to>
      <xdr:col>30</xdr:col>
      <xdr:colOff>72837</xdr:colOff>
      <xdr:row>114</xdr:row>
      <xdr:rowOff>75380</xdr:rowOff>
    </xdr:to>
    <xdr:graphicFrame macro="">
      <xdr:nvGraphicFramePr>
        <xdr:cNvPr id="8" name="Chart 7">
          <a:extLst>
            <a:ext uri="{FF2B5EF4-FFF2-40B4-BE49-F238E27FC236}">
              <a16:creationId xmlns:a16="http://schemas.microsoft.com/office/drawing/2014/main" id="{889FA7F2-BAE9-446C-97AE-7F705EF2A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40</xdr:col>
      <xdr:colOff>434686</xdr:colOff>
      <xdr:row>27</xdr:row>
      <xdr:rowOff>187903</xdr:rowOff>
    </xdr:from>
    <xdr:to>
      <xdr:col>49</xdr:col>
      <xdr:colOff>103909</xdr:colOff>
      <xdr:row>39</xdr:row>
      <xdr:rowOff>762000</xdr:rowOff>
    </xdr:to>
    <xdr:graphicFrame macro="">
      <xdr:nvGraphicFramePr>
        <xdr:cNvPr id="4" name="Chart 3">
          <a:extLst>
            <a:ext uri="{FF2B5EF4-FFF2-40B4-BE49-F238E27FC236}">
              <a16:creationId xmlns:a16="http://schemas.microsoft.com/office/drawing/2014/main" id="{B7DD910A-6A13-4B0E-9DF6-A7EF9053B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592652</xdr:colOff>
      <xdr:row>40</xdr:row>
      <xdr:rowOff>125682</xdr:rowOff>
    </xdr:from>
    <xdr:to>
      <xdr:col>28</xdr:col>
      <xdr:colOff>291289</xdr:colOff>
      <xdr:row>59</xdr:row>
      <xdr:rowOff>106182</xdr:rowOff>
    </xdr:to>
    <xdr:graphicFrame macro="">
      <xdr:nvGraphicFramePr>
        <xdr:cNvPr id="5" name="Chart 4">
          <a:extLst>
            <a:ext uri="{FF2B5EF4-FFF2-40B4-BE49-F238E27FC236}">
              <a16:creationId xmlns:a16="http://schemas.microsoft.com/office/drawing/2014/main" id="{B5C2E4A1-04DF-4008-ADB6-E3978D640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279691</xdr:colOff>
      <xdr:row>40</xdr:row>
      <xdr:rowOff>159821</xdr:rowOff>
    </xdr:from>
    <xdr:to>
      <xdr:col>37</xdr:col>
      <xdr:colOff>584463</xdr:colOff>
      <xdr:row>59</xdr:row>
      <xdr:rowOff>140321</xdr:rowOff>
    </xdr:to>
    <xdr:graphicFrame macro="">
      <xdr:nvGraphicFramePr>
        <xdr:cNvPr id="6" name="Chart 5">
          <a:extLst>
            <a:ext uri="{FF2B5EF4-FFF2-40B4-BE49-F238E27FC236}">
              <a16:creationId xmlns:a16="http://schemas.microsoft.com/office/drawing/2014/main" id="{F119A75A-3BB0-4345-9FD6-F41B33F3E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588818</xdr:colOff>
      <xdr:row>59</xdr:row>
      <xdr:rowOff>86590</xdr:rowOff>
    </xdr:from>
    <xdr:to>
      <xdr:col>28</xdr:col>
      <xdr:colOff>287455</xdr:colOff>
      <xdr:row>78</xdr:row>
      <xdr:rowOff>67090</xdr:rowOff>
    </xdr:to>
    <xdr:graphicFrame macro="">
      <xdr:nvGraphicFramePr>
        <xdr:cNvPr id="7" name="Chart 6">
          <a:extLst>
            <a:ext uri="{FF2B5EF4-FFF2-40B4-BE49-F238E27FC236}">
              <a16:creationId xmlns:a16="http://schemas.microsoft.com/office/drawing/2014/main" id="{9094E831-5854-493A-9A63-A2A2098D6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432953</xdr:colOff>
      <xdr:row>80</xdr:row>
      <xdr:rowOff>103909</xdr:rowOff>
    </xdr:from>
    <xdr:to>
      <xdr:col>28</xdr:col>
      <xdr:colOff>131590</xdr:colOff>
      <xdr:row>99</xdr:row>
      <xdr:rowOff>84409</xdr:rowOff>
    </xdr:to>
    <xdr:graphicFrame macro="">
      <xdr:nvGraphicFramePr>
        <xdr:cNvPr id="8" name="Chart 7">
          <a:extLst>
            <a:ext uri="{FF2B5EF4-FFF2-40B4-BE49-F238E27FC236}">
              <a16:creationId xmlns:a16="http://schemas.microsoft.com/office/drawing/2014/main" id="{2A81BEE7-8B73-4EF3-9A65-E52A9B48A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398318</xdr:colOff>
      <xdr:row>81</xdr:row>
      <xdr:rowOff>121227</xdr:rowOff>
    </xdr:from>
    <xdr:to>
      <xdr:col>38</xdr:col>
      <xdr:colOff>96954</xdr:colOff>
      <xdr:row>100</xdr:row>
      <xdr:rowOff>101727</xdr:rowOff>
    </xdr:to>
    <xdr:graphicFrame macro="">
      <xdr:nvGraphicFramePr>
        <xdr:cNvPr id="9" name="Chart 8">
          <a:extLst>
            <a:ext uri="{FF2B5EF4-FFF2-40B4-BE49-F238E27FC236}">
              <a16:creationId xmlns:a16="http://schemas.microsoft.com/office/drawing/2014/main" id="{A6445780-03BB-4AD5-BD6D-10DC00DA7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173182</xdr:colOff>
      <xdr:row>82</xdr:row>
      <xdr:rowOff>103908</xdr:rowOff>
    </xdr:from>
    <xdr:to>
      <xdr:col>47</xdr:col>
      <xdr:colOff>477955</xdr:colOff>
      <xdr:row>101</xdr:row>
      <xdr:rowOff>84408</xdr:rowOff>
    </xdr:to>
    <xdr:graphicFrame macro="">
      <xdr:nvGraphicFramePr>
        <xdr:cNvPr id="10" name="Chart 9">
          <a:extLst>
            <a:ext uri="{FF2B5EF4-FFF2-40B4-BE49-F238E27FC236}">
              <a16:creationId xmlns:a16="http://schemas.microsoft.com/office/drawing/2014/main" id="{A90AAA75-C462-4848-AC7D-1EF2F20AD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450273</xdr:colOff>
      <xdr:row>41</xdr:row>
      <xdr:rowOff>0</xdr:rowOff>
    </xdr:from>
    <xdr:to>
      <xdr:col>57</xdr:col>
      <xdr:colOff>27682</xdr:colOff>
      <xdr:row>59</xdr:row>
      <xdr:rowOff>171000</xdr:rowOff>
    </xdr:to>
    <xdr:graphicFrame macro="">
      <xdr:nvGraphicFramePr>
        <xdr:cNvPr id="11" name="Chart 10">
          <a:extLst>
            <a:ext uri="{FF2B5EF4-FFF2-40B4-BE49-F238E27FC236}">
              <a16:creationId xmlns:a16="http://schemas.microsoft.com/office/drawing/2014/main" id="{6C77732C-046E-4475-9E91-310B65BC4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294410</xdr:colOff>
      <xdr:row>59</xdr:row>
      <xdr:rowOff>51955</xdr:rowOff>
    </xdr:from>
    <xdr:to>
      <xdr:col>37</xdr:col>
      <xdr:colOff>599182</xdr:colOff>
      <xdr:row>78</xdr:row>
      <xdr:rowOff>32455</xdr:rowOff>
    </xdr:to>
    <xdr:graphicFrame macro="">
      <xdr:nvGraphicFramePr>
        <xdr:cNvPr id="12" name="Chart 11">
          <a:extLst>
            <a:ext uri="{FF2B5EF4-FFF2-40B4-BE49-F238E27FC236}">
              <a16:creationId xmlns:a16="http://schemas.microsoft.com/office/drawing/2014/main" id="{66871130-7F72-46C2-99B1-2F010CC57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588819</xdr:colOff>
      <xdr:row>82</xdr:row>
      <xdr:rowOff>86591</xdr:rowOff>
    </xdr:from>
    <xdr:to>
      <xdr:col>57</xdr:col>
      <xdr:colOff>166228</xdr:colOff>
      <xdr:row>101</xdr:row>
      <xdr:rowOff>67091</xdr:rowOff>
    </xdr:to>
    <xdr:graphicFrame macro="">
      <xdr:nvGraphicFramePr>
        <xdr:cNvPr id="13" name="Chart 12">
          <a:extLst>
            <a:ext uri="{FF2B5EF4-FFF2-40B4-BE49-F238E27FC236}">
              <a16:creationId xmlns:a16="http://schemas.microsoft.com/office/drawing/2014/main" id="{B3ED0F0D-12DF-4D3C-A939-33E2E5384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58</xdr:col>
      <xdr:colOff>259773</xdr:colOff>
      <xdr:row>81</xdr:row>
      <xdr:rowOff>86591</xdr:rowOff>
    </xdr:from>
    <xdr:to>
      <xdr:col>67</xdr:col>
      <xdr:colOff>564546</xdr:colOff>
      <xdr:row>100</xdr:row>
      <xdr:rowOff>67091</xdr:rowOff>
    </xdr:to>
    <xdr:graphicFrame macro="">
      <xdr:nvGraphicFramePr>
        <xdr:cNvPr id="14" name="Chart 13">
          <a:extLst>
            <a:ext uri="{FF2B5EF4-FFF2-40B4-BE49-F238E27FC236}">
              <a16:creationId xmlns:a16="http://schemas.microsoft.com/office/drawing/2014/main" id="{B8F7BA8A-4331-4E99-AF27-CA409A6CF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26</xdr:col>
      <xdr:colOff>261937</xdr:colOff>
      <xdr:row>62</xdr:row>
      <xdr:rowOff>128587</xdr:rowOff>
    </xdr:from>
    <xdr:to>
      <xdr:col>33</xdr:col>
      <xdr:colOff>566737</xdr:colOff>
      <xdr:row>77</xdr:row>
      <xdr:rowOff>14287</xdr:rowOff>
    </xdr:to>
    <xdr:graphicFrame macro="">
      <xdr:nvGraphicFramePr>
        <xdr:cNvPr id="2" name="Chart 1">
          <a:extLst>
            <a:ext uri="{FF2B5EF4-FFF2-40B4-BE49-F238E27FC236}">
              <a16:creationId xmlns:a16="http://schemas.microsoft.com/office/drawing/2014/main" id="{3B07F9AA-6D27-4B23-88E2-98C4A206F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247650</xdr:colOff>
      <xdr:row>77</xdr:row>
      <xdr:rowOff>133350</xdr:rowOff>
    </xdr:from>
    <xdr:to>
      <xdr:col>33</xdr:col>
      <xdr:colOff>552450</xdr:colOff>
      <xdr:row>92</xdr:row>
      <xdr:rowOff>19050</xdr:rowOff>
    </xdr:to>
    <xdr:graphicFrame macro="">
      <xdr:nvGraphicFramePr>
        <xdr:cNvPr id="3" name="Chart 2">
          <a:extLst>
            <a:ext uri="{FF2B5EF4-FFF2-40B4-BE49-F238E27FC236}">
              <a16:creationId xmlns:a16="http://schemas.microsoft.com/office/drawing/2014/main" id="{2B829C7B-B04A-4DCF-BEE7-3A744D068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266700</xdr:colOff>
      <xdr:row>85</xdr:row>
      <xdr:rowOff>47625</xdr:rowOff>
    </xdr:from>
    <xdr:to>
      <xdr:col>24</xdr:col>
      <xdr:colOff>438150</xdr:colOff>
      <xdr:row>99</xdr:row>
      <xdr:rowOff>123825</xdr:rowOff>
    </xdr:to>
    <xdr:graphicFrame macro="">
      <xdr:nvGraphicFramePr>
        <xdr:cNvPr id="4" name="Chart 3">
          <a:extLst>
            <a:ext uri="{FF2B5EF4-FFF2-40B4-BE49-F238E27FC236}">
              <a16:creationId xmlns:a16="http://schemas.microsoft.com/office/drawing/2014/main" id="{4577B861-0F24-49F5-802D-BCBE252B7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657225</xdr:colOff>
      <xdr:row>84</xdr:row>
      <xdr:rowOff>123825</xdr:rowOff>
    </xdr:from>
    <xdr:to>
      <xdr:col>17</xdr:col>
      <xdr:colOff>257175</xdr:colOff>
      <xdr:row>99</xdr:row>
      <xdr:rowOff>9525</xdr:rowOff>
    </xdr:to>
    <xdr:graphicFrame macro="">
      <xdr:nvGraphicFramePr>
        <xdr:cNvPr id="5" name="Chart 4">
          <a:extLst>
            <a:ext uri="{FF2B5EF4-FFF2-40B4-BE49-F238E27FC236}">
              <a16:creationId xmlns:a16="http://schemas.microsoft.com/office/drawing/2014/main" id="{2290D790-0D61-4B05-9BC5-0980706B3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0.51041</cdr:x>
      <cdr:y>0.29514</cdr:y>
    </cdr:from>
    <cdr:to>
      <cdr:x>0.675</cdr:x>
      <cdr:y>0.66666</cdr:y>
    </cdr:to>
    <cdr:sp macro="" textlink="">
      <cdr:nvSpPr>
        <cdr:cNvPr id="2" name="Rectangle 1">
          <a:extLst xmlns:a="http://schemas.openxmlformats.org/drawingml/2006/main">
            <a:ext uri="{FF2B5EF4-FFF2-40B4-BE49-F238E27FC236}">
              <a16:creationId xmlns:a16="http://schemas.microsoft.com/office/drawing/2014/main" id="{6F961210-E74E-8672-23F2-30A0D19EC5B0}"/>
            </a:ext>
          </a:extLst>
        </cdr:cNvPr>
        <cdr:cNvSpPr/>
      </cdr:nvSpPr>
      <cdr:spPr>
        <a:xfrm xmlns:a="http://schemas.openxmlformats.org/drawingml/2006/main">
          <a:off x="2333610" y="809634"/>
          <a:ext cx="752505" cy="1019154"/>
        </a:xfrm>
        <a:prstGeom xmlns:a="http://schemas.openxmlformats.org/drawingml/2006/main" prst="rect">
          <a:avLst/>
        </a:prstGeom>
        <a:solidFill xmlns:a="http://schemas.openxmlformats.org/drawingml/2006/main">
          <a:schemeClr val="accent1">
            <a:alpha val="11000"/>
          </a:schemeClr>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0.33958</cdr:x>
      <cdr:y>0.38889</cdr:y>
    </cdr:from>
    <cdr:to>
      <cdr:x>0.67083</cdr:x>
      <cdr:y>0.77083</cdr:y>
    </cdr:to>
    <cdr:sp macro="" textlink="">
      <cdr:nvSpPr>
        <cdr:cNvPr id="2" name="Rectangle 1">
          <a:extLst xmlns:a="http://schemas.openxmlformats.org/drawingml/2006/main">
            <a:ext uri="{FF2B5EF4-FFF2-40B4-BE49-F238E27FC236}">
              <a16:creationId xmlns:a16="http://schemas.microsoft.com/office/drawing/2014/main" id="{6F961210-E74E-8672-23F2-30A0D19EC5B0}"/>
            </a:ext>
          </a:extLst>
        </cdr:cNvPr>
        <cdr:cNvSpPr/>
      </cdr:nvSpPr>
      <cdr:spPr>
        <a:xfrm xmlns:a="http://schemas.openxmlformats.org/drawingml/2006/main">
          <a:off x="1552545" y="1066802"/>
          <a:ext cx="1514505" cy="1047747"/>
        </a:xfrm>
        <a:prstGeom xmlns:a="http://schemas.openxmlformats.org/drawingml/2006/main" prst="rect">
          <a:avLst/>
        </a:prstGeom>
        <a:solidFill xmlns:a="http://schemas.openxmlformats.org/drawingml/2006/main">
          <a:schemeClr val="accent1">
            <a:alpha val="11000"/>
          </a:schemeClr>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xml><?xml version="1.0" encoding="utf-8"?>
<xdr:wsDr xmlns:xdr="http://schemas.openxmlformats.org/drawingml/2006/spreadsheetDrawing" xmlns:a="http://schemas.openxmlformats.org/drawingml/2006/main">
  <xdr:twoCellAnchor>
    <xdr:from>
      <xdr:col>16</xdr:col>
      <xdr:colOff>454460</xdr:colOff>
      <xdr:row>21</xdr:row>
      <xdr:rowOff>175854</xdr:rowOff>
    </xdr:from>
    <xdr:to>
      <xdr:col>27</xdr:col>
      <xdr:colOff>147051</xdr:colOff>
      <xdr:row>43</xdr:row>
      <xdr:rowOff>30100</xdr:rowOff>
    </xdr:to>
    <xdr:graphicFrame macro="">
      <xdr:nvGraphicFramePr>
        <xdr:cNvPr id="2" name="Chart 1">
          <a:extLst>
            <a:ext uri="{FF2B5EF4-FFF2-40B4-BE49-F238E27FC236}">
              <a16:creationId xmlns:a16="http://schemas.microsoft.com/office/drawing/2014/main" id="{F64B1D99-9B21-4547-954E-A20EC6C10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85610</xdr:colOff>
      <xdr:row>24</xdr:row>
      <xdr:rowOff>79169</xdr:rowOff>
    </xdr:from>
    <xdr:to>
      <xdr:col>39</xdr:col>
      <xdr:colOff>382119</xdr:colOff>
      <xdr:row>45</xdr:row>
      <xdr:rowOff>66787</xdr:rowOff>
    </xdr:to>
    <xdr:graphicFrame macro="">
      <xdr:nvGraphicFramePr>
        <xdr:cNvPr id="3" name="Chart 2">
          <a:extLst>
            <a:ext uri="{FF2B5EF4-FFF2-40B4-BE49-F238E27FC236}">
              <a16:creationId xmlns:a16="http://schemas.microsoft.com/office/drawing/2014/main" id="{4083D606-2B18-47F8-A77C-34F0ED39E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615284</xdr:colOff>
      <xdr:row>186</xdr:row>
      <xdr:rowOff>2918</xdr:rowOff>
    </xdr:from>
    <xdr:to>
      <xdr:col>12</xdr:col>
      <xdr:colOff>263898</xdr:colOff>
      <xdr:row>201</xdr:row>
      <xdr:rowOff>27683</xdr:rowOff>
    </xdr:to>
    <xdr:graphicFrame macro="">
      <xdr:nvGraphicFramePr>
        <xdr:cNvPr id="4" name="Chart 3">
          <a:extLst>
            <a:ext uri="{FF2B5EF4-FFF2-40B4-BE49-F238E27FC236}">
              <a16:creationId xmlns:a16="http://schemas.microsoft.com/office/drawing/2014/main" id="{223C315D-CF0D-4030-97DD-DA4E3BE06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496320</xdr:colOff>
      <xdr:row>186</xdr:row>
      <xdr:rowOff>96186</xdr:rowOff>
    </xdr:from>
    <xdr:to>
      <xdr:col>20</xdr:col>
      <xdr:colOff>180803</xdr:colOff>
      <xdr:row>210</xdr:row>
      <xdr:rowOff>178101</xdr:rowOff>
    </xdr:to>
    <xdr:graphicFrame macro="">
      <xdr:nvGraphicFramePr>
        <xdr:cNvPr id="5" name="Chart 4">
          <a:extLst>
            <a:ext uri="{FF2B5EF4-FFF2-40B4-BE49-F238E27FC236}">
              <a16:creationId xmlns:a16="http://schemas.microsoft.com/office/drawing/2014/main" id="{C8BB29F6-DECC-4896-9A9D-7E5CC6173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437029</xdr:colOff>
      <xdr:row>24</xdr:row>
      <xdr:rowOff>134470</xdr:rowOff>
    </xdr:from>
    <xdr:to>
      <xdr:col>50</xdr:col>
      <xdr:colOff>209103</xdr:colOff>
      <xdr:row>45</xdr:row>
      <xdr:rowOff>118278</xdr:rowOff>
    </xdr:to>
    <xdr:graphicFrame macro="">
      <xdr:nvGraphicFramePr>
        <xdr:cNvPr id="6" name="Chart 5">
          <a:extLst>
            <a:ext uri="{FF2B5EF4-FFF2-40B4-BE49-F238E27FC236}">
              <a16:creationId xmlns:a16="http://schemas.microsoft.com/office/drawing/2014/main" id="{DBE14054-D35F-47FC-8907-07D8697E0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19863</xdr:colOff>
      <xdr:row>51</xdr:row>
      <xdr:rowOff>53074</xdr:rowOff>
    </xdr:from>
    <xdr:to>
      <xdr:col>46</xdr:col>
      <xdr:colOff>373868</xdr:colOff>
      <xdr:row>69</xdr:row>
      <xdr:rowOff>85573</xdr:rowOff>
    </xdr:to>
    <xdr:graphicFrame macro="">
      <xdr:nvGraphicFramePr>
        <xdr:cNvPr id="7" name="Chart 6">
          <a:extLst>
            <a:ext uri="{FF2B5EF4-FFF2-40B4-BE49-F238E27FC236}">
              <a16:creationId xmlns:a16="http://schemas.microsoft.com/office/drawing/2014/main" id="{3BE4C50B-208E-4D81-8F73-4EF244DEF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50</xdr:col>
      <xdr:colOff>0</xdr:colOff>
      <xdr:row>31</xdr:row>
      <xdr:rowOff>0</xdr:rowOff>
    </xdr:from>
    <xdr:to>
      <xdr:col>61</xdr:col>
      <xdr:colOff>88303</xdr:colOff>
      <xdr:row>52</xdr:row>
      <xdr:rowOff>54543</xdr:rowOff>
    </xdr:to>
    <xdr:graphicFrame macro="">
      <xdr:nvGraphicFramePr>
        <xdr:cNvPr id="8" name="Chart 7">
          <a:extLst>
            <a:ext uri="{FF2B5EF4-FFF2-40B4-BE49-F238E27FC236}">
              <a16:creationId xmlns:a16="http://schemas.microsoft.com/office/drawing/2014/main" id="{676AD109-77D4-4BEF-B401-5433F88C4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0</xdr:colOff>
      <xdr:row>32</xdr:row>
      <xdr:rowOff>0</xdr:rowOff>
    </xdr:from>
    <xdr:to>
      <xdr:col>72</xdr:col>
      <xdr:colOff>153074</xdr:colOff>
      <xdr:row>52</xdr:row>
      <xdr:rowOff>174308</xdr:rowOff>
    </xdr:to>
    <xdr:graphicFrame macro="">
      <xdr:nvGraphicFramePr>
        <xdr:cNvPr id="9" name="Chart 8">
          <a:extLst>
            <a:ext uri="{FF2B5EF4-FFF2-40B4-BE49-F238E27FC236}">
              <a16:creationId xmlns:a16="http://schemas.microsoft.com/office/drawing/2014/main" id="{78D31CAD-1063-4C55-95DE-C93B8EEBA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603044</xdr:colOff>
      <xdr:row>202</xdr:row>
      <xdr:rowOff>109103</xdr:rowOff>
    </xdr:from>
    <xdr:to>
      <xdr:col>11</xdr:col>
      <xdr:colOff>314202</xdr:colOff>
      <xdr:row>219</xdr:row>
      <xdr:rowOff>147203</xdr:rowOff>
    </xdr:to>
    <xdr:graphicFrame macro="">
      <xdr:nvGraphicFramePr>
        <xdr:cNvPr id="10" name="Chart 9">
          <a:extLst>
            <a:ext uri="{FF2B5EF4-FFF2-40B4-BE49-F238E27FC236}">
              <a16:creationId xmlns:a16="http://schemas.microsoft.com/office/drawing/2014/main" id="{D56F873F-726E-4061-BF5C-23E31265A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73</xdr:col>
      <xdr:colOff>0</xdr:colOff>
      <xdr:row>33</xdr:row>
      <xdr:rowOff>0</xdr:rowOff>
    </xdr:from>
    <xdr:to>
      <xdr:col>84</xdr:col>
      <xdr:colOff>53084</xdr:colOff>
      <xdr:row>54</xdr:row>
      <xdr:rowOff>40600</xdr:rowOff>
    </xdr:to>
    <xdr:graphicFrame macro="">
      <xdr:nvGraphicFramePr>
        <xdr:cNvPr id="11" name="Chart 10">
          <a:extLst>
            <a:ext uri="{FF2B5EF4-FFF2-40B4-BE49-F238E27FC236}">
              <a16:creationId xmlns:a16="http://schemas.microsoft.com/office/drawing/2014/main" id="{F626B21E-8D29-4997-953A-9A6F25E34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107495</xdr:colOff>
      <xdr:row>6</xdr:row>
      <xdr:rowOff>125186</xdr:rowOff>
    </xdr:from>
    <xdr:to>
      <xdr:col>22</xdr:col>
      <xdr:colOff>135560</xdr:colOff>
      <xdr:row>25</xdr:row>
      <xdr:rowOff>22786</xdr:rowOff>
    </xdr:to>
    <xdr:pic>
      <xdr:nvPicPr>
        <xdr:cNvPr id="2" name="Picture 1" descr="Screen Clipping">
          <a:extLst>
            <a:ext uri="{FF2B5EF4-FFF2-40B4-BE49-F238E27FC236}">
              <a16:creationId xmlns:a16="http://schemas.microsoft.com/office/drawing/2014/main" id="{8A8A780E-DA70-43F7-B7D0-445FCBED76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32645" y="934811"/>
          <a:ext cx="7960485" cy="3513290"/>
        </a:xfrm>
        <a:prstGeom prst="rect">
          <a:avLst/>
        </a:prstGeom>
      </xdr:spPr>
    </xdr:pic>
    <xdr:clientData/>
  </xdr:twoCellAnchor>
  <xdr:twoCellAnchor editAs="oneCell">
    <xdr:from>
      <xdr:col>9</xdr:col>
      <xdr:colOff>63500</xdr:colOff>
      <xdr:row>22</xdr:row>
      <xdr:rowOff>15876</xdr:rowOff>
    </xdr:from>
    <xdr:to>
      <xdr:col>20</xdr:col>
      <xdr:colOff>475435</xdr:colOff>
      <xdr:row>36</xdr:row>
      <xdr:rowOff>130489</xdr:rowOff>
    </xdr:to>
    <xdr:pic>
      <xdr:nvPicPr>
        <xdr:cNvPr id="3" name="Picture 2" descr="Screen Clipping">
          <a:extLst>
            <a:ext uri="{FF2B5EF4-FFF2-40B4-BE49-F238E27FC236}">
              <a16:creationId xmlns:a16="http://schemas.microsoft.com/office/drawing/2014/main" id="{AFAC03D6-1A6F-439F-8354-619C3C6018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8650" y="3873501"/>
          <a:ext cx="7121345" cy="2785423"/>
        </a:xfrm>
        <a:prstGeom prst="rect">
          <a:avLst/>
        </a:prstGeom>
      </xdr:spPr>
    </xdr:pic>
    <xdr:clientData/>
  </xdr:twoCellAnchor>
  <xdr:twoCellAnchor editAs="oneCell">
    <xdr:from>
      <xdr:col>8</xdr:col>
      <xdr:colOff>321665</xdr:colOff>
      <xdr:row>37</xdr:row>
      <xdr:rowOff>143396</xdr:rowOff>
    </xdr:from>
    <xdr:to>
      <xdr:col>17</xdr:col>
      <xdr:colOff>514733</xdr:colOff>
      <xdr:row>55</xdr:row>
      <xdr:rowOff>135141</xdr:rowOff>
    </xdr:to>
    <xdr:pic>
      <xdr:nvPicPr>
        <xdr:cNvPr id="4" name="Picture 3">
          <a:extLst>
            <a:ext uri="{FF2B5EF4-FFF2-40B4-BE49-F238E27FC236}">
              <a16:creationId xmlns:a16="http://schemas.microsoft.com/office/drawing/2014/main" id="{988D98C4-01CC-4193-B5C4-D154B249E8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37215" y="6858521"/>
          <a:ext cx="5675658" cy="3416935"/>
        </a:xfrm>
        <a:prstGeom prst="rect">
          <a:avLst/>
        </a:prstGeom>
      </xdr:spPr>
    </xdr:pic>
    <xdr:clientData/>
  </xdr:twoCellAnchor>
  <xdr:twoCellAnchor editAs="oneCell">
    <xdr:from>
      <xdr:col>7</xdr:col>
      <xdr:colOff>57328</xdr:colOff>
      <xdr:row>63</xdr:row>
      <xdr:rowOff>54874</xdr:rowOff>
    </xdr:from>
    <xdr:to>
      <xdr:col>17</xdr:col>
      <xdr:colOff>250999</xdr:colOff>
      <xdr:row>85</xdr:row>
      <xdr:rowOff>1488</xdr:rowOff>
    </xdr:to>
    <xdr:pic>
      <xdr:nvPicPr>
        <xdr:cNvPr id="5" name="Picture 4">
          <a:extLst>
            <a:ext uri="{FF2B5EF4-FFF2-40B4-BE49-F238E27FC236}">
              <a16:creationId xmlns:a16="http://schemas.microsoft.com/office/drawing/2014/main" id="{1145A699-3ADA-449E-97C7-21BF3463FB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15603" y="11722999"/>
          <a:ext cx="6733536" cy="4137614"/>
        </a:xfrm>
        <a:prstGeom prst="rect">
          <a:avLst/>
        </a:prstGeom>
      </xdr:spPr>
    </xdr:pic>
    <xdr:clientData/>
  </xdr:twoCellAnchor>
  <xdr:twoCellAnchor editAs="oneCell">
    <xdr:from>
      <xdr:col>9</xdr:col>
      <xdr:colOff>312964</xdr:colOff>
      <xdr:row>86</xdr:row>
      <xdr:rowOff>81643</xdr:rowOff>
    </xdr:from>
    <xdr:to>
      <xdr:col>19</xdr:col>
      <xdr:colOff>438296</xdr:colOff>
      <xdr:row>109</xdr:row>
      <xdr:rowOff>170698</xdr:rowOff>
    </xdr:to>
    <xdr:pic>
      <xdr:nvPicPr>
        <xdr:cNvPr id="6" name="Picture 5">
          <a:extLst>
            <a:ext uri="{FF2B5EF4-FFF2-40B4-BE49-F238E27FC236}">
              <a16:creationId xmlns:a16="http://schemas.microsoft.com/office/drawing/2014/main" id="{0EAE46F1-86FA-4EDE-8F89-315FB421947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038114" y="16131268"/>
          <a:ext cx="6217522" cy="4474365"/>
        </a:xfrm>
        <a:prstGeom prst="rect">
          <a:avLst/>
        </a:prstGeom>
      </xdr:spPr>
    </xdr:pic>
    <xdr:clientData/>
  </xdr:twoCellAnchor>
  <xdr:twoCellAnchor editAs="oneCell">
    <xdr:from>
      <xdr:col>8</xdr:col>
      <xdr:colOff>449035</xdr:colOff>
      <xdr:row>111</xdr:row>
      <xdr:rowOff>136071</xdr:rowOff>
    </xdr:from>
    <xdr:to>
      <xdr:col>21</xdr:col>
      <xdr:colOff>246705</xdr:colOff>
      <xdr:row>124</xdr:row>
      <xdr:rowOff>134992</xdr:rowOff>
    </xdr:to>
    <xdr:pic>
      <xdr:nvPicPr>
        <xdr:cNvPr id="7" name="Picture 6">
          <a:extLst>
            <a:ext uri="{FF2B5EF4-FFF2-40B4-BE49-F238E27FC236}">
              <a16:creationId xmlns:a16="http://schemas.microsoft.com/office/drawing/2014/main" id="{0C88A4A4-EC8E-46E0-AE9F-B8165A2E18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64585" y="20948196"/>
          <a:ext cx="7726280" cy="2471611"/>
        </a:xfrm>
        <a:prstGeom prst="rect">
          <a:avLst/>
        </a:prstGeom>
      </xdr:spPr>
    </xdr:pic>
    <xdr:clientData/>
  </xdr:twoCellAnchor>
  <xdr:twoCellAnchor editAs="oneCell">
    <xdr:from>
      <xdr:col>7</xdr:col>
      <xdr:colOff>1047750</xdr:colOff>
      <xdr:row>130</xdr:row>
      <xdr:rowOff>21167</xdr:rowOff>
    </xdr:from>
    <xdr:to>
      <xdr:col>19</xdr:col>
      <xdr:colOff>3384</xdr:colOff>
      <xdr:row>142</xdr:row>
      <xdr:rowOff>57573</xdr:rowOff>
    </xdr:to>
    <xdr:pic>
      <xdr:nvPicPr>
        <xdr:cNvPr id="8" name="Picture 7">
          <a:extLst>
            <a:ext uri="{FF2B5EF4-FFF2-40B4-BE49-F238E27FC236}">
              <a16:creationId xmlns:a16="http://schemas.microsoft.com/office/drawing/2014/main" id="{DBD62FA6-259F-47F3-9037-209789E7C1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06025" y="24452792"/>
          <a:ext cx="6718509" cy="2318596"/>
        </a:xfrm>
        <a:prstGeom prst="rect">
          <a:avLst/>
        </a:prstGeom>
      </xdr:spPr>
    </xdr:pic>
    <xdr:clientData/>
  </xdr:twoCellAnchor>
  <xdr:twoCellAnchor editAs="oneCell">
    <xdr:from>
      <xdr:col>0</xdr:col>
      <xdr:colOff>0</xdr:colOff>
      <xdr:row>294</xdr:row>
      <xdr:rowOff>0</xdr:rowOff>
    </xdr:from>
    <xdr:to>
      <xdr:col>4</xdr:col>
      <xdr:colOff>549797</xdr:colOff>
      <xdr:row>327</xdr:row>
      <xdr:rowOff>54453</xdr:rowOff>
    </xdr:to>
    <xdr:pic>
      <xdr:nvPicPr>
        <xdr:cNvPr id="9" name="Picture 8">
          <a:extLst>
            <a:ext uri="{FF2B5EF4-FFF2-40B4-BE49-F238E27FC236}">
              <a16:creationId xmlns:a16="http://schemas.microsoft.com/office/drawing/2014/main" id="{3EC91B63-261A-51C2-066B-4D883A54011E}"/>
            </a:ext>
          </a:extLst>
        </xdr:cNvPr>
        <xdr:cNvPicPr>
          <a:picLocks noChangeAspect="1"/>
        </xdr:cNvPicPr>
      </xdr:nvPicPr>
      <xdr:blipFill>
        <a:blip xmlns:r="http://schemas.openxmlformats.org/officeDocument/2006/relationships" r:embed="rId8"/>
        <a:stretch>
          <a:fillRect/>
        </a:stretch>
      </xdr:blipFill>
      <xdr:spPr>
        <a:xfrm>
          <a:off x="0" y="56302275"/>
          <a:ext cx="5980952" cy="6333333"/>
        </a:xfrm>
        <a:prstGeom prst="rect">
          <a:avLst/>
        </a:prstGeom>
      </xdr:spPr>
    </xdr:pic>
    <xdr:clientData/>
  </xdr:twoCellAnchor>
  <xdr:twoCellAnchor editAs="oneCell">
    <xdr:from>
      <xdr:col>8</xdr:col>
      <xdr:colOff>457200</xdr:colOff>
      <xdr:row>292</xdr:row>
      <xdr:rowOff>142875</xdr:rowOff>
    </xdr:from>
    <xdr:to>
      <xdr:col>21</xdr:col>
      <xdr:colOff>94303</xdr:colOff>
      <xdr:row>330</xdr:row>
      <xdr:rowOff>16257</xdr:rowOff>
    </xdr:to>
    <xdr:pic>
      <xdr:nvPicPr>
        <xdr:cNvPr id="10" name="Picture 9">
          <a:extLst>
            <a:ext uri="{FF2B5EF4-FFF2-40B4-BE49-F238E27FC236}">
              <a16:creationId xmlns:a16="http://schemas.microsoft.com/office/drawing/2014/main" id="{592C8BF4-6288-7EDC-A79D-1EDB17753AF4}"/>
            </a:ext>
          </a:extLst>
        </xdr:cNvPr>
        <xdr:cNvPicPr>
          <a:picLocks noChangeAspect="1"/>
        </xdr:cNvPicPr>
      </xdr:nvPicPr>
      <xdr:blipFill>
        <a:blip xmlns:r="http://schemas.openxmlformats.org/officeDocument/2006/relationships" r:embed="rId9"/>
        <a:stretch>
          <a:fillRect/>
        </a:stretch>
      </xdr:blipFill>
      <xdr:spPr>
        <a:xfrm>
          <a:off x="10572750" y="56064150"/>
          <a:ext cx="7571428" cy="7104762"/>
        </a:xfrm>
        <a:prstGeom prst="rect">
          <a:avLst/>
        </a:prstGeom>
      </xdr:spPr>
    </xdr:pic>
    <xdr:clientData/>
  </xdr:twoCellAnchor>
  <xdr:twoCellAnchor editAs="oneCell">
    <xdr:from>
      <xdr:col>0</xdr:col>
      <xdr:colOff>0</xdr:colOff>
      <xdr:row>338</xdr:row>
      <xdr:rowOff>0</xdr:rowOff>
    </xdr:from>
    <xdr:to>
      <xdr:col>5</xdr:col>
      <xdr:colOff>936281</xdr:colOff>
      <xdr:row>378</xdr:row>
      <xdr:rowOff>92382</xdr:rowOff>
    </xdr:to>
    <xdr:pic>
      <xdr:nvPicPr>
        <xdr:cNvPr id="11" name="Picture 10">
          <a:extLst>
            <a:ext uri="{FF2B5EF4-FFF2-40B4-BE49-F238E27FC236}">
              <a16:creationId xmlns:a16="http://schemas.microsoft.com/office/drawing/2014/main" id="{8AAFCE06-6F0A-B576-CAF1-9BD102CF0576}"/>
            </a:ext>
          </a:extLst>
        </xdr:cNvPr>
        <xdr:cNvPicPr>
          <a:picLocks noChangeAspect="1"/>
        </xdr:cNvPicPr>
      </xdr:nvPicPr>
      <xdr:blipFill>
        <a:blip xmlns:r="http://schemas.openxmlformats.org/officeDocument/2006/relationships" r:embed="rId10"/>
        <a:stretch>
          <a:fillRect/>
        </a:stretch>
      </xdr:blipFill>
      <xdr:spPr>
        <a:xfrm>
          <a:off x="0" y="64684275"/>
          <a:ext cx="7828571" cy="77047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0</xdr:colOff>
      <xdr:row>0</xdr:row>
      <xdr:rowOff>76200</xdr:rowOff>
    </xdr:from>
    <xdr:to>
      <xdr:col>27</xdr:col>
      <xdr:colOff>599238</xdr:colOff>
      <xdr:row>56</xdr:row>
      <xdr:rowOff>151357</xdr:rowOff>
    </xdr:to>
    <xdr:grpSp>
      <xdr:nvGrpSpPr>
        <xdr:cNvPr id="5" name="Group 4">
          <a:extLst>
            <a:ext uri="{FF2B5EF4-FFF2-40B4-BE49-F238E27FC236}">
              <a16:creationId xmlns:a16="http://schemas.microsoft.com/office/drawing/2014/main" id="{9E466F49-01DE-3FDB-3A06-3FD59C893D73}"/>
            </a:ext>
          </a:extLst>
        </xdr:cNvPr>
        <xdr:cNvGrpSpPr/>
      </xdr:nvGrpSpPr>
      <xdr:grpSpPr>
        <a:xfrm>
          <a:off x="12315825" y="76200"/>
          <a:ext cx="6695238" cy="10743157"/>
          <a:chOff x="12192000" y="76200"/>
          <a:chExt cx="6695238" cy="8647657"/>
        </a:xfrm>
      </xdr:grpSpPr>
      <xdr:pic>
        <xdr:nvPicPr>
          <xdr:cNvPr id="2" name="Picture 1">
            <a:extLst>
              <a:ext uri="{FF2B5EF4-FFF2-40B4-BE49-F238E27FC236}">
                <a16:creationId xmlns:a16="http://schemas.microsoft.com/office/drawing/2014/main" id="{E271B8FA-55D5-F11B-FC92-E8F04F335866}"/>
              </a:ext>
            </a:extLst>
          </xdr:cNvPr>
          <xdr:cNvPicPr>
            <a:picLocks noChangeAspect="1"/>
          </xdr:cNvPicPr>
        </xdr:nvPicPr>
        <xdr:blipFill>
          <a:blip xmlns:r="http://schemas.openxmlformats.org/officeDocument/2006/relationships" r:embed="rId1"/>
          <a:stretch>
            <a:fillRect/>
          </a:stretch>
        </xdr:blipFill>
        <xdr:spPr>
          <a:xfrm>
            <a:off x="12192000" y="381000"/>
            <a:ext cx="6695238" cy="8342857"/>
          </a:xfrm>
          <a:prstGeom prst="rect">
            <a:avLst/>
          </a:prstGeom>
        </xdr:spPr>
      </xdr:pic>
      <xdr:sp macro="" textlink="">
        <xdr:nvSpPr>
          <xdr:cNvPr id="4" name="TextBox 3">
            <a:extLst>
              <a:ext uri="{FF2B5EF4-FFF2-40B4-BE49-F238E27FC236}">
                <a16:creationId xmlns:a16="http://schemas.microsoft.com/office/drawing/2014/main" id="{6267C080-71CD-CCD7-6CE8-9560FB4BA907}"/>
              </a:ext>
            </a:extLst>
          </xdr:cNvPr>
          <xdr:cNvSpPr txBox="1"/>
        </xdr:nvSpPr>
        <xdr:spPr>
          <a:xfrm>
            <a:off x="12201525" y="76200"/>
            <a:ext cx="52578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a:t>KVA Linth.2020.  Factsheet Carbon Capture + Storage. CO2-Abscheidung und -Speicherung: Chance für den Klimaschutz. </a:t>
            </a:r>
          </a:p>
        </xdr:txBody>
      </xdr:sp>
    </xdr:grpSp>
    <xdr:clientData/>
  </xdr:twoCellAnchor>
  <xdr:twoCellAnchor>
    <xdr:from>
      <xdr:col>7</xdr:col>
      <xdr:colOff>93054</xdr:colOff>
      <xdr:row>53</xdr:row>
      <xdr:rowOff>0</xdr:rowOff>
    </xdr:from>
    <xdr:to>
      <xdr:col>16</xdr:col>
      <xdr:colOff>589201</xdr:colOff>
      <xdr:row>68</xdr:row>
      <xdr:rowOff>170768</xdr:rowOff>
    </xdr:to>
    <xdr:grpSp>
      <xdr:nvGrpSpPr>
        <xdr:cNvPr id="7" name="Group 6">
          <a:extLst>
            <a:ext uri="{FF2B5EF4-FFF2-40B4-BE49-F238E27FC236}">
              <a16:creationId xmlns:a16="http://schemas.microsoft.com/office/drawing/2014/main" id="{27920186-A9D4-5C44-D36E-E39A54B24FDD}"/>
            </a:ext>
          </a:extLst>
        </xdr:cNvPr>
        <xdr:cNvGrpSpPr/>
      </xdr:nvGrpSpPr>
      <xdr:grpSpPr>
        <a:xfrm>
          <a:off x="6312879" y="10096500"/>
          <a:ext cx="5982547" cy="3028268"/>
          <a:chOff x="6217629" y="2838450"/>
          <a:chExt cx="5982547" cy="3028268"/>
        </a:xfrm>
      </xdr:grpSpPr>
      <xdr:pic>
        <xdr:nvPicPr>
          <xdr:cNvPr id="3" name="Picture 2">
            <a:extLst>
              <a:ext uri="{FF2B5EF4-FFF2-40B4-BE49-F238E27FC236}">
                <a16:creationId xmlns:a16="http://schemas.microsoft.com/office/drawing/2014/main" id="{D093B1A7-1CDE-F327-A817-895E9F962C10}"/>
              </a:ext>
            </a:extLst>
          </xdr:cNvPr>
          <xdr:cNvPicPr>
            <a:picLocks noChangeAspect="1"/>
          </xdr:cNvPicPr>
        </xdr:nvPicPr>
        <xdr:blipFill>
          <a:blip xmlns:r="http://schemas.openxmlformats.org/officeDocument/2006/relationships" r:embed="rId2"/>
          <a:stretch>
            <a:fillRect/>
          </a:stretch>
        </xdr:blipFill>
        <xdr:spPr>
          <a:xfrm>
            <a:off x="6217629" y="2838450"/>
            <a:ext cx="5982547" cy="3028268"/>
          </a:xfrm>
          <a:prstGeom prst="rect">
            <a:avLst/>
          </a:prstGeom>
        </xdr:spPr>
      </xdr:pic>
      <xdr:sp macro="" textlink="">
        <xdr:nvSpPr>
          <xdr:cNvPr id="6" name="TextBox 5">
            <a:extLst>
              <a:ext uri="{FF2B5EF4-FFF2-40B4-BE49-F238E27FC236}">
                <a16:creationId xmlns:a16="http://schemas.microsoft.com/office/drawing/2014/main" id="{E1A34DD1-A1C5-873B-566F-FE84AB97649E}"/>
              </a:ext>
            </a:extLst>
          </xdr:cNvPr>
          <xdr:cNvSpPr txBox="1"/>
        </xdr:nvSpPr>
        <xdr:spPr>
          <a:xfrm>
            <a:off x="9372600" y="5581650"/>
            <a:ext cx="2571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a:t>http://scfcan.ca/?page_id=4287</a:t>
            </a:r>
          </a:p>
        </xdr:txBody>
      </xdr:sp>
    </xdr:grpSp>
    <xdr:clientData/>
  </xdr:twoCellAnchor>
  <xdr:twoCellAnchor>
    <xdr:from>
      <xdr:col>0</xdr:col>
      <xdr:colOff>179294</xdr:colOff>
      <xdr:row>47</xdr:row>
      <xdr:rowOff>56030</xdr:rowOff>
    </xdr:from>
    <xdr:to>
      <xdr:col>6</xdr:col>
      <xdr:colOff>238498</xdr:colOff>
      <xdr:row>64</xdr:row>
      <xdr:rowOff>181125</xdr:rowOff>
    </xdr:to>
    <xdr:sp macro="" textlink="">
      <xdr:nvSpPr>
        <xdr:cNvPr id="8" name="TextBox 7">
          <a:extLst>
            <a:ext uri="{FF2B5EF4-FFF2-40B4-BE49-F238E27FC236}">
              <a16:creationId xmlns:a16="http://schemas.microsoft.com/office/drawing/2014/main" id="{FB2A8623-BBEE-426A-8ACC-2183A5867F03}"/>
            </a:ext>
          </a:extLst>
        </xdr:cNvPr>
        <xdr:cNvSpPr txBox="1"/>
      </xdr:nvSpPr>
      <xdr:spPr>
        <a:xfrm>
          <a:off x="179294" y="7866530"/>
          <a:ext cx="5527675" cy="336359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a:solidFill>
                <a:schemeClr val="dk1"/>
              </a:solidFill>
              <a:effectLst/>
              <a:latin typeface="Arial" panose="020B0604020202020204" pitchFamily="34" charset="0"/>
              <a:ea typeface="+mn-ea"/>
              <a:cs typeface="Arial" panose="020B0604020202020204" pitchFamily="34" charset="0"/>
            </a:rPr>
            <a:t>1. </a:t>
          </a:r>
          <a:r>
            <a:rPr lang="en-GB" sz="1200" b="1">
              <a:solidFill>
                <a:schemeClr val="dk1"/>
              </a:solidFill>
              <a:effectLst/>
              <a:latin typeface="Arial" panose="020B0604020202020204" pitchFamily="34" charset="0"/>
              <a:ea typeface="+mn-ea"/>
              <a:cs typeface="Arial" panose="020B0604020202020204" pitchFamily="34" charset="0"/>
            </a:rPr>
            <a:t>AGS closed</a:t>
          </a:r>
          <a:r>
            <a:rPr lang="en-GB" sz="1200" b="1" baseline="0">
              <a:solidFill>
                <a:schemeClr val="dk1"/>
              </a:solidFill>
              <a:effectLst/>
              <a:latin typeface="Arial" panose="020B0604020202020204" pitchFamily="34" charset="0"/>
              <a:ea typeface="+mn-ea"/>
              <a:cs typeface="Arial" panose="020B0604020202020204" pitchFamily="34" charset="0"/>
            </a:rPr>
            <a:t> loop</a:t>
          </a:r>
          <a:r>
            <a:rPr lang="en-GB" sz="1200">
              <a:solidFill>
                <a:schemeClr val="dk1"/>
              </a:solidFill>
              <a:effectLst/>
              <a:latin typeface="Arial" panose="020B0604020202020204" pitchFamily="34" charset="0"/>
              <a:ea typeface="+mn-ea"/>
              <a:cs typeface="Arial" panose="020B0604020202020204" pitchFamily="34" charset="0"/>
            </a:rPr>
            <a:t>:</a:t>
          </a:r>
        </a:p>
        <a:p>
          <a:endParaRPr lang="en-GB" sz="1200">
            <a:solidFill>
              <a:schemeClr val="dk1"/>
            </a:solidFill>
            <a:effectLst/>
            <a:latin typeface="Arial" panose="020B0604020202020204" pitchFamily="34" charset="0"/>
            <a:ea typeface="+mn-ea"/>
            <a:cs typeface="Arial" panose="020B0604020202020204" pitchFamily="34" charset="0"/>
          </a:endParaRPr>
        </a:p>
        <a:p>
          <a:r>
            <a:rPr lang="en-GB" sz="1200">
              <a:solidFill>
                <a:schemeClr val="dk1"/>
              </a:solidFill>
              <a:effectLst/>
              <a:latin typeface="Arial" panose="020B0604020202020204" pitchFamily="34" charset="0"/>
              <a:ea typeface="+mn-ea"/>
              <a:cs typeface="Arial" panose="020B0604020202020204" pitchFamily="34" charset="0"/>
            </a:rPr>
            <a:t>• </a:t>
          </a:r>
          <a:r>
            <a:rPr lang="en-GB" sz="1200" b="1">
              <a:solidFill>
                <a:schemeClr val="dk1"/>
              </a:solidFill>
              <a:effectLst/>
              <a:latin typeface="Arial" panose="020B0604020202020204" pitchFamily="34" charset="0"/>
              <a:ea typeface="+mn-ea"/>
              <a:cs typeface="Arial" panose="020B0604020202020204" pitchFamily="34" charset="0"/>
            </a:rPr>
            <a:t>Injection Point</a:t>
          </a:r>
          <a:r>
            <a:rPr lang="en-GB" sz="1200">
              <a:solidFill>
                <a:schemeClr val="dk1"/>
              </a:solidFill>
              <a:effectLst/>
              <a:latin typeface="Arial" panose="020B0604020202020204" pitchFamily="34" charset="0"/>
              <a:ea typeface="+mn-ea"/>
              <a:cs typeface="Arial" panose="020B0604020202020204" pitchFamily="34" charset="0"/>
            </a:rPr>
            <a:t>: CO2 is injected at a high pressure and relatively lower temperature compared to the geothermal reservoir.</a:t>
          </a:r>
        </a:p>
        <a:p>
          <a:r>
            <a:rPr lang="en-GB" sz="1200">
              <a:solidFill>
                <a:schemeClr val="dk1"/>
              </a:solidFill>
              <a:effectLst/>
              <a:latin typeface="Arial" panose="020B0604020202020204" pitchFamily="34" charset="0"/>
              <a:ea typeface="+mn-ea"/>
              <a:cs typeface="Arial" panose="020B0604020202020204" pitchFamily="34" charset="0"/>
            </a:rPr>
            <a:t>• </a:t>
          </a:r>
          <a:r>
            <a:rPr lang="en-GB" sz="1200" b="1">
              <a:solidFill>
                <a:schemeClr val="dk1"/>
              </a:solidFill>
              <a:effectLst/>
              <a:latin typeface="Arial" panose="020B0604020202020204" pitchFamily="34" charset="0"/>
              <a:ea typeface="+mn-ea"/>
              <a:cs typeface="Arial" panose="020B0604020202020204" pitchFamily="34" charset="0"/>
            </a:rPr>
            <a:t>Reservoir Conditions</a:t>
          </a:r>
          <a:r>
            <a:rPr lang="en-GB" sz="1200">
              <a:solidFill>
                <a:schemeClr val="dk1"/>
              </a:solidFill>
              <a:effectLst/>
              <a:latin typeface="Arial" panose="020B0604020202020204" pitchFamily="34" charset="0"/>
              <a:ea typeface="+mn-ea"/>
              <a:cs typeface="Arial" panose="020B0604020202020204" pitchFamily="34" charset="0"/>
            </a:rPr>
            <a:t>: As CO2 moves through the geothermal reservoir, its temperature will rise due to geothermal heat, while the pressure will be maintained by the depth and the closed-loop configuration.</a:t>
          </a:r>
        </a:p>
        <a:p>
          <a:r>
            <a:rPr lang="en-GB" sz="1200">
              <a:solidFill>
                <a:schemeClr val="dk1"/>
              </a:solidFill>
              <a:effectLst/>
              <a:latin typeface="Arial" panose="020B0604020202020204" pitchFamily="34" charset="0"/>
              <a:ea typeface="+mn-ea"/>
              <a:cs typeface="Arial" panose="020B0604020202020204" pitchFamily="34" charset="0"/>
            </a:rPr>
            <a:t>• </a:t>
          </a:r>
          <a:r>
            <a:rPr lang="en-GB" sz="1200" b="1">
              <a:solidFill>
                <a:schemeClr val="dk1"/>
              </a:solidFill>
              <a:effectLst/>
              <a:latin typeface="Arial" panose="020B0604020202020204" pitchFamily="34" charset="0"/>
              <a:ea typeface="+mn-ea"/>
              <a:cs typeface="Arial" panose="020B0604020202020204" pitchFamily="34" charset="0"/>
            </a:rPr>
            <a:t>Production Point</a:t>
          </a:r>
          <a:r>
            <a:rPr lang="en-GB" sz="1200">
              <a:solidFill>
                <a:schemeClr val="dk1"/>
              </a:solidFill>
              <a:effectLst/>
              <a:latin typeface="Arial" panose="020B0604020202020204" pitchFamily="34" charset="0"/>
              <a:ea typeface="+mn-ea"/>
              <a:cs typeface="Arial" panose="020B0604020202020204" pitchFamily="34" charset="0"/>
            </a:rPr>
            <a:t>: When CO2 reaches the surface, it expands and cools, especially as it passes through the turbine.</a:t>
          </a:r>
        </a:p>
        <a:p>
          <a:endParaRPr lang="en-GB" sz="1200">
            <a:solidFill>
              <a:schemeClr val="dk1"/>
            </a:solidFill>
            <a:effectLst/>
            <a:latin typeface="Arial" panose="020B0604020202020204" pitchFamily="34" charset="0"/>
            <a:ea typeface="+mn-ea"/>
            <a:cs typeface="Arial" panose="020B0604020202020204" pitchFamily="34" charset="0"/>
          </a:endParaRPr>
        </a:p>
        <a:p>
          <a:r>
            <a:rPr lang="en-GB" sz="1200">
              <a:solidFill>
                <a:schemeClr val="dk1"/>
              </a:solidFill>
              <a:effectLst/>
              <a:latin typeface="Arial" panose="020B0604020202020204" pitchFamily="34" charset="0"/>
              <a:ea typeface="+mn-ea"/>
              <a:cs typeface="Arial" panose="020B0604020202020204" pitchFamily="34" charset="0"/>
            </a:rPr>
            <a:t>2. </a:t>
          </a:r>
          <a:r>
            <a:rPr lang="en-GB" sz="1200" b="1">
              <a:solidFill>
                <a:schemeClr val="dk1"/>
              </a:solidFill>
              <a:effectLst/>
              <a:latin typeface="Arial" panose="020B0604020202020204" pitchFamily="34" charset="0"/>
              <a:ea typeface="+mn-ea"/>
              <a:cs typeface="Arial" panose="020B0604020202020204" pitchFamily="34" charset="0"/>
            </a:rPr>
            <a:t>Density Variation in the Loop</a:t>
          </a:r>
          <a:r>
            <a:rPr lang="en-GB" sz="1200">
              <a:solidFill>
                <a:schemeClr val="dk1"/>
              </a:solidFill>
              <a:effectLst/>
              <a:latin typeface="Arial" panose="020B0604020202020204" pitchFamily="34" charset="0"/>
              <a:ea typeface="+mn-ea"/>
              <a:cs typeface="Arial" panose="020B0604020202020204" pitchFamily="34" charset="0"/>
            </a:rPr>
            <a:t>:</a:t>
          </a:r>
        </a:p>
        <a:p>
          <a:r>
            <a:rPr lang="en-GB" sz="1200">
              <a:solidFill>
                <a:schemeClr val="dk1"/>
              </a:solidFill>
              <a:effectLst/>
              <a:latin typeface="Arial" panose="020B0604020202020204" pitchFamily="34" charset="0"/>
              <a:ea typeface="+mn-ea"/>
              <a:cs typeface="Arial" panose="020B0604020202020204" pitchFamily="34" charset="0"/>
            </a:rPr>
            <a:t>• In the </a:t>
          </a:r>
          <a:r>
            <a:rPr lang="en-GB" sz="1200" b="1">
              <a:solidFill>
                <a:schemeClr val="dk1"/>
              </a:solidFill>
              <a:effectLst/>
              <a:latin typeface="Arial" panose="020B0604020202020204" pitchFamily="34" charset="0"/>
              <a:ea typeface="+mn-ea"/>
              <a:cs typeface="Arial" panose="020B0604020202020204" pitchFamily="34" charset="0"/>
            </a:rPr>
            <a:t>supercritical phase</a:t>
          </a:r>
          <a:r>
            <a:rPr lang="en-GB" sz="1200">
              <a:solidFill>
                <a:schemeClr val="dk1"/>
              </a:solidFill>
              <a:effectLst/>
              <a:latin typeface="Arial" panose="020B0604020202020204" pitchFamily="34" charset="0"/>
              <a:ea typeface="+mn-ea"/>
              <a:cs typeface="Arial" panose="020B0604020202020204" pitchFamily="34" charset="0"/>
            </a:rPr>
            <a:t>, CO2 density varies considerably based on its temperature and pressure. Typically, the </a:t>
          </a:r>
          <a:r>
            <a:rPr lang="en-GB" sz="1200" b="1">
              <a:solidFill>
                <a:schemeClr val="dk1"/>
              </a:solidFill>
              <a:effectLst/>
              <a:latin typeface="Arial" panose="020B0604020202020204" pitchFamily="34" charset="0"/>
              <a:ea typeface="+mn-ea"/>
              <a:cs typeface="Arial" panose="020B0604020202020204" pitchFamily="34" charset="0"/>
            </a:rPr>
            <a:t>density ranges from 300 to 600 kg/m³</a:t>
          </a:r>
          <a:r>
            <a:rPr lang="en-GB" sz="1200">
              <a:solidFill>
                <a:schemeClr val="dk1"/>
              </a:solidFill>
              <a:effectLst/>
              <a:latin typeface="Arial" panose="020B0604020202020204" pitchFamily="34" charset="0"/>
              <a:ea typeface="+mn-ea"/>
              <a:cs typeface="Arial" panose="020B0604020202020204" pitchFamily="34" charset="0"/>
            </a:rPr>
            <a:t> depending on conditions.</a:t>
          </a:r>
        </a:p>
        <a:p>
          <a:r>
            <a:rPr lang="en-GB" sz="1200">
              <a:solidFill>
                <a:schemeClr val="dk1"/>
              </a:solidFill>
              <a:effectLst/>
              <a:latin typeface="Arial" panose="020B0604020202020204" pitchFamily="34" charset="0"/>
              <a:ea typeface="+mn-ea"/>
              <a:cs typeface="Arial" panose="020B0604020202020204" pitchFamily="34" charset="0"/>
            </a:rPr>
            <a:t>• At the </a:t>
          </a:r>
          <a:r>
            <a:rPr lang="en-GB" sz="1200" b="1">
              <a:solidFill>
                <a:schemeClr val="dk1"/>
              </a:solidFill>
              <a:effectLst/>
              <a:latin typeface="Arial" panose="020B0604020202020204" pitchFamily="34" charset="0"/>
              <a:ea typeface="+mn-ea"/>
              <a:cs typeface="Arial" panose="020B0604020202020204" pitchFamily="34" charset="0"/>
            </a:rPr>
            <a:t>injection point</a:t>
          </a:r>
          <a:r>
            <a:rPr lang="en-GB" sz="1200">
              <a:solidFill>
                <a:schemeClr val="dk1"/>
              </a:solidFill>
              <a:effectLst/>
              <a:latin typeface="Arial" panose="020B0604020202020204" pitchFamily="34" charset="0"/>
              <a:ea typeface="+mn-ea"/>
              <a:cs typeface="Arial" panose="020B0604020202020204" pitchFamily="34" charset="0"/>
            </a:rPr>
            <a:t>, CO2 might have a higher density (closer to 600 kg/m³) due to lower temperatures and higher pressures.</a:t>
          </a:r>
        </a:p>
        <a:p>
          <a:r>
            <a:rPr lang="en-GB" sz="1200">
              <a:solidFill>
                <a:schemeClr val="dk1"/>
              </a:solidFill>
              <a:effectLst/>
              <a:latin typeface="Arial" panose="020B0604020202020204" pitchFamily="34" charset="0"/>
              <a:ea typeface="+mn-ea"/>
              <a:cs typeface="Arial" panose="020B0604020202020204" pitchFamily="34" charset="0"/>
            </a:rPr>
            <a:t>• As CO2 heats up in the geothermal reservoir, it becomes less dense (closer to 300-400 kg/m³).</a:t>
          </a:r>
        </a:p>
      </xdr:txBody>
    </xdr:sp>
    <xdr:clientData/>
  </xdr:twoCellAnchor>
  <xdr:twoCellAnchor editAs="oneCell">
    <xdr:from>
      <xdr:col>15</xdr:col>
      <xdr:colOff>156882</xdr:colOff>
      <xdr:row>81</xdr:row>
      <xdr:rowOff>112058</xdr:rowOff>
    </xdr:from>
    <xdr:to>
      <xdr:col>27</xdr:col>
      <xdr:colOff>32613</xdr:colOff>
      <xdr:row>100</xdr:row>
      <xdr:rowOff>73510</xdr:rowOff>
    </xdr:to>
    <xdr:pic>
      <xdr:nvPicPr>
        <xdr:cNvPr id="9" name="Picture 8">
          <a:extLst>
            <a:ext uri="{FF2B5EF4-FFF2-40B4-BE49-F238E27FC236}">
              <a16:creationId xmlns:a16="http://schemas.microsoft.com/office/drawing/2014/main" id="{67576DBB-5D3F-22E7-7658-682155A53D16}"/>
            </a:ext>
          </a:extLst>
        </xdr:cNvPr>
        <xdr:cNvPicPr>
          <a:picLocks noChangeAspect="1"/>
        </xdr:cNvPicPr>
      </xdr:nvPicPr>
      <xdr:blipFill>
        <a:blip xmlns:r="http://schemas.openxmlformats.org/officeDocument/2006/relationships" r:embed="rId3"/>
        <a:stretch>
          <a:fillRect/>
        </a:stretch>
      </xdr:blipFill>
      <xdr:spPr>
        <a:xfrm>
          <a:off x="11071411" y="14399558"/>
          <a:ext cx="7133333" cy="3580952"/>
        </a:xfrm>
        <a:prstGeom prst="rect">
          <a:avLst/>
        </a:prstGeom>
      </xdr:spPr>
    </xdr:pic>
    <xdr:clientData/>
  </xdr:twoCellAnchor>
  <xdr:oneCellAnchor>
    <xdr:from>
      <xdr:col>1</xdr:col>
      <xdr:colOff>369794</xdr:colOff>
      <xdr:row>84</xdr:row>
      <xdr:rowOff>75080</xdr:rowOff>
    </xdr:from>
    <xdr:ext cx="5524500" cy="321435"/>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790A9737-5638-EC39-30EF-909F2E9C7AA5}"/>
                </a:ext>
              </a:extLst>
            </xdr:cNvPr>
            <xdr:cNvSpPr txBox="1"/>
          </xdr:nvSpPr>
          <xdr:spPr>
            <a:xfrm>
              <a:off x="974912" y="14934080"/>
              <a:ext cx="5524500"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de-CH" sz="1100" b="0" i="1">
                        <a:latin typeface="Cambria Math" panose="02040503050406030204" pitchFamily="18" charset="0"/>
                      </a:rPr>
                      <m:t>𝑃</m:t>
                    </m:r>
                    <m:r>
                      <a:rPr lang="de-CH" sz="1100" b="0" i="1">
                        <a:latin typeface="Cambria Math" panose="02040503050406030204" pitchFamily="18" charset="0"/>
                      </a:rPr>
                      <m:t>= </m:t>
                    </m:r>
                    <m:f>
                      <m:fPr>
                        <m:ctrlPr>
                          <a:rPr lang="de-CH" sz="1100" i="1">
                            <a:latin typeface="Cambria Math" panose="02040503050406030204" pitchFamily="18" charset="0"/>
                          </a:rPr>
                        </m:ctrlPr>
                      </m:fPr>
                      <m:num>
                        <m:r>
                          <a:rPr lang="de-CH" sz="1100" b="0" i="1">
                            <a:latin typeface="Cambria Math" panose="02040503050406030204" pitchFamily="18" charset="0"/>
                          </a:rPr>
                          <m:t>𝑞</m:t>
                        </m:r>
                        <m:r>
                          <a:rPr lang="de-CH" sz="1100" b="0" i="1">
                            <a:latin typeface="Cambria Math" panose="02040503050406030204" pitchFamily="18" charset="0"/>
                          </a:rPr>
                          <m:t> ∗</m:t>
                        </m:r>
                        <m:r>
                          <a:rPr lang="de-CH" sz="1100" b="0" i="1">
                            <a:latin typeface="Cambria Math" panose="02040503050406030204" pitchFamily="18" charset="0"/>
                          </a:rPr>
                          <m:t>𝑟h𝑜</m:t>
                        </m:r>
                        <m:r>
                          <a:rPr lang="de-CH" sz="1100" b="0" i="1">
                            <a:latin typeface="Cambria Math" panose="02040503050406030204" pitchFamily="18" charset="0"/>
                          </a:rPr>
                          <m:t> ∗</m:t>
                        </m:r>
                        <m:r>
                          <a:rPr lang="de-CH" sz="1100" b="0" i="1">
                            <a:latin typeface="Cambria Math" panose="02040503050406030204" pitchFamily="18" charset="0"/>
                          </a:rPr>
                          <m:t>𝑔</m:t>
                        </m:r>
                        <m:r>
                          <a:rPr lang="de-CH" sz="1100" b="0" i="1">
                            <a:latin typeface="Cambria Math" panose="02040503050406030204" pitchFamily="18" charset="0"/>
                          </a:rPr>
                          <m:t> ∗</m:t>
                        </m:r>
                        <m:r>
                          <a:rPr lang="de-CH" sz="1100" b="0" i="1">
                            <a:latin typeface="Cambria Math" panose="02040503050406030204" pitchFamily="18" charset="0"/>
                          </a:rPr>
                          <m:t>h</m:t>
                        </m:r>
                      </m:num>
                      <m:den>
                        <m:r>
                          <a:rPr lang="de-CH" sz="1100" b="0" i="1">
                            <a:latin typeface="Cambria Math" panose="02040503050406030204" pitchFamily="18" charset="0"/>
                          </a:rPr>
                          <m:t>3.6 ∗10^6</m:t>
                        </m:r>
                      </m:den>
                    </m:f>
                  </m:oMath>
                </m:oMathPara>
              </a14:m>
              <a:endParaRPr lang="de-CH" sz="1100"/>
            </a:p>
          </xdr:txBody>
        </xdr:sp>
      </mc:Choice>
      <mc:Fallback xmlns="">
        <xdr:sp macro="" textlink="">
          <xdr:nvSpPr>
            <xdr:cNvPr id="10" name="TextBox 9">
              <a:extLst>
                <a:ext uri="{FF2B5EF4-FFF2-40B4-BE49-F238E27FC236}">
                  <a16:creationId xmlns:a16="http://schemas.microsoft.com/office/drawing/2014/main" id="{790A9737-5638-EC39-30EF-909F2E9C7AA5}"/>
                </a:ext>
              </a:extLst>
            </xdr:cNvPr>
            <xdr:cNvSpPr txBox="1"/>
          </xdr:nvSpPr>
          <xdr:spPr>
            <a:xfrm>
              <a:off x="974912" y="14934080"/>
              <a:ext cx="5524500"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de-CH" sz="1100" b="0" i="0">
                  <a:latin typeface="Cambria Math" panose="02040503050406030204" pitchFamily="18" charset="0"/>
                </a:rPr>
                <a:t>𝑃=  (𝑞 ∗𝑟ℎ𝑜 ∗𝑔 ∗ℎ)/(3.6 ∗10^6)</a:t>
              </a:r>
              <a:endParaRPr lang="de-CH" sz="1100"/>
            </a:p>
          </xdr:txBody>
        </xdr:sp>
      </mc:Fallback>
    </mc:AlternateContent>
    <xdr:clientData/>
  </xdr:oneCellAnchor>
  <xdr:twoCellAnchor editAs="oneCell">
    <xdr:from>
      <xdr:col>7</xdr:col>
      <xdr:colOff>0</xdr:colOff>
      <xdr:row>81</xdr:row>
      <xdr:rowOff>0</xdr:rowOff>
    </xdr:from>
    <xdr:to>
      <xdr:col>15</xdr:col>
      <xdr:colOff>378107</xdr:colOff>
      <xdr:row>104</xdr:row>
      <xdr:rowOff>33740</xdr:rowOff>
    </xdr:to>
    <xdr:pic>
      <xdr:nvPicPr>
        <xdr:cNvPr id="11" name="Picture 10">
          <a:extLst>
            <a:ext uri="{FF2B5EF4-FFF2-40B4-BE49-F238E27FC236}">
              <a16:creationId xmlns:a16="http://schemas.microsoft.com/office/drawing/2014/main" id="{32ABEED8-6C86-CA6A-1C25-6C5D82BB373B}"/>
            </a:ext>
          </a:extLst>
        </xdr:cNvPr>
        <xdr:cNvPicPr>
          <a:picLocks noChangeAspect="1"/>
        </xdr:cNvPicPr>
      </xdr:nvPicPr>
      <xdr:blipFill>
        <a:blip xmlns:r="http://schemas.openxmlformats.org/officeDocument/2006/relationships" r:embed="rId4"/>
        <a:stretch>
          <a:fillRect/>
        </a:stretch>
      </xdr:blipFill>
      <xdr:spPr>
        <a:xfrm>
          <a:off x="6073588" y="14287500"/>
          <a:ext cx="5219048" cy="440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171450</xdr:colOff>
      <xdr:row>21</xdr:row>
      <xdr:rowOff>104775</xdr:rowOff>
    </xdr:from>
    <xdr:to>
      <xdr:col>9</xdr:col>
      <xdr:colOff>596265</xdr:colOff>
      <xdr:row>43</xdr:row>
      <xdr:rowOff>150495</xdr:rowOff>
    </xdr:to>
    <xdr:pic>
      <xdr:nvPicPr>
        <xdr:cNvPr id="2" name="Picture 1911353622" descr="A diagram of a truck&#10;&#10;Description automatically generated">
          <a:extLst>
            <a:ext uri="{FF2B5EF4-FFF2-40B4-BE49-F238E27FC236}">
              <a16:creationId xmlns:a16="http://schemas.microsoft.com/office/drawing/2014/main" id="{D7EB200F-4EC0-9BD2-F7E9-A6583043F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b="46217"/>
        <a:stretch>
          <a:fillRect/>
        </a:stretch>
      </xdr:blipFill>
      <xdr:spPr bwMode="auto">
        <a:xfrm>
          <a:off x="781050" y="3981450"/>
          <a:ext cx="5301615" cy="404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596265</xdr:colOff>
      <xdr:row>24</xdr:row>
      <xdr:rowOff>19050</xdr:rowOff>
    </xdr:from>
    <xdr:to>
      <xdr:col>22</xdr:col>
      <xdr:colOff>276225</xdr:colOff>
      <xdr:row>42</xdr:row>
      <xdr:rowOff>171450</xdr:rowOff>
    </xdr:to>
    <xdr:pic>
      <xdr:nvPicPr>
        <xdr:cNvPr id="3" name="Picture 183397599" descr="A diagram of a truck&#10;&#10;Description automatically generated">
          <a:extLst>
            <a:ext uri="{FF2B5EF4-FFF2-40B4-BE49-F238E27FC236}">
              <a16:creationId xmlns:a16="http://schemas.microsoft.com/office/drawing/2014/main" id="{5565B223-2DB8-F44D-07D9-9A5396F83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297" t="53397" r="1297"/>
        <a:stretch>
          <a:fillRect/>
        </a:stretch>
      </xdr:blipFill>
      <xdr:spPr bwMode="auto">
        <a:xfrm>
          <a:off x="8521065" y="4457700"/>
          <a:ext cx="516636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514350</xdr:colOff>
      <xdr:row>48</xdr:row>
      <xdr:rowOff>85725</xdr:rowOff>
    </xdr:from>
    <xdr:to>
      <xdr:col>19</xdr:col>
      <xdr:colOff>95250</xdr:colOff>
      <xdr:row>54</xdr:row>
      <xdr:rowOff>152400</xdr:rowOff>
    </xdr:to>
    <xdr:sp macro="" textlink="">
      <xdr:nvSpPr>
        <xdr:cNvPr id="3075" name="Text Box 2">
          <a:extLst>
            <a:ext uri="{FF2B5EF4-FFF2-40B4-BE49-F238E27FC236}">
              <a16:creationId xmlns:a16="http://schemas.microsoft.com/office/drawing/2014/main" id="{E10ABC57-842B-6C8A-E4F5-3F473C3E61E3}"/>
            </a:ext>
          </a:extLst>
        </xdr:cNvPr>
        <xdr:cNvSpPr txBox="1">
          <a:spLocks noChangeArrowheads="1"/>
        </xdr:cNvSpPr>
      </xdr:nvSpPr>
      <xdr:spPr bwMode="auto">
        <a:xfrm>
          <a:off x="8439150" y="9258300"/>
          <a:ext cx="3238500" cy="1209675"/>
        </a:xfrm>
        <a:prstGeom prst="rect">
          <a:avLst/>
        </a:prstGeom>
        <a:solidFill>
          <a:srgbClr val="FFFFFF"/>
        </a:solidFill>
        <a:ln w="6350">
          <a:solidFill>
            <a:srgbClr val="000000"/>
          </a:solidFill>
          <a:miter lim="800000"/>
          <a:headEnd/>
          <a:tailEnd/>
        </a:ln>
      </xdr:spPr>
      <xdr:txBody>
        <a:bodyPr vertOverflow="clip" wrap="square" lIns="91440" tIns="45720" rIns="91440" bIns="45720" anchor="t" upright="1"/>
        <a:lstStyle/>
        <a:p>
          <a:pPr algn="l" rtl="0">
            <a:defRPr sz="1000"/>
          </a:pPr>
          <a:r>
            <a:rPr lang="de-CH" sz="1000" b="0" i="0" u="none" strike="noStrike" baseline="0">
              <a:solidFill>
                <a:srgbClr val="000000"/>
              </a:solidFill>
              <a:latin typeface="Times New Roman"/>
              <a:cs typeface="Times New Roman"/>
            </a:rPr>
            <a:t>IVGs with different parameters were used: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Operating voltage U</a:t>
          </a:r>
          <a:r>
            <a:rPr lang="de-CH" sz="700" b="0" i="0" u="none" strike="noStrike" baseline="0">
              <a:solidFill>
                <a:srgbClr val="000000"/>
              </a:solidFill>
              <a:latin typeface="Times New Roman"/>
              <a:cs typeface="Times New Roman"/>
            </a:rPr>
            <a:t>oper </a:t>
          </a:r>
          <a:r>
            <a:rPr lang="de-CH" sz="1000" b="0" i="0" u="none" strike="noStrike" baseline="0">
              <a:solidFill>
                <a:srgbClr val="000000"/>
              </a:solidFill>
              <a:latin typeface="Times New Roman"/>
              <a:cs typeface="Times New Roman"/>
            </a:rPr>
            <a:t>: 200–500 kV,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Stored energy W:150–5500 J,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Energy deposition M: 4–61 J/mm,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Current oscillation period T: 5.5–20.0 μs,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ime before breakdown t</a:t>
          </a:r>
          <a:r>
            <a:rPr lang="de-CH" sz="700" b="0" i="0" u="none" strike="noStrike" baseline="0">
              <a:solidFill>
                <a:srgbClr val="000000"/>
              </a:solidFill>
              <a:latin typeface="Times New Roman"/>
              <a:cs typeface="Times New Roman"/>
            </a:rPr>
            <a:t>br </a:t>
          </a:r>
          <a:r>
            <a:rPr lang="de-CH" sz="1000" b="0" i="0" u="none" strike="noStrike" baseline="0">
              <a:solidFill>
                <a:srgbClr val="000000"/>
              </a:solidFill>
              <a:latin typeface="Times New Roman"/>
              <a:cs typeface="Times New Roman"/>
            </a:rPr>
            <a:t>: 0.25–0.5 μs, and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Impulse repetition frequency f: 1–15 impulses/s.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1431786</xdr:colOff>
      <xdr:row>22</xdr:row>
      <xdr:rowOff>74173</xdr:rowOff>
    </xdr:from>
    <xdr:to>
      <xdr:col>29</xdr:col>
      <xdr:colOff>426639</xdr:colOff>
      <xdr:row>36</xdr:row>
      <xdr:rowOff>113659</xdr:rowOff>
    </xdr:to>
    <xdr:graphicFrame macro="">
      <xdr:nvGraphicFramePr>
        <xdr:cNvPr id="7" name="Chart 6">
          <a:extLst>
            <a:ext uri="{FF2B5EF4-FFF2-40B4-BE49-F238E27FC236}">
              <a16:creationId xmlns:a16="http://schemas.microsoft.com/office/drawing/2014/main" id="{EF462039-67A3-C408-E2D0-4B3E5291B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372800</xdr:colOff>
      <xdr:row>55</xdr:row>
      <xdr:rowOff>113841</xdr:rowOff>
    </xdr:from>
    <xdr:to>
      <xdr:col>23</xdr:col>
      <xdr:colOff>942631</xdr:colOff>
      <xdr:row>76</xdr:row>
      <xdr:rowOff>183601</xdr:rowOff>
    </xdr:to>
    <xdr:pic>
      <xdr:nvPicPr>
        <xdr:cNvPr id="2" name="Picture 12" descr="A graph with a line and numbers&#10;&#10;Description automatically generated with medium confidence">
          <a:extLst>
            <a:ext uri="{FF2B5EF4-FFF2-40B4-BE49-F238E27FC236}">
              <a16:creationId xmlns:a16="http://schemas.microsoft.com/office/drawing/2014/main" id="{EDE759FA-3426-4885-8F2B-BD626EE6FF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02375" y="9515016"/>
          <a:ext cx="8285081" cy="4270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257264</xdr:colOff>
      <xdr:row>53</xdr:row>
      <xdr:rowOff>49530</xdr:rowOff>
    </xdr:from>
    <xdr:to>
      <xdr:col>29</xdr:col>
      <xdr:colOff>697864</xdr:colOff>
      <xdr:row>78</xdr:row>
      <xdr:rowOff>122782</xdr:rowOff>
    </xdr:to>
    <xdr:pic>
      <xdr:nvPicPr>
        <xdr:cNvPr id="3" name="Picture 6" descr="A graph with a red line&#10;&#10;Description automatically generated">
          <a:extLst>
            <a:ext uri="{FF2B5EF4-FFF2-40B4-BE49-F238E27FC236}">
              <a16:creationId xmlns:a16="http://schemas.microsoft.com/office/drawing/2014/main" id="{ECDB7AD1-FE23-45DF-B943-1D066CB514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440364" y="9050655"/>
          <a:ext cx="4726850" cy="50738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34</xdr:row>
      <xdr:rowOff>0</xdr:rowOff>
    </xdr:from>
    <xdr:to>
      <xdr:col>7</xdr:col>
      <xdr:colOff>160020</xdr:colOff>
      <xdr:row>54</xdr:row>
      <xdr:rowOff>83820</xdr:rowOff>
    </xdr:to>
    <xdr:pic>
      <xdr:nvPicPr>
        <xdr:cNvPr id="2" name="Picture 12" descr="A graph with a line and numbers&#10;&#10;Description automatically generated with medium confidence">
          <a:extLst>
            <a:ext uri="{FF2B5EF4-FFF2-40B4-BE49-F238E27FC236}">
              <a16:creationId xmlns:a16="http://schemas.microsoft.com/office/drawing/2014/main" id="{B7531B0E-BB9B-42FC-A06F-DBE8AC505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15668625"/>
          <a:ext cx="513207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618564</xdr:colOff>
      <xdr:row>33</xdr:row>
      <xdr:rowOff>133350</xdr:rowOff>
    </xdr:from>
    <xdr:to>
      <xdr:col>13</xdr:col>
      <xdr:colOff>946336</xdr:colOff>
      <xdr:row>58</xdr:row>
      <xdr:rowOff>33617</xdr:rowOff>
    </xdr:to>
    <xdr:pic>
      <xdr:nvPicPr>
        <xdr:cNvPr id="3" name="Picture 6" descr="A graph with a red line&#10;&#10;Description automatically generated">
          <a:extLst>
            <a:ext uri="{FF2B5EF4-FFF2-40B4-BE49-F238E27FC236}">
              <a16:creationId xmlns:a16="http://schemas.microsoft.com/office/drawing/2014/main" id="{6896C751-78A6-413C-9157-829AD841B9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91917" y="7069791"/>
          <a:ext cx="3857625" cy="4942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xdr:row>
      <xdr:rowOff>197826</xdr:rowOff>
    </xdr:from>
    <xdr:to>
      <xdr:col>3</xdr:col>
      <xdr:colOff>1358724</xdr:colOff>
      <xdr:row>93</xdr:row>
      <xdr:rowOff>93418</xdr:rowOff>
    </xdr:to>
    <xdr:pic>
      <xdr:nvPicPr>
        <xdr:cNvPr id="4" name="Picture 3">
          <a:extLst>
            <a:ext uri="{FF2B5EF4-FFF2-40B4-BE49-F238E27FC236}">
              <a16:creationId xmlns:a16="http://schemas.microsoft.com/office/drawing/2014/main" id="{F9022003-F096-4662-A18D-6F06CB29A4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942" y="11576538"/>
          <a:ext cx="4663167" cy="72151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71297</xdr:colOff>
      <xdr:row>93</xdr:row>
      <xdr:rowOff>51312</xdr:rowOff>
    </xdr:from>
    <xdr:to>
      <xdr:col>2</xdr:col>
      <xdr:colOff>1457626</xdr:colOff>
      <xdr:row>96</xdr:row>
      <xdr:rowOff>96674</xdr:rowOff>
    </xdr:to>
    <xdr:pic>
      <xdr:nvPicPr>
        <xdr:cNvPr id="5" name="Picture 4">
          <a:extLst>
            <a:ext uri="{FF2B5EF4-FFF2-40B4-BE49-F238E27FC236}">
              <a16:creationId xmlns:a16="http://schemas.microsoft.com/office/drawing/2014/main" id="{7EB03F81-BEA0-4A6A-9EC2-BF1CB188D332}"/>
            </a:ext>
          </a:extLst>
        </xdr:cNvPr>
        <xdr:cNvPicPr>
          <a:picLocks noChangeAspect="1"/>
        </xdr:cNvPicPr>
      </xdr:nvPicPr>
      <xdr:blipFill>
        <a:blip xmlns:r="http://schemas.openxmlformats.org/officeDocument/2006/relationships" r:embed="rId4"/>
        <a:stretch>
          <a:fillRect/>
        </a:stretch>
      </xdr:blipFill>
      <xdr:spPr>
        <a:xfrm>
          <a:off x="899239" y="18749620"/>
          <a:ext cx="3174099" cy="63884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41</xdr:col>
      <xdr:colOff>590550</xdr:colOff>
      <xdr:row>64</xdr:row>
      <xdr:rowOff>9525</xdr:rowOff>
    </xdr:from>
    <xdr:to>
      <xdr:col>48</xdr:col>
      <xdr:colOff>119089</xdr:colOff>
      <xdr:row>107</xdr:row>
      <xdr:rowOff>103001</xdr:rowOff>
    </xdr:to>
    <xdr:grpSp>
      <xdr:nvGrpSpPr>
        <xdr:cNvPr id="2" name="Group 1">
          <a:extLst>
            <a:ext uri="{FF2B5EF4-FFF2-40B4-BE49-F238E27FC236}">
              <a16:creationId xmlns:a16="http://schemas.microsoft.com/office/drawing/2014/main" id="{697642B2-628E-4F03-8BAE-EDC0E3D7A069}"/>
            </a:ext>
          </a:extLst>
        </xdr:cNvPr>
        <xdr:cNvGrpSpPr/>
      </xdr:nvGrpSpPr>
      <xdr:grpSpPr>
        <a:xfrm>
          <a:off x="31523940" y="12580620"/>
          <a:ext cx="3790024" cy="8288786"/>
          <a:chOff x="6100803" y="27792989"/>
          <a:chExt cx="3791898" cy="7956499"/>
        </a:xfrm>
      </xdr:grpSpPr>
      <xdr:pic>
        <xdr:nvPicPr>
          <xdr:cNvPr id="3" name="Picture 2">
            <a:extLst>
              <a:ext uri="{FF2B5EF4-FFF2-40B4-BE49-F238E27FC236}">
                <a16:creationId xmlns:a16="http://schemas.microsoft.com/office/drawing/2014/main" id="{0765D61B-6656-D4B6-07DF-248720E70C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F3995800-9018-B060-77A2-4F190AC3AADE}"/>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twoCellAnchor>
    <xdr:from>
      <xdr:col>11</xdr:col>
      <xdr:colOff>0</xdr:colOff>
      <xdr:row>81</xdr:row>
      <xdr:rowOff>0</xdr:rowOff>
    </xdr:from>
    <xdr:to>
      <xdr:col>15</xdr:col>
      <xdr:colOff>569486</xdr:colOff>
      <xdr:row>126</xdr:row>
      <xdr:rowOff>135385</xdr:rowOff>
    </xdr:to>
    <xdr:grpSp>
      <xdr:nvGrpSpPr>
        <xdr:cNvPr id="5" name="Group 4">
          <a:extLst>
            <a:ext uri="{FF2B5EF4-FFF2-40B4-BE49-F238E27FC236}">
              <a16:creationId xmlns:a16="http://schemas.microsoft.com/office/drawing/2014/main" id="{BD1EB18F-01D8-4A90-A779-1F0FC44D0187}"/>
            </a:ext>
          </a:extLst>
        </xdr:cNvPr>
        <xdr:cNvGrpSpPr/>
      </xdr:nvGrpSpPr>
      <xdr:grpSpPr>
        <a:xfrm>
          <a:off x="6705600" y="15811500"/>
          <a:ext cx="4067066" cy="8711695"/>
          <a:chOff x="6100803" y="27792989"/>
          <a:chExt cx="3791898" cy="7956499"/>
        </a:xfrm>
      </xdr:grpSpPr>
      <xdr:pic>
        <xdr:nvPicPr>
          <xdr:cNvPr id="6" name="Picture 5">
            <a:extLst>
              <a:ext uri="{FF2B5EF4-FFF2-40B4-BE49-F238E27FC236}">
                <a16:creationId xmlns:a16="http://schemas.microsoft.com/office/drawing/2014/main" id="{E47FCB85-C030-A34C-F00D-844B0CF9E9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7" name="Picture 6">
            <a:extLst>
              <a:ext uri="{FF2B5EF4-FFF2-40B4-BE49-F238E27FC236}">
                <a16:creationId xmlns:a16="http://schemas.microsoft.com/office/drawing/2014/main" id="{3594A72B-57E2-F59E-27B0-85520B2418F5}"/>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twoCellAnchor>
    <xdr:from>
      <xdr:col>21</xdr:col>
      <xdr:colOff>42258</xdr:colOff>
      <xdr:row>51</xdr:row>
      <xdr:rowOff>144779</xdr:rowOff>
    </xdr:from>
    <xdr:to>
      <xdr:col>26</xdr:col>
      <xdr:colOff>677252</xdr:colOff>
      <xdr:row>86</xdr:row>
      <xdr:rowOff>128402</xdr:rowOff>
    </xdr:to>
    <xdr:grpSp>
      <xdr:nvGrpSpPr>
        <xdr:cNvPr id="10" name="Group 9">
          <a:extLst>
            <a:ext uri="{FF2B5EF4-FFF2-40B4-BE49-F238E27FC236}">
              <a16:creationId xmlns:a16="http://schemas.microsoft.com/office/drawing/2014/main" id="{1581C8C2-3C39-7090-A6A6-324D51389B68}"/>
            </a:ext>
          </a:extLst>
        </xdr:cNvPr>
        <xdr:cNvGrpSpPr/>
      </xdr:nvGrpSpPr>
      <xdr:grpSpPr>
        <a:xfrm>
          <a:off x="14284038" y="10243184"/>
          <a:ext cx="5422259" cy="6647313"/>
          <a:chOff x="9512013" y="10058399"/>
          <a:chExt cx="5422259" cy="6647313"/>
        </a:xfrm>
      </xdr:grpSpPr>
      <xdr:pic>
        <xdr:nvPicPr>
          <xdr:cNvPr id="8" name="Picture 7">
            <a:extLst>
              <a:ext uri="{FF2B5EF4-FFF2-40B4-BE49-F238E27FC236}">
                <a16:creationId xmlns:a16="http://schemas.microsoft.com/office/drawing/2014/main" id="{79711469-988E-95C6-C74F-684DC8FCF01A}"/>
              </a:ext>
            </a:extLst>
          </xdr:cNvPr>
          <xdr:cNvPicPr>
            <a:picLocks noChangeAspect="1"/>
          </xdr:cNvPicPr>
        </xdr:nvPicPr>
        <xdr:blipFill>
          <a:blip xmlns:r="http://schemas.openxmlformats.org/officeDocument/2006/relationships" r:embed="rId3"/>
          <a:stretch>
            <a:fillRect/>
          </a:stretch>
        </xdr:blipFill>
        <xdr:spPr>
          <a:xfrm>
            <a:off x="9512013" y="10058399"/>
            <a:ext cx="5422259" cy="6647313"/>
          </a:xfrm>
          <a:prstGeom prst="rect">
            <a:avLst/>
          </a:prstGeom>
        </xdr:spPr>
      </xdr:pic>
      <xdr:sp macro="" textlink="">
        <xdr:nvSpPr>
          <xdr:cNvPr id="9" name="TextBox 8">
            <a:extLst>
              <a:ext uri="{FF2B5EF4-FFF2-40B4-BE49-F238E27FC236}">
                <a16:creationId xmlns:a16="http://schemas.microsoft.com/office/drawing/2014/main" id="{6D19A89C-C145-3785-498F-36970C73B7D8}"/>
              </a:ext>
            </a:extLst>
          </xdr:cNvPr>
          <xdr:cNvSpPr txBox="1"/>
        </xdr:nvSpPr>
        <xdr:spPr>
          <a:xfrm>
            <a:off x="9610725" y="10429874"/>
            <a:ext cx="5191125"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a:t>https://www.researchgate.net/figure/schema-generale-di-un-pozzo-geotermico-Lintermediate-casing-potrebbe-essere-omesso-in_fig1_312275506</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41</xdr:col>
      <xdr:colOff>590550</xdr:colOff>
      <xdr:row>64</xdr:row>
      <xdr:rowOff>9525</xdr:rowOff>
    </xdr:from>
    <xdr:to>
      <xdr:col>48</xdr:col>
      <xdr:colOff>119089</xdr:colOff>
      <xdr:row>107</xdr:row>
      <xdr:rowOff>103001</xdr:rowOff>
    </xdr:to>
    <xdr:grpSp>
      <xdr:nvGrpSpPr>
        <xdr:cNvPr id="2" name="Group 1">
          <a:extLst>
            <a:ext uri="{FF2B5EF4-FFF2-40B4-BE49-F238E27FC236}">
              <a16:creationId xmlns:a16="http://schemas.microsoft.com/office/drawing/2014/main" id="{F658E253-778F-4B4F-9D71-E41D53399978}"/>
            </a:ext>
          </a:extLst>
        </xdr:cNvPr>
        <xdr:cNvGrpSpPr/>
      </xdr:nvGrpSpPr>
      <xdr:grpSpPr>
        <a:xfrm>
          <a:off x="31194375" y="12582525"/>
          <a:ext cx="3795739" cy="8284976"/>
          <a:chOff x="6100803" y="27792989"/>
          <a:chExt cx="3791898" cy="7956499"/>
        </a:xfrm>
      </xdr:grpSpPr>
      <xdr:pic>
        <xdr:nvPicPr>
          <xdr:cNvPr id="3" name="Picture 2">
            <a:extLst>
              <a:ext uri="{FF2B5EF4-FFF2-40B4-BE49-F238E27FC236}">
                <a16:creationId xmlns:a16="http://schemas.microsoft.com/office/drawing/2014/main" id="{FCF4FDA1-AD24-252C-E865-A577571469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6C78B443-2F2C-A861-E350-3F74112FB34C}"/>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41</xdr:col>
      <xdr:colOff>590550</xdr:colOff>
      <xdr:row>64</xdr:row>
      <xdr:rowOff>9525</xdr:rowOff>
    </xdr:from>
    <xdr:to>
      <xdr:col>48</xdr:col>
      <xdr:colOff>119089</xdr:colOff>
      <xdr:row>107</xdr:row>
      <xdr:rowOff>103001</xdr:rowOff>
    </xdr:to>
    <xdr:grpSp>
      <xdr:nvGrpSpPr>
        <xdr:cNvPr id="2" name="Group 1">
          <a:extLst>
            <a:ext uri="{FF2B5EF4-FFF2-40B4-BE49-F238E27FC236}">
              <a16:creationId xmlns:a16="http://schemas.microsoft.com/office/drawing/2014/main" id="{83A3AE35-2B5D-4AEE-9CBA-599B65BCDD49}"/>
            </a:ext>
          </a:extLst>
        </xdr:cNvPr>
        <xdr:cNvGrpSpPr/>
      </xdr:nvGrpSpPr>
      <xdr:grpSpPr>
        <a:xfrm>
          <a:off x="31594425" y="12582525"/>
          <a:ext cx="3795739" cy="8284976"/>
          <a:chOff x="6100803" y="27792989"/>
          <a:chExt cx="3791898" cy="7956499"/>
        </a:xfrm>
      </xdr:grpSpPr>
      <xdr:pic>
        <xdr:nvPicPr>
          <xdr:cNvPr id="3" name="Picture 2">
            <a:extLst>
              <a:ext uri="{FF2B5EF4-FFF2-40B4-BE49-F238E27FC236}">
                <a16:creationId xmlns:a16="http://schemas.microsoft.com/office/drawing/2014/main" id="{01B944D6-6264-D563-4C40-311AAE0350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BE66F188-3472-1202-B8DC-CE8C00F824E6}"/>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7</xdr:row>
      <xdr:rowOff>0</xdr:rowOff>
    </xdr:from>
    <xdr:to>
      <xdr:col>7</xdr:col>
      <xdr:colOff>146304</xdr:colOff>
      <xdr:row>50</xdr:row>
      <xdr:rowOff>91571</xdr:rowOff>
    </xdr:to>
    <xdr:grpSp>
      <xdr:nvGrpSpPr>
        <xdr:cNvPr id="2" name="Group 1">
          <a:extLst>
            <a:ext uri="{FF2B5EF4-FFF2-40B4-BE49-F238E27FC236}">
              <a16:creationId xmlns:a16="http://schemas.microsoft.com/office/drawing/2014/main" id="{D2C59372-BD95-4F8E-B656-6F0A2B9F944D}"/>
            </a:ext>
          </a:extLst>
        </xdr:cNvPr>
        <xdr:cNvGrpSpPr/>
      </xdr:nvGrpSpPr>
      <xdr:grpSpPr>
        <a:xfrm>
          <a:off x="609600" y="1333500"/>
          <a:ext cx="3803904" cy="8283071"/>
          <a:chOff x="6100803" y="27792989"/>
          <a:chExt cx="3791898" cy="7956499"/>
        </a:xfrm>
      </xdr:grpSpPr>
      <xdr:pic>
        <xdr:nvPicPr>
          <xdr:cNvPr id="3" name="Picture 2">
            <a:extLst>
              <a:ext uri="{FF2B5EF4-FFF2-40B4-BE49-F238E27FC236}">
                <a16:creationId xmlns:a16="http://schemas.microsoft.com/office/drawing/2014/main" id="{242D7848-120C-BBDF-FE85-E580364A27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6416D130-CA57-899E-00AE-12015ED040E3}"/>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26</xdr:col>
      <xdr:colOff>161579</xdr:colOff>
      <xdr:row>135</xdr:row>
      <xdr:rowOff>110144</xdr:rowOff>
    </xdr:from>
    <xdr:to>
      <xdr:col>29</xdr:col>
      <xdr:colOff>531149</xdr:colOff>
      <xdr:row>151</xdr:row>
      <xdr:rowOff>90054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8683C2-6FF0-B97B-C575-0EC4E91247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32374" y="21712844"/>
              <a:ext cx="4440555" cy="2538325"/>
            </a:xfrm>
            <a:prstGeom prst="rect">
              <a:avLst/>
            </a:prstGeom>
            <a:solidFill>
              <a:prstClr val="white"/>
            </a:solidFill>
            <a:ln w="1">
              <a:solidFill>
                <a:prstClr val="green"/>
              </a:solidFill>
            </a:ln>
          </xdr:spPr>
          <xdr:txBody>
            <a:bodyPr vertOverflow="clip" horzOverflow="clip"/>
            <a:lstStyle/>
            <a:p>
              <a:r>
                <a:rPr lang="de-C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14</xdr:col>
      <xdr:colOff>941293</xdr:colOff>
      <xdr:row>138</xdr:row>
      <xdr:rowOff>8965</xdr:rowOff>
    </xdr:from>
    <xdr:to>
      <xdr:col>16</xdr:col>
      <xdr:colOff>1954306</xdr:colOff>
      <xdr:row>156</xdr:row>
      <xdr:rowOff>17930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5B6819-EC8C-46B7-969F-BDBDCCF1C7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665038" y="22089820"/>
              <a:ext cx="4255323" cy="2895040"/>
            </a:xfrm>
            <a:prstGeom prst="rect">
              <a:avLst/>
            </a:prstGeom>
            <a:solidFill>
              <a:prstClr val="white"/>
            </a:solidFill>
            <a:ln w="1">
              <a:solidFill>
                <a:prstClr val="green"/>
              </a:solidFill>
            </a:ln>
          </xdr:spPr>
          <xdr:txBody>
            <a:bodyPr vertOverflow="clip" horzOverflow="clip"/>
            <a:lstStyle/>
            <a:p>
              <a:r>
                <a:rPr lang="de-C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0</xdr:colOff>
      <xdr:row>134</xdr:row>
      <xdr:rowOff>0</xdr:rowOff>
    </xdr:from>
    <xdr:to>
      <xdr:col>22</xdr:col>
      <xdr:colOff>1379220</xdr:colOff>
      <xdr:row>150</xdr:row>
      <xdr:rowOff>60960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0865D4E-02F7-45E4-85E6-7C0FEA7DF9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671780" y="21442680"/>
              <a:ext cx="4486275" cy="2625090"/>
            </a:xfrm>
            <a:prstGeom prst="rect">
              <a:avLst/>
            </a:prstGeom>
            <a:solidFill>
              <a:prstClr val="white"/>
            </a:solidFill>
            <a:ln w="1">
              <a:solidFill>
                <a:prstClr val="green"/>
              </a:solidFill>
            </a:ln>
          </xdr:spPr>
          <xdr:txBody>
            <a:bodyPr vertOverflow="clip" horzOverflow="clip"/>
            <a:lstStyle/>
            <a:p>
              <a:r>
                <a:rPr lang="de-CH"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04_Projects_Proposals\01_Current%20Projects\2022%20-%20AEGIS-CH\SP4%20-%20STEM\aegis_parametric_Nexuse_Electrity_AGS_Nov2024_LCA.xlsx" TargetMode="External"/><Relationship Id="rId1" Type="http://schemas.openxmlformats.org/officeDocument/2006/relationships/externalLinkPath" Target="file:///G:\04_Projects_Proposals\01_Current%20Projects\2022%20-%20AEGIS-CH\SP4%20-%20STEM\aegis_parametric_Nexuse_Electrity_AGS_Nov2024_L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50.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N:\04_Projects_Proposals\01_Current%20Projects\2022%20-%20AEGIS-CH\SP4%20-%20STEM\aegis_CLI_parametric5a~1152.xlsx" TargetMode="External"/><Relationship Id="rId1" Type="http://schemas.openxmlformats.org/officeDocument/2006/relationships/externalLinkPath" Target="file:///G:\04_Projects_Proposals\01_Current%20Projects\2022%20-%20AEGIS-CH\SP4%20-%20STEM\aegis_CLI_parametric5a~115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5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59.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N:\04_Projects_Proposals\01_Current%20Projects\2022%20-%20AEGIS-CH\SP4%20-%20STEM\aegis_CLI_parametric5a~1160.xlsx" TargetMode="External"/><Relationship Id="rId1" Type="http://schemas.openxmlformats.org/officeDocument/2006/relationships/externalLinkPath" Target="file:///G:\04_Projects_Proposals\01_Current%20Projects\2022%20-%20AEGIS-CH\SP4%20-%20STEM\aegis_CLI_parametric5a~116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4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4.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5.xlsx"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file:///N:\04_Projects_Proposals\01_Current%20Projects\2022%20-%20AEGIS-CH\SP4%20-%20STEM\aegis_CLI_parametric5a_noflex~1157.xlsx" TargetMode="External"/><Relationship Id="rId1" Type="http://schemas.openxmlformats.org/officeDocument/2006/relationships/externalLinkPath" Target="file:///G:\04_Projects_Proposals\01_Current%20Projects\2022%20-%20AEGIS-CH\SP4%20-%20STEM\aegis_CLI_parametric5a_noflex~1157.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8.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9.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6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EM_Results_AGS_Nov2024"/>
      <sheetName val="LCA_Shortlist"/>
    </sheetNames>
    <sheetDataSet>
      <sheetData sheetId="0">
        <row r="1">
          <cell r="C1" t="str">
            <v>Case</v>
          </cell>
          <cell r="F1" t="str">
            <v>Capital2050</v>
          </cell>
          <cell r="G1" t="str">
            <v>LifeTime</v>
          </cell>
          <cell r="H1" t="str">
            <v>Flexiblity</v>
          </cell>
        </row>
        <row r="2">
          <cell r="C2" t="str">
            <v>0011</v>
          </cell>
          <cell r="F2">
            <v>25000</v>
          </cell>
          <cell r="G2">
            <v>30</v>
          </cell>
          <cell r="H2" t="str">
            <v>Low</v>
          </cell>
        </row>
        <row r="3">
          <cell r="C3" t="str">
            <v>1001</v>
          </cell>
          <cell r="F3">
            <v>22500</v>
          </cell>
          <cell r="G3">
            <v>30</v>
          </cell>
          <cell r="H3" t="str">
            <v>Low</v>
          </cell>
        </row>
        <row r="4">
          <cell r="C4" t="str">
            <v>1002</v>
          </cell>
          <cell r="F4">
            <v>21250</v>
          </cell>
          <cell r="G4">
            <v>30</v>
          </cell>
          <cell r="H4" t="str">
            <v>Low</v>
          </cell>
        </row>
        <row r="5">
          <cell r="C5" t="str">
            <v>1003</v>
          </cell>
          <cell r="F5">
            <v>20000</v>
          </cell>
          <cell r="G5">
            <v>30</v>
          </cell>
          <cell r="H5" t="str">
            <v>Low</v>
          </cell>
        </row>
        <row r="6">
          <cell r="C6" t="str">
            <v>1004</v>
          </cell>
          <cell r="F6">
            <v>18750</v>
          </cell>
          <cell r="G6">
            <v>30</v>
          </cell>
          <cell r="H6" t="str">
            <v>Low</v>
          </cell>
        </row>
        <row r="7">
          <cell r="C7" t="str">
            <v>1005</v>
          </cell>
          <cell r="F7">
            <v>17500</v>
          </cell>
          <cell r="G7">
            <v>30</v>
          </cell>
          <cell r="H7" t="str">
            <v>Low</v>
          </cell>
        </row>
        <row r="8">
          <cell r="C8" t="str">
            <v>1007</v>
          </cell>
          <cell r="F8">
            <v>16499.999999999996</v>
          </cell>
          <cell r="G8">
            <v>30</v>
          </cell>
          <cell r="H8" t="str">
            <v>Low</v>
          </cell>
        </row>
        <row r="9">
          <cell r="C9" t="str">
            <v>1008</v>
          </cell>
          <cell r="F9">
            <v>16000</v>
          </cell>
          <cell r="G9">
            <v>30</v>
          </cell>
          <cell r="H9" t="str">
            <v>Low</v>
          </cell>
        </row>
        <row r="10">
          <cell r="C10" t="str">
            <v>1009</v>
          </cell>
          <cell r="F10">
            <v>15500</v>
          </cell>
          <cell r="G10">
            <v>30</v>
          </cell>
          <cell r="H10" t="str">
            <v>Low</v>
          </cell>
        </row>
        <row r="11">
          <cell r="C11" t="str">
            <v>1010</v>
          </cell>
          <cell r="F11">
            <v>15000</v>
          </cell>
          <cell r="G11">
            <v>30</v>
          </cell>
          <cell r="H11" t="str">
            <v>Low</v>
          </cell>
        </row>
        <row r="12">
          <cell r="C12" t="str">
            <v>1011</v>
          </cell>
          <cell r="F12">
            <v>14500.000000000002</v>
          </cell>
          <cell r="G12">
            <v>30</v>
          </cell>
          <cell r="H12" t="str">
            <v>Low</v>
          </cell>
        </row>
        <row r="13">
          <cell r="C13" t="str">
            <v>1012</v>
          </cell>
          <cell r="F13">
            <v>14000.000000000002</v>
          </cell>
          <cell r="G13">
            <v>30</v>
          </cell>
          <cell r="H13" t="str">
            <v>Low</v>
          </cell>
        </row>
        <row r="14">
          <cell r="C14" t="str">
            <v>1013</v>
          </cell>
          <cell r="F14">
            <v>13500</v>
          </cell>
          <cell r="G14">
            <v>30</v>
          </cell>
          <cell r="H14" t="str">
            <v>Low</v>
          </cell>
        </row>
        <row r="15">
          <cell r="C15" t="str">
            <v>1014</v>
          </cell>
          <cell r="F15">
            <v>13000</v>
          </cell>
          <cell r="G15">
            <v>30</v>
          </cell>
          <cell r="H15" t="str">
            <v>Low</v>
          </cell>
        </row>
        <row r="16">
          <cell r="C16" t="str">
            <v>1016</v>
          </cell>
          <cell r="F16">
            <v>12000</v>
          </cell>
          <cell r="G16">
            <v>30</v>
          </cell>
          <cell r="H16" t="str">
            <v>Low</v>
          </cell>
        </row>
        <row r="17">
          <cell r="C17" t="str">
            <v>1017</v>
          </cell>
          <cell r="F17">
            <v>11500</v>
          </cell>
          <cell r="G17">
            <v>30</v>
          </cell>
          <cell r="H17" t="str">
            <v>Low</v>
          </cell>
        </row>
        <row r="18">
          <cell r="C18" t="str">
            <v>1018</v>
          </cell>
          <cell r="F18">
            <v>10999.999999999998</v>
          </cell>
          <cell r="G18">
            <v>30</v>
          </cell>
          <cell r="H18" t="str">
            <v>Low</v>
          </cell>
        </row>
        <row r="19">
          <cell r="C19" t="str">
            <v>1020</v>
          </cell>
          <cell r="F19">
            <v>10000</v>
          </cell>
          <cell r="G19">
            <v>30</v>
          </cell>
          <cell r="H19" t="str">
            <v>Low</v>
          </cell>
        </row>
        <row r="20">
          <cell r="C20" t="str">
            <v>1022</v>
          </cell>
          <cell r="F20">
            <v>21250</v>
          </cell>
          <cell r="G20">
            <v>35</v>
          </cell>
          <cell r="H20" t="str">
            <v>Low</v>
          </cell>
        </row>
        <row r="21">
          <cell r="C21" t="str">
            <v>1023</v>
          </cell>
          <cell r="F21">
            <v>20000</v>
          </cell>
          <cell r="G21">
            <v>35</v>
          </cell>
          <cell r="H21" t="str">
            <v>Low</v>
          </cell>
        </row>
        <row r="22">
          <cell r="C22" t="str">
            <v>1024</v>
          </cell>
          <cell r="F22">
            <v>18750</v>
          </cell>
          <cell r="G22">
            <v>35</v>
          </cell>
          <cell r="H22" t="str">
            <v>Low</v>
          </cell>
        </row>
        <row r="23">
          <cell r="C23" t="str">
            <v>1025</v>
          </cell>
          <cell r="F23">
            <v>17500</v>
          </cell>
          <cell r="G23">
            <v>35</v>
          </cell>
          <cell r="H23" t="str">
            <v>Low</v>
          </cell>
        </row>
        <row r="24">
          <cell r="C24" t="str">
            <v>1026</v>
          </cell>
          <cell r="F24">
            <v>17000</v>
          </cell>
          <cell r="G24">
            <v>35</v>
          </cell>
          <cell r="H24" t="str">
            <v>Low</v>
          </cell>
        </row>
        <row r="25">
          <cell r="C25" t="str">
            <v>1027</v>
          </cell>
          <cell r="F25">
            <v>16499.999999999996</v>
          </cell>
          <cell r="G25">
            <v>35</v>
          </cell>
          <cell r="H25" t="str">
            <v>Low</v>
          </cell>
        </row>
        <row r="26">
          <cell r="C26" t="str">
            <v>1028</v>
          </cell>
          <cell r="F26">
            <v>16000</v>
          </cell>
          <cell r="G26">
            <v>35</v>
          </cell>
          <cell r="H26" t="str">
            <v>Low</v>
          </cell>
        </row>
        <row r="27">
          <cell r="C27" t="str">
            <v>1029</v>
          </cell>
          <cell r="F27">
            <v>15500</v>
          </cell>
          <cell r="G27">
            <v>35</v>
          </cell>
          <cell r="H27" t="str">
            <v>Low</v>
          </cell>
        </row>
        <row r="28">
          <cell r="C28" t="str">
            <v>1030</v>
          </cell>
          <cell r="F28">
            <v>15000</v>
          </cell>
          <cell r="G28">
            <v>35</v>
          </cell>
          <cell r="H28" t="str">
            <v>Low</v>
          </cell>
        </row>
        <row r="29">
          <cell r="C29" t="str">
            <v>1031</v>
          </cell>
          <cell r="F29">
            <v>14500.000000000002</v>
          </cell>
          <cell r="G29">
            <v>35</v>
          </cell>
          <cell r="H29" t="str">
            <v>Low</v>
          </cell>
        </row>
        <row r="30">
          <cell r="C30" t="str">
            <v>1034</v>
          </cell>
          <cell r="F30">
            <v>13000</v>
          </cell>
          <cell r="G30">
            <v>35</v>
          </cell>
          <cell r="H30" t="str">
            <v>Low</v>
          </cell>
        </row>
        <row r="31">
          <cell r="C31" t="str">
            <v>1035</v>
          </cell>
          <cell r="F31">
            <v>12500</v>
          </cell>
          <cell r="G31">
            <v>35</v>
          </cell>
          <cell r="H31" t="str">
            <v>Low</v>
          </cell>
        </row>
        <row r="32">
          <cell r="C32" t="str">
            <v>1039</v>
          </cell>
          <cell r="F32">
            <v>10500.000000000002</v>
          </cell>
          <cell r="G32">
            <v>35</v>
          </cell>
          <cell r="H32" t="str">
            <v>Low</v>
          </cell>
        </row>
        <row r="33">
          <cell r="C33" t="str">
            <v>1040</v>
          </cell>
          <cell r="F33">
            <v>10000</v>
          </cell>
          <cell r="G33">
            <v>35</v>
          </cell>
          <cell r="H33" t="str">
            <v>Low</v>
          </cell>
        </row>
        <row r="34">
          <cell r="C34" t="str">
            <v>1042</v>
          </cell>
          <cell r="F34">
            <v>21250</v>
          </cell>
          <cell r="G34">
            <v>40</v>
          </cell>
          <cell r="H34" t="str">
            <v>Low</v>
          </cell>
        </row>
        <row r="35">
          <cell r="C35" t="str">
            <v>1043</v>
          </cell>
          <cell r="F35">
            <v>20000</v>
          </cell>
          <cell r="G35">
            <v>40</v>
          </cell>
          <cell r="H35" t="str">
            <v>Low</v>
          </cell>
        </row>
        <row r="36">
          <cell r="C36" t="str">
            <v>1044</v>
          </cell>
          <cell r="F36">
            <v>18750</v>
          </cell>
          <cell r="G36">
            <v>40</v>
          </cell>
          <cell r="H36" t="str">
            <v>Low</v>
          </cell>
        </row>
        <row r="37">
          <cell r="C37" t="str">
            <v>1045</v>
          </cell>
          <cell r="F37">
            <v>17500</v>
          </cell>
          <cell r="G37">
            <v>40</v>
          </cell>
          <cell r="H37" t="str">
            <v>Low</v>
          </cell>
        </row>
        <row r="38">
          <cell r="C38" t="str">
            <v>1046</v>
          </cell>
          <cell r="F38">
            <v>17000</v>
          </cell>
          <cell r="G38">
            <v>40</v>
          </cell>
          <cell r="H38" t="str">
            <v>Low</v>
          </cell>
        </row>
        <row r="39">
          <cell r="C39" t="str">
            <v>1047</v>
          </cell>
          <cell r="F39">
            <v>16499.999999999996</v>
          </cell>
          <cell r="G39">
            <v>40</v>
          </cell>
          <cell r="H39" t="str">
            <v>Low</v>
          </cell>
        </row>
        <row r="40">
          <cell r="C40" t="str">
            <v>1048</v>
          </cell>
          <cell r="F40">
            <v>16000</v>
          </cell>
          <cell r="G40">
            <v>40</v>
          </cell>
          <cell r="H40" t="str">
            <v>Low</v>
          </cell>
        </row>
        <row r="41">
          <cell r="C41" t="str">
            <v>1049</v>
          </cell>
          <cell r="F41">
            <v>15500</v>
          </cell>
          <cell r="G41">
            <v>40</v>
          </cell>
          <cell r="H41" t="str">
            <v>Low</v>
          </cell>
        </row>
        <row r="42">
          <cell r="C42" t="str">
            <v>1051</v>
          </cell>
          <cell r="F42">
            <v>14500.000000000002</v>
          </cell>
          <cell r="G42">
            <v>40</v>
          </cell>
          <cell r="H42" t="str">
            <v>Low</v>
          </cell>
        </row>
        <row r="43">
          <cell r="C43" t="str">
            <v>1052</v>
          </cell>
          <cell r="F43">
            <v>14000.000000000002</v>
          </cell>
          <cell r="G43">
            <v>40</v>
          </cell>
          <cell r="H43" t="str">
            <v>Low</v>
          </cell>
        </row>
        <row r="44">
          <cell r="C44" t="str">
            <v>1053</v>
          </cell>
          <cell r="F44">
            <v>13500</v>
          </cell>
          <cell r="G44">
            <v>40</v>
          </cell>
          <cell r="H44" t="str">
            <v>Low</v>
          </cell>
        </row>
        <row r="45">
          <cell r="C45" t="str">
            <v>1055</v>
          </cell>
          <cell r="F45">
            <v>12500</v>
          </cell>
          <cell r="G45">
            <v>40</v>
          </cell>
          <cell r="H45" t="str">
            <v>Low</v>
          </cell>
        </row>
        <row r="46">
          <cell r="C46" t="str">
            <v>1056</v>
          </cell>
          <cell r="F46">
            <v>12000</v>
          </cell>
          <cell r="G46">
            <v>40</v>
          </cell>
          <cell r="H46" t="str">
            <v>Low</v>
          </cell>
        </row>
        <row r="47">
          <cell r="C47" t="str">
            <v>1057</v>
          </cell>
          <cell r="F47">
            <v>11500</v>
          </cell>
          <cell r="G47">
            <v>40</v>
          </cell>
          <cell r="H47" t="str">
            <v>Low</v>
          </cell>
        </row>
        <row r="48">
          <cell r="C48" t="str">
            <v>1058</v>
          </cell>
          <cell r="F48">
            <v>10999.999999999998</v>
          </cell>
          <cell r="G48">
            <v>40</v>
          </cell>
          <cell r="H48" t="str">
            <v>Low</v>
          </cell>
        </row>
        <row r="49">
          <cell r="C49" t="str">
            <v>1059</v>
          </cell>
          <cell r="F49">
            <v>10500.000000000002</v>
          </cell>
          <cell r="G49">
            <v>40</v>
          </cell>
          <cell r="H49" t="str">
            <v>Low</v>
          </cell>
        </row>
        <row r="50">
          <cell r="C50" t="str">
            <v>1060</v>
          </cell>
          <cell r="F50">
            <v>10000</v>
          </cell>
          <cell r="G50">
            <v>40</v>
          </cell>
          <cell r="H50" t="str">
            <v>Low</v>
          </cell>
        </row>
        <row r="51">
          <cell r="C51" t="str">
            <v>1061</v>
          </cell>
          <cell r="F51">
            <v>22500</v>
          </cell>
          <cell r="G51">
            <v>44</v>
          </cell>
          <cell r="H51" t="str">
            <v>Low</v>
          </cell>
        </row>
        <row r="52">
          <cell r="C52" t="str">
            <v>1062</v>
          </cell>
          <cell r="F52">
            <v>21250</v>
          </cell>
          <cell r="G52">
            <v>44</v>
          </cell>
          <cell r="H52" t="str">
            <v>Low</v>
          </cell>
        </row>
        <row r="53">
          <cell r="C53" t="str">
            <v>1063</v>
          </cell>
          <cell r="F53">
            <v>20000</v>
          </cell>
          <cell r="G53">
            <v>44</v>
          </cell>
          <cell r="H53" t="str">
            <v>Low</v>
          </cell>
        </row>
        <row r="54">
          <cell r="C54" t="str">
            <v>1064</v>
          </cell>
          <cell r="F54">
            <v>18750</v>
          </cell>
          <cell r="G54">
            <v>44</v>
          </cell>
          <cell r="H54" t="str">
            <v>Low</v>
          </cell>
        </row>
        <row r="55">
          <cell r="C55" t="str">
            <v>1065</v>
          </cell>
          <cell r="F55">
            <v>17500</v>
          </cell>
          <cell r="G55">
            <v>44</v>
          </cell>
          <cell r="H55" t="str">
            <v>Low</v>
          </cell>
        </row>
        <row r="56">
          <cell r="C56" t="str">
            <v>1067</v>
          </cell>
          <cell r="F56">
            <v>16499.999999999996</v>
          </cell>
          <cell r="G56">
            <v>44</v>
          </cell>
          <cell r="H56" t="str">
            <v>Low</v>
          </cell>
        </row>
        <row r="57">
          <cell r="C57" t="str">
            <v>1068</v>
          </cell>
          <cell r="F57">
            <v>16000</v>
          </cell>
          <cell r="G57">
            <v>44</v>
          </cell>
          <cell r="H57" t="str">
            <v>Low</v>
          </cell>
        </row>
        <row r="58">
          <cell r="C58" t="str">
            <v>1069</v>
          </cell>
          <cell r="F58">
            <v>15500</v>
          </cell>
          <cell r="G58">
            <v>44</v>
          </cell>
          <cell r="H58" t="str">
            <v>Low</v>
          </cell>
        </row>
        <row r="59">
          <cell r="C59" t="str">
            <v>1070</v>
          </cell>
          <cell r="F59">
            <v>15000</v>
          </cell>
          <cell r="G59">
            <v>44</v>
          </cell>
          <cell r="H59" t="str">
            <v>Low</v>
          </cell>
        </row>
        <row r="60">
          <cell r="C60" t="str">
            <v>1071</v>
          </cell>
          <cell r="F60">
            <v>14500.000000000002</v>
          </cell>
          <cell r="G60">
            <v>44</v>
          </cell>
          <cell r="H60" t="str">
            <v>Low</v>
          </cell>
        </row>
        <row r="61">
          <cell r="C61" t="str">
            <v>1072</v>
          </cell>
          <cell r="F61">
            <v>14000.000000000002</v>
          </cell>
          <cell r="G61">
            <v>44</v>
          </cell>
          <cell r="H61" t="str">
            <v>Low</v>
          </cell>
        </row>
        <row r="62">
          <cell r="C62" t="str">
            <v>1073</v>
          </cell>
          <cell r="F62">
            <v>13500</v>
          </cell>
          <cell r="G62">
            <v>44</v>
          </cell>
          <cell r="H62" t="str">
            <v>Low</v>
          </cell>
        </row>
        <row r="63">
          <cell r="C63" t="str">
            <v>1074</v>
          </cell>
          <cell r="F63">
            <v>13000</v>
          </cell>
          <cell r="G63">
            <v>44</v>
          </cell>
          <cell r="H63" t="str">
            <v>Low</v>
          </cell>
        </row>
        <row r="64">
          <cell r="C64" t="str">
            <v>1075</v>
          </cell>
          <cell r="F64">
            <v>12500</v>
          </cell>
          <cell r="G64">
            <v>44</v>
          </cell>
          <cell r="H64" t="str">
            <v>Low</v>
          </cell>
        </row>
        <row r="65">
          <cell r="C65" t="str">
            <v>1076</v>
          </cell>
          <cell r="F65">
            <v>12000</v>
          </cell>
          <cell r="G65">
            <v>44</v>
          </cell>
          <cell r="H65" t="str">
            <v>Low</v>
          </cell>
        </row>
        <row r="66">
          <cell r="C66" t="str">
            <v>1077</v>
          </cell>
          <cell r="F66">
            <v>11500</v>
          </cell>
          <cell r="G66">
            <v>44</v>
          </cell>
          <cell r="H66" t="str">
            <v>Low</v>
          </cell>
        </row>
        <row r="67">
          <cell r="C67" t="str">
            <v>1078</v>
          </cell>
          <cell r="F67">
            <v>10999.999999999998</v>
          </cell>
          <cell r="G67">
            <v>44</v>
          </cell>
          <cell r="H67" t="str">
            <v>Low</v>
          </cell>
        </row>
        <row r="68">
          <cell r="C68" t="str">
            <v>1079</v>
          </cell>
          <cell r="F68">
            <v>10500.000000000002</v>
          </cell>
          <cell r="G68">
            <v>44</v>
          </cell>
          <cell r="H68" t="str">
            <v>Low</v>
          </cell>
        </row>
        <row r="69">
          <cell r="C69" t="str">
            <v>1080</v>
          </cell>
          <cell r="F69">
            <v>10000</v>
          </cell>
          <cell r="G69">
            <v>44</v>
          </cell>
          <cell r="H69" t="str">
            <v>Low</v>
          </cell>
        </row>
        <row r="70">
          <cell r="C70" t="str">
            <v>1081</v>
          </cell>
          <cell r="F70">
            <v>22500</v>
          </cell>
          <cell r="G70">
            <v>48</v>
          </cell>
          <cell r="H70" t="str">
            <v>Low</v>
          </cell>
        </row>
        <row r="71">
          <cell r="C71" t="str">
            <v>1082</v>
          </cell>
          <cell r="F71">
            <v>21250</v>
          </cell>
          <cell r="G71">
            <v>48</v>
          </cell>
          <cell r="H71" t="str">
            <v>Low</v>
          </cell>
        </row>
        <row r="72">
          <cell r="C72" t="str">
            <v>1083</v>
          </cell>
          <cell r="F72">
            <v>20000</v>
          </cell>
          <cell r="G72">
            <v>48</v>
          </cell>
          <cell r="H72" t="str">
            <v>Low</v>
          </cell>
        </row>
        <row r="73">
          <cell r="C73" t="str">
            <v>1084</v>
          </cell>
          <cell r="F73">
            <v>18750</v>
          </cell>
          <cell r="G73">
            <v>48</v>
          </cell>
          <cell r="H73" t="str">
            <v>Low</v>
          </cell>
        </row>
        <row r="74">
          <cell r="C74" t="str">
            <v>1086</v>
          </cell>
          <cell r="F74">
            <v>17000</v>
          </cell>
          <cell r="G74">
            <v>48</v>
          </cell>
          <cell r="H74" t="str">
            <v>Low</v>
          </cell>
        </row>
        <row r="75">
          <cell r="C75" t="str">
            <v>1089</v>
          </cell>
          <cell r="F75">
            <v>15500</v>
          </cell>
          <cell r="G75">
            <v>48</v>
          </cell>
          <cell r="H75" t="str">
            <v>Low</v>
          </cell>
        </row>
        <row r="76">
          <cell r="C76" t="str">
            <v>1090</v>
          </cell>
          <cell r="F76">
            <v>15000</v>
          </cell>
          <cell r="G76">
            <v>48</v>
          </cell>
          <cell r="H76" t="str">
            <v>Low</v>
          </cell>
        </row>
        <row r="77">
          <cell r="C77" t="str">
            <v>1091</v>
          </cell>
          <cell r="F77">
            <v>14500.000000000002</v>
          </cell>
          <cell r="G77">
            <v>48</v>
          </cell>
          <cell r="H77" t="str">
            <v>Low</v>
          </cell>
        </row>
        <row r="78">
          <cell r="C78" t="str">
            <v>1092</v>
          </cell>
          <cell r="F78">
            <v>14000.000000000002</v>
          </cell>
          <cell r="G78">
            <v>48</v>
          </cell>
          <cell r="H78" t="str">
            <v>Low</v>
          </cell>
        </row>
        <row r="79">
          <cell r="C79" t="str">
            <v>1096</v>
          </cell>
          <cell r="F79">
            <v>12000</v>
          </cell>
          <cell r="G79">
            <v>48</v>
          </cell>
          <cell r="H79" t="str">
            <v>Low</v>
          </cell>
        </row>
        <row r="80">
          <cell r="C80" t="str">
            <v>1097</v>
          </cell>
          <cell r="F80">
            <v>11500</v>
          </cell>
          <cell r="G80">
            <v>48</v>
          </cell>
          <cell r="H80" t="str">
            <v>Low</v>
          </cell>
        </row>
        <row r="81">
          <cell r="C81" t="str">
            <v>1098</v>
          </cell>
          <cell r="F81">
            <v>10999.999999999998</v>
          </cell>
          <cell r="G81">
            <v>48</v>
          </cell>
          <cell r="H81" t="str">
            <v>Low</v>
          </cell>
        </row>
        <row r="82">
          <cell r="C82" t="str">
            <v>1099</v>
          </cell>
          <cell r="F82">
            <v>10500.000000000002</v>
          </cell>
          <cell r="G82">
            <v>48</v>
          </cell>
          <cell r="H82" t="str">
            <v>Low</v>
          </cell>
        </row>
        <row r="83">
          <cell r="C83" t="str">
            <v>1100</v>
          </cell>
          <cell r="F83">
            <v>10000</v>
          </cell>
          <cell r="G83">
            <v>48</v>
          </cell>
          <cell r="H83" t="str">
            <v>Low</v>
          </cell>
        </row>
        <row r="84">
          <cell r="C84" t="str">
            <v>1101</v>
          </cell>
          <cell r="F84">
            <v>22500</v>
          </cell>
          <cell r="G84">
            <v>52</v>
          </cell>
          <cell r="H84" t="str">
            <v>Low</v>
          </cell>
        </row>
        <row r="85">
          <cell r="C85" t="str">
            <v>1102</v>
          </cell>
          <cell r="F85">
            <v>21250</v>
          </cell>
          <cell r="G85">
            <v>52</v>
          </cell>
          <cell r="H85" t="str">
            <v>Low</v>
          </cell>
        </row>
        <row r="86">
          <cell r="C86" t="str">
            <v>1103</v>
          </cell>
          <cell r="F86">
            <v>20000</v>
          </cell>
          <cell r="G86">
            <v>52</v>
          </cell>
          <cell r="H86" t="str">
            <v>Low</v>
          </cell>
        </row>
        <row r="87">
          <cell r="C87" t="str">
            <v>1104</v>
          </cell>
          <cell r="F87">
            <v>18750</v>
          </cell>
          <cell r="G87">
            <v>52</v>
          </cell>
          <cell r="H87" t="str">
            <v>Low</v>
          </cell>
        </row>
        <row r="88">
          <cell r="C88" t="str">
            <v>1105</v>
          </cell>
          <cell r="F88">
            <v>17500</v>
          </cell>
          <cell r="G88">
            <v>52</v>
          </cell>
          <cell r="H88" t="str">
            <v>Low</v>
          </cell>
        </row>
        <row r="89">
          <cell r="C89" t="str">
            <v>1106</v>
          </cell>
          <cell r="F89">
            <v>17000</v>
          </cell>
          <cell r="G89">
            <v>52</v>
          </cell>
          <cell r="H89" t="str">
            <v>Low</v>
          </cell>
        </row>
        <row r="90">
          <cell r="C90" t="str">
            <v>1108</v>
          </cell>
          <cell r="F90">
            <v>16000</v>
          </cell>
          <cell r="G90">
            <v>52</v>
          </cell>
          <cell r="H90" t="str">
            <v>Low</v>
          </cell>
        </row>
        <row r="91">
          <cell r="C91" t="str">
            <v>1109</v>
          </cell>
          <cell r="F91">
            <v>15500</v>
          </cell>
          <cell r="G91">
            <v>52</v>
          </cell>
          <cell r="H91" t="str">
            <v>Low</v>
          </cell>
        </row>
        <row r="92">
          <cell r="C92" t="str">
            <v>1110</v>
          </cell>
          <cell r="F92">
            <v>15000</v>
          </cell>
          <cell r="G92">
            <v>52</v>
          </cell>
          <cell r="H92" t="str">
            <v>Low</v>
          </cell>
        </row>
        <row r="93">
          <cell r="C93" t="str">
            <v>1111</v>
          </cell>
          <cell r="F93">
            <v>14500.000000000002</v>
          </cell>
          <cell r="G93">
            <v>52</v>
          </cell>
          <cell r="H93" t="str">
            <v>Low</v>
          </cell>
        </row>
        <row r="94">
          <cell r="C94" t="str">
            <v>1112</v>
          </cell>
          <cell r="F94">
            <v>14000.000000000002</v>
          </cell>
          <cell r="G94">
            <v>52</v>
          </cell>
          <cell r="H94" t="str">
            <v>Low</v>
          </cell>
        </row>
        <row r="95">
          <cell r="C95" t="str">
            <v>1113</v>
          </cell>
          <cell r="F95">
            <v>13500</v>
          </cell>
          <cell r="G95">
            <v>52</v>
          </cell>
          <cell r="H95" t="str">
            <v>Low</v>
          </cell>
        </row>
        <row r="96">
          <cell r="C96" t="str">
            <v>1115</v>
          </cell>
          <cell r="F96">
            <v>12500</v>
          </cell>
          <cell r="G96">
            <v>52</v>
          </cell>
          <cell r="H96" t="str">
            <v>Low</v>
          </cell>
        </row>
        <row r="97">
          <cell r="C97" t="str">
            <v>1116</v>
          </cell>
          <cell r="F97">
            <v>12000</v>
          </cell>
          <cell r="G97">
            <v>52</v>
          </cell>
          <cell r="H97" t="str">
            <v>Low</v>
          </cell>
        </row>
        <row r="98">
          <cell r="C98" t="str">
            <v>1117</v>
          </cell>
          <cell r="F98">
            <v>11500</v>
          </cell>
          <cell r="G98">
            <v>52</v>
          </cell>
          <cell r="H98" t="str">
            <v>Low</v>
          </cell>
        </row>
        <row r="99">
          <cell r="C99" t="str">
            <v>1118</v>
          </cell>
          <cell r="F99">
            <v>10999.999999999998</v>
          </cell>
          <cell r="G99">
            <v>52</v>
          </cell>
          <cell r="H99" t="str">
            <v>Low</v>
          </cell>
        </row>
        <row r="100">
          <cell r="C100" t="str">
            <v>1119</v>
          </cell>
          <cell r="F100">
            <v>10500.000000000002</v>
          </cell>
          <cell r="G100">
            <v>52</v>
          </cell>
          <cell r="H100" t="str">
            <v>Low</v>
          </cell>
        </row>
        <row r="101">
          <cell r="C101" t="str">
            <v>1120</v>
          </cell>
          <cell r="F101">
            <v>10000</v>
          </cell>
          <cell r="G101">
            <v>52</v>
          </cell>
          <cell r="H101" t="str">
            <v>Low</v>
          </cell>
        </row>
        <row r="102">
          <cell r="C102" t="str">
            <v>1121</v>
          </cell>
          <cell r="F102">
            <v>22500</v>
          </cell>
          <cell r="G102">
            <v>56</v>
          </cell>
          <cell r="H102" t="str">
            <v>Low</v>
          </cell>
        </row>
        <row r="103">
          <cell r="C103" t="str">
            <v>1122</v>
          </cell>
          <cell r="F103">
            <v>21250</v>
          </cell>
          <cell r="G103">
            <v>56</v>
          </cell>
          <cell r="H103" t="str">
            <v>Low</v>
          </cell>
        </row>
        <row r="104">
          <cell r="C104" t="str">
            <v>1123</v>
          </cell>
          <cell r="F104">
            <v>20000</v>
          </cell>
          <cell r="G104">
            <v>56</v>
          </cell>
          <cell r="H104" t="str">
            <v>Low</v>
          </cell>
        </row>
        <row r="105">
          <cell r="C105" t="str">
            <v>1124</v>
          </cell>
          <cell r="F105">
            <v>18750</v>
          </cell>
          <cell r="G105">
            <v>56</v>
          </cell>
          <cell r="H105" t="str">
            <v>Low</v>
          </cell>
        </row>
        <row r="106">
          <cell r="C106" t="str">
            <v>1125</v>
          </cell>
          <cell r="F106">
            <v>17500</v>
          </cell>
          <cell r="G106">
            <v>56</v>
          </cell>
          <cell r="H106" t="str">
            <v>Low</v>
          </cell>
        </row>
        <row r="107">
          <cell r="C107" t="str">
            <v>1126</v>
          </cell>
          <cell r="F107">
            <v>17000</v>
          </cell>
          <cell r="G107">
            <v>56</v>
          </cell>
          <cell r="H107" t="str">
            <v>Low</v>
          </cell>
        </row>
        <row r="108">
          <cell r="C108" t="str">
            <v>1127</v>
          </cell>
          <cell r="F108">
            <v>16499.999999999996</v>
          </cell>
          <cell r="G108">
            <v>56</v>
          </cell>
          <cell r="H108" t="str">
            <v>Low</v>
          </cell>
        </row>
        <row r="109">
          <cell r="C109" t="str">
            <v>1129</v>
          </cell>
          <cell r="F109">
            <v>15500</v>
          </cell>
          <cell r="G109">
            <v>56</v>
          </cell>
          <cell r="H109" t="str">
            <v>Low</v>
          </cell>
        </row>
        <row r="110">
          <cell r="C110" t="str">
            <v>1130</v>
          </cell>
          <cell r="F110">
            <v>15000</v>
          </cell>
          <cell r="G110">
            <v>56</v>
          </cell>
          <cell r="H110" t="str">
            <v>Low</v>
          </cell>
        </row>
        <row r="111">
          <cell r="C111" t="str">
            <v>1131</v>
          </cell>
          <cell r="F111">
            <v>14500.000000000002</v>
          </cell>
          <cell r="G111">
            <v>56</v>
          </cell>
          <cell r="H111" t="str">
            <v>Low</v>
          </cell>
        </row>
        <row r="112">
          <cell r="C112" t="str">
            <v>1132</v>
          </cell>
          <cell r="F112">
            <v>14000.000000000002</v>
          </cell>
          <cell r="G112">
            <v>56</v>
          </cell>
          <cell r="H112" t="str">
            <v>Low</v>
          </cell>
        </row>
        <row r="113">
          <cell r="C113" t="str">
            <v>1133</v>
          </cell>
          <cell r="F113">
            <v>13500</v>
          </cell>
          <cell r="G113">
            <v>56</v>
          </cell>
          <cell r="H113" t="str">
            <v>Low</v>
          </cell>
        </row>
        <row r="114">
          <cell r="C114" t="str">
            <v>1134</v>
          </cell>
          <cell r="F114">
            <v>13000</v>
          </cell>
          <cell r="G114">
            <v>56</v>
          </cell>
          <cell r="H114" t="str">
            <v>Low</v>
          </cell>
        </row>
        <row r="115">
          <cell r="C115" t="str">
            <v>1135</v>
          </cell>
          <cell r="F115">
            <v>12500</v>
          </cell>
          <cell r="G115">
            <v>56</v>
          </cell>
          <cell r="H115" t="str">
            <v>Low</v>
          </cell>
        </row>
        <row r="116">
          <cell r="C116" t="str">
            <v>1136</v>
          </cell>
          <cell r="F116">
            <v>12000</v>
          </cell>
          <cell r="G116">
            <v>56</v>
          </cell>
          <cell r="H116" t="str">
            <v>Low</v>
          </cell>
        </row>
        <row r="117">
          <cell r="C117" t="str">
            <v>1137</v>
          </cell>
          <cell r="F117">
            <v>11500</v>
          </cell>
          <cell r="G117">
            <v>56</v>
          </cell>
          <cell r="H117" t="str">
            <v>Low</v>
          </cell>
        </row>
        <row r="118">
          <cell r="C118" t="str">
            <v>1138</v>
          </cell>
          <cell r="F118">
            <v>10999.999999999998</v>
          </cell>
          <cell r="G118">
            <v>56</v>
          </cell>
          <cell r="H118" t="str">
            <v>Low</v>
          </cell>
        </row>
        <row r="119">
          <cell r="C119" t="str">
            <v>1139</v>
          </cell>
          <cell r="F119">
            <v>10500.000000000002</v>
          </cell>
          <cell r="G119">
            <v>56</v>
          </cell>
          <cell r="H119" t="str">
            <v>Low</v>
          </cell>
        </row>
        <row r="120">
          <cell r="C120" t="str">
            <v>1140</v>
          </cell>
          <cell r="F120">
            <v>10000</v>
          </cell>
          <cell r="G120">
            <v>56</v>
          </cell>
          <cell r="H120" t="str">
            <v>Low</v>
          </cell>
        </row>
        <row r="121">
          <cell r="C121" t="str">
            <v>1141</v>
          </cell>
          <cell r="F121">
            <v>22500</v>
          </cell>
          <cell r="G121">
            <v>60</v>
          </cell>
          <cell r="H121" t="str">
            <v>Low</v>
          </cell>
        </row>
        <row r="122">
          <cell r="C122" t="str">
            <v>1142</v>
          </cell>
          <cell r="F122">
            <v>21250</v>
          </cell>
          <cell r="G122">
            <v>60</v>
          </cell>
          <cell r="H122" t="str">
            <v>Low</v>
          </cell>
        </row>
        <row r="123">
          <cell r="C123" t="str">
            <v>1143</v>
          </cell>
          <cell r="F123">
            <v>20000</v>
          </cell>
          <cell r="G123">
            <v>60</v>
          </cell>
          <cell r="H123" t="str">
            <v>Low</v>
          </cell>
        </row>
        <row r="124">
          <cell r="C124" t="str">
            <v>1144</v>
          </cell>
          <cell r="F124">
            <v>18750</v>
          </cell>
          <cell r="G124">
            <v>60</v>
          </cell>
          <cell r="H124" t="str">
            <v>Low</v>
          </cell>
        </row>
        <row r="125">
          <cell r="C125" t="str">
            <v>1145</v>
          </cell>
          <cell r="F125">
            <v>17500</v>
          </cell>
          <cell r="G125">
            <v>60</v>
          </cell>
          <cell r="H125" t="str">
            <v>Low</v>
          </cell>
        </row>
        <row r="126">
          <cell r="C126" t="str">
            <v>1146</v>
          </cell>
          <cell r="F126">
            <v>17000</v>
          </cell>
          <cell r="G126">
            <v>60</v>
          </cell>
          <cell r="H126" t="str">
            <v>Low</v>
          </cell>
        </row>
        <row r="127">
          <cell r="C127" t="str">
            <v>1147</v>
          </cell>
          <cell r="F127">
            <v>16499.999999999996</v>
          </cell>
          <cell r="G127">
            <v>60</v>
          </cell>
          <cell r="H127" t="str">
            <v>Low</v>
          </cell>
        </row>
        <row r="128">
          <cell r="C128" t="str">
            <v>1149</v>
          </cell>
          <cell r="F128">
            <v>15500</v>
          </cell>
          <cell r="G128">
            <v>60</v>
          </cell>
          <cell r="H128" t="str">
            <v>Low</v>
          </cell>
        </row>
        <row r="129">
          <cell r="C129" t="str">
            <v>1150</v>
          </cell>
          <cell r="F129">
            <v>15000</v>
          </cell>
          <cell r="G129">
            <v>60</v>
          </cell>
          <cell r="H129" t="str">
            <v>Low</v>
          </cell>
        </row>
        <row r="130">
          <cell r="C130" t="str">
            <v>1151</v>
          </cell>
          <cell r="F130">
            <v>14500.000000000002</v>
          </cell>
          <cell r="G130">
            <v>60</v>
          </cell>
          <cell r="H130" t="str">
            <v>Low</v>
          </cell>
        </row>
        <row r="131">
          <cell r="C131" t="str">
            <v>1152</v>
          </cell>
          <cell r="F131">
            <v>14000.000000000002</v>
          </cell>
          <cell r="G131">
            <v>60</v>
          </cell>
          <cell r="H131" t="str">
            <v>Low</v>
          </cell>
        </row>
        <row r="132">
          <cell r="C132" t="str">
            <v>1154</v>
          </cell>
          <cell r="F132">
            <v>13000</v>
          </cell>
          <cell r="G132">
            <v>60</v>
          </cell>
          <cell r="H132" t="str">
            <v>Low</v>
          </cell>
        </row>
        <row r="133">
          <cell r="C133" t="str">
            <v>1155</v>
          </cell>
          <cell r="F133">
            <v>12500</v>
          </cell>
          <cell r="G133">
            <v>60</v>
          </cell>
          <cell r="H133" t="str">
            <v>Low</v>
          </cell>
        </row>
        <row r="134">
          <cell r="C134" t="str">
            <v>1157</v>
          </cell>
          <cell r="F134">
            <v>11500</v>
          </cell>
          <cell r="G134">
            <v>60</v>
          </cell>
          <cell r="H134" t="str">
            <v>Low</v>
          </cell>
        </row>
        <row r="135">
          <cell r="C135" t="str">
            <v>1158</v>
          </cell>
          <cell r="F135">
            <v>10999.999999999998</v>
          </cell>
          <cell r="G135">
            <v>60</v>
          </cell>
          <cell r="H135" t="str">
            <v>Low</v>
          </cell>
        </row>
        <row r="136">
          <cell r="C136" t="str">
            <v>1159</v>
          </cell>
          <cell r="F136">
            <v>10500.000000000002</v>
          </cell>
          <cell r="G136">
            <v>60</v>
          </cell>
          <cell r="H136" t="str">
            <v>Low</v>
          </cell>
        </row>
        <row r="137">
          <cell r="C137" t="str">
            <v>1160</v>
          </cell>
          <cell r="F137">
            <v>10000</v>
          </cell>
          <cell r="G137">
            <v>60</v>
          </cell>
          <cell r="H137" t="str">
            <v>Low</v>
          </cell>
        </row>
        <row r="138">
          <cell r="C138" t="str">
            <v>1001</v>
          </cell>
          <cell r="F138">
            <v>22500</v>
          </cell>
          <cell r="G138">
            <v>30</v>
          </cell>
          <cell r="H138" t="str">
            <v>High</v>
          </cell>
        </row>
        <row r="139">
          <cell r="C139" t="str">
            <v>1003</v>
          </cell>
          <cell r="F139">
            <v>20000</v>
          </cell>
          <cell r="G139">
            <v>30</v>
          </cell>
          <cell r="H139" t="str">
            <v>High</v>
          </cell>
        </row>
        <row r="140">
          <cell r="C140" t="str">
            <v>1004</v>
          </cell>
          <cell r="F140">
            <v>18750</v>
          </cell>
          <cell r="G140">
            <v>30</v>
          </cell>
          <cell r="H140" t="str">
            <v>High</v>
          </cell>
        </row>
        <row r="141">
          <cell r="C141" t="str">
            <v>1005</v>
          </cell>
          <cell r="F141">
            <v>17500</v>
          </cell>
          <cell r="G141">
            <v>30</v>
          </cell>
          <cell r="H141" t="str">
            <v>High</v>
          </cell>
        </row>
        <row r="142">
          <cell r="C142" t="str">
            <v>1006</v>
          </cell>
          <cell r="F142">
            <v>17000</v>
          </cell>
          <cell r="G142">
            <v>30</v>
          </cell>
          <cell r="H142" t="str">
            <v>High</v>
          </cell>
        </row>
        <row r="143">
          <cell r="C143" t="str">
            <v>1007</v>
          </cell>
          <cell r="F143">
            <v>16499.999999999996</v>
          </cell>
          <cell r="G143">
            <v>30</v>
          </cell>
          <cell r="H143" t="str">
            <v>High</v>
          </cell>
        </row>
        <row r="144">
          <cell r="C144" t="str">
            <v>1008</v>
          </cell>
          <cell r="F144">
            <v>16000</v>
          </cell>
          <cell r="G144">
            <v>30</v>
          </cell>
          <cell r="H144" t="str">
            <v>High</v>
          </cell>
        </row>
        <row r="145">
          <cell r="C145" t="str">
            <v>1009</v>
          </cell>
          <cell r="F145">
            <v>15500</v>
          </cell>
          <cell r="G145">
            <v>30</v>
          </cell>
          <cell r="H145" t="str">
            <v>High</v>
          </cell>
        </row>
        <row r="146">
          <cell r="C146" t="str">
            <v>1011</v>
          </cell>
          <cell r="F146">
            <v>14500.000000000002</v>
          </cell>
          <cell r="G146">
            <v>30</v>
          </cell>
          <cell r="H146" t="str">
            <v>High</v>
          </cell>
        </row>
        <row r="147">
          <cell r="C147" t="str">
            <v>1012</v>
          </cell>
          <cell r="F147">
            <v>14000.000000000002</v>
          </cell>
          <cell r="G147">
            <v>30</v>
          </cell>
          <cell r="H147" t="str">
            <v>High</v>
          </cell>
        </row>
        <row r="148">
          <cell r="C148" t="str">
            <v>1013</v>
          </cell>
          <cell r="F148">
            <v>13500</v>
          </cell>
          <cell r="G148">
            <v>30</v>
          </cell>
          <cell r="H148" t="str">
            <v>High</v>
          </cell>
        </row>
        <row r="149">
          <cell r="C149" t="str">
            <v>1014</v>
          </cell>
          <cell r="F149">
            <v>13000</v>
          </cell>
          <cell r="G149">
            <v>30</v>
          </cell>
          <cell r="H149" t="str">
            <v>High</v>
          </cell>
        </row>
        <row r="150">
          <cell r="C150" t="str">
            <v>1016</v>
          </cell>
          <cell r="F150">
            <v>12000</v>
          </cell>
          <cell r="G150">
            <v>30</v>
          </cell>
          <cell r="H150" t="str">
            <v>High</v>
          </cell>
        </row>
        <row r="151">
          <cell r="C151" t="str">
            <v>1017</v>
          </cell>
          <cell r="F151">
            <v>11500</v>
          </cell>
          <cell r="G151">
            <v>30</v>
          </cell>
          <cell r="H151" t="str">
            <v>High</v>
          </cell>
        </row>
        <row r="152">
          <cell r="C152" t="str">
            <v>1018</v>
          </cell>
          <cell r="F152">
            <v>10999.999999999998</v>
          </cell>
          <cell r="G152">
            <v>30</v>
          </cell>
          <cell r="H152" t="str">
            <v>High</v>
          </cell>
        </row>
        <row r="153">
          <cell r="C153" t="str">
            <v>1019</v>
          </cell>
          <cell r="F153">
            <v>10500.000000000002</v>
          </cell>
          <cell r="G153">
            <v>30</v>
          </cell>
          <cell r="H153" t="str">
            <v>High</v>
          </cell>
        </row>
        <row r="154">
          <cell r="C154" t="str">
            <v>1020</v>
          </cell>
          <cell r="F154">
            <v>10000</v>
          </cell>
          <cell r="G154">
            <v>30</v>
          </cell>
          <cell r="H154" t="str">
            <v>High</v>
          </cell>
        </row>
        <row r="155">
          <cell r="C155" t="str">
            <v>1021</v>
          </cell>
          <cell r="F155">
            <v>22500</v>
          </cell>
          <cell r="G155">
            <v>35</v>
          </cell>
          <cell r="H155" t="str">
            <v>High</v>
          </cell>
        </row>
        <row r="156">
          <cell r="C156" t="str">
            <v>1022</v>
          </cell>
          <cell r="F156">
            <v>21250</v>
          </cell>
          <cell r="G156">
            <v>35</v>
          </cell>
          <cell r="H156" t="str">
            <v>High</v>
          </cell>
        </row>
        <row r="157">
          <cell r="C157" t="str">
            <v>1023</v>
          </cell>
          <cell r="F157">
            <v>20000</v>
          </cell>
          <cell r="G157">
            <v>35</v>
          </cell>
          <cell r="H157" t="str">
            <v>High</v>
          </cell>
        </row>
        <row r="158">
          <cell r="C158" t="str">
            <v>1025</v>
          </cell>
          <cell r="F158">
            <v>17500</v>
          </cell>
          <cell r="G158">
            <v>35</v>
          </cell>
          <cell r="H158" t="str">
            <v>High</v>
          </cell>
        </row>
        <row r="159">
          <cell r="C159" t="str">
            <v>1026</v>
          </cell>
          <cell r="F159">
            <v>17000</v>
          </cell>
          <cell r="G159">
            <v>35</v>
          </cell>
          <cell r="H159" t="str">
            <v>High</v>
          </cell>
        </row>
        <row r="160">
          <cell r="C160" t="str">
            <v>1027</v>
          </cell>
          <cell r="F160">
            <v>16499.999999999996</v>
          </cell>
          <cell r="G160">
            <v>35</v>
          </cell>
          <cell r="H160" t="str">
            <v>High</v>
          </cell>
        </row>
        <row r="161">
          <cell r="C161" t="str">
            <v>1028</v>
          </cell>
          <cell r="F161">
            <v>16000</v>
          </cell>
          <cell r="G161">
            <v>35</v>
          </cell>
          <cell r="H161" t="str">
            <v>High</v>
          </cell>
        </row>
        <row r="162">
          <cell r="C162" t="str">
            <v>1030</v>
          </cell>
          <cell r="F162">
            <v>15000</v>
          </cell>
          <cell r="G162">
            <v>35</v>
          </cell>
          <cell r="H162" t="str">
            <v>High</v>
          </cell>
        </row>
        <row r="163">
          <cell r="C163" t="str">
            <v>1032</v>
          </cell>
          <cell r="F163">
            <v>14000.000000000002</v>
          </cell>
          <cell r="G163">
            <v>35</v>
          </cell>
          <cell r="H163" t="str">
            <v>High</v>
          </cell>
        </row>
        <row r="164">
          <cell r="C164" t="str">
            <v>1033</v>
          </cell>
          <cell r="F164">
            <v>13500</v>
          </cell>
          <cell r="G164">
            <v>35</v>
          </cell>
          <cell r="H164" t="str">
            <v>High</v>
          </cell>
        </row>
        <row r="165">
          <cell r="C165" t="str">
            <v>1034</v>
          </cell>
          <cell r="F165">
            <v>13000</v>
          </cell>
          <cell r="G165">
            <v>35</v>
          </cell>
          <cell r="H165" t="str">
            <v>High</v>
          </cell>
        </row>
        <row r="166">
          <cell r="C166" t="str">
            <v>1035</v>
          </cell>
          <cell r="F166">
            <v>12500</v>
          </cell>
          <cell r="G166">
            <v>35</v>
          </cell>
          <cell r="H166" t="str">
            <v>High</v>
          </cell>
        </row>
        <row r="167">
          <cell r="C167" t="str">
            <v>1036</v>
          </cell>
          <cell r="F167">
            <v>12000</v>
          </cell>
          <cell r="G167">
            <v>35</v>
          </cell>
          <cell r="H167" t="str">
            <v>High</v>
          </cell>
        </row>
        <row r="168">
          <cell r="C168" t="str">
            <v>1037</v>
          </cell>
          <cell r="F168">
            <v>11500</v>
          </cell>
          <cell r="G168">
            <v>35</v>
          </cell>
          <cell r="H168" t="str">
            <v>High</v>
          </cell>
        </row>
        <row r="169">
          <cell r="C169" t="str">
            <v>1038</v>
          </cell>
          <cell r="F169">
            <v>10999.999999999998</v>
          </cell>
          <cell r="G169">
            <v>35</v>
          </cell>
          <cell r="H169" t="str">
            <v>High</v>
          </cell>
        </row>
        <row r="170">
          <cell r="C170" t="str">
            <v>1039</v>
          </cell>
          <cell r="F170">
            <v>10500.000000000002</v>
          </cell>
          <cell r="G170">
            <v>35</v>
          </cell>
          <cell r="H170" t="str">
            <v>High</v>
          </cell>
        </row>
        <row r="171">
          <cell r="C171" t="str">
            <v>1040</v>
          </cell>
          <cell r="F171">
            <v>10000</v>
          </cell>
          <cell r="G171">
            <v>35</v>
          </cell>
          <cell r="H171" t="str">
            <v>High</v>
          </cell>
        </row>
        <row r="172">
          <cell r="C172" t="str">
            <v>1041</v>
          </cell>
          <cell r="F172">
            <v>22500</v>
          </cell>
          <cell r="G172">
            <v>40</v>
          </cell>
          <cell r="H172" t="str">
            <v>High</v>
          </cell>
        </row>
        <row r="173">
          <cell r="C173" t="str">
            <v>1043</v>
          </cell>
          <cell r="F173">
            <v>20000</v>
          </cell>
          <cell r="G173">
            <v>40</v>
          </cell>
          <cell r="H173" t="str">
            <v>High</v>
          </cell>
        </row>
        <row r="174">
          <cell r="C174" t="str">
            <v>1044</v>
          </cell>
          <cell r="F174">
            <v>18750</v>
          </cell>
          <cell r="G174">
            <v>40</v>
          </cell>
          <cell r="H174" t="str">
            <v>High</v>
          </cell>
        </row>
        <row r="175">
          <cell r="C175" t="str">
            <v>1046</v>
          </cell>
          <cell r="F175">
            <v>17000</v>
          </cell>
          <cell r="G175">
            <v>40</v>
          </cell>
          <cell r="H175" t="str">
            <v>High</v>
          </cell>
        </row>
        <row r="176">
          <cell r="C176" t="str">
            <v>1047</v>
          </cell>
          <cell r="F176">
            <v>16499.999999999996</v>
          </cell>
          <cell r="G176">
            <v>40</v>
          </cell>
          <cell r="H176" t="str">
            <v>High</v>
          </cell>
        </row>
        <row r="177">
          <cell r="C177" t="str">
            <v>1049</v>
          </cell>
          <cell r="F177">
            <v>15500</v>
          </cell>
          <cell r="G177">
            <v>40</v>
          </cell>
          <cell r="H177" t="str">
            <v>High</v>
          </cell>
        </row>
        <row r="178">
          <cell r="C178" t="str">
            <v>1050</v>
          </cell>
          <cell r="F178">
            <v>15000</v>
          </cell>
          <cell r="G178">
            <v>40</v>
          </cell>
          <cell r="H178" t="str">
            <v>High</v>
          </cell>
        </row>
        <row r="179">
          <cell r="C179" t="str">
            <v>1051</v>
          </cell>
          <cell r="F179">
            <v>14500.000000000002</v>
          </cell>
          <cell r="G179">
            <v>40</v>
          </cell>
          <cell r="H179" t="str">
            <v>High</v>
          </cell>
        </row>
        <row r="180">
          <cell r="C180" t="str">
            <v>1052</v>
          </cell>
          <cell r="F180">
            <v>14000.000000000002</v>
          </cell>
          <cell r="G180">
            <v>40</v>
          </cell>
          <cell r="H180" t="str">
            <v>High</v>
          </cell>
        </row>
        <row r="181">
          <cell r="C181" t="str">
            <v>1053</v>
          </cell>
          <cell r="F181">
            <v>13500</v>
          </cell>
          <cell r="G181">
            <v>40</v>
          </cell>
          <cell r="H181" t="str">
            <v>High</v>
          </cell>
        </row>
        <row r="182">
          <cell r="C182" t="str">
            <v>1054</v>
          </cell>
          <cell r="F182">
            <v>13000</v>
          </cell>
          <cell r="G182">
            <v>40</v>
          </cell>
          <cell r="H182" t="str">
            <v>High</v>
          </cell>
        </row>
        <row r="183">
          <cell r="C183" t="str">
            <v>1055</v>
          </cell>
          <cell r="F183">
            <v>12500</v>
          </cell>
          <cell r="G183">
            <v>40</v>
          </cell>
          <cell r="H183" t="str">
            <v>High</v>
          </cell>
        </row>
        <row r="184">
          <cell r="C184" t="str">
            <v>1056</v>
          </cell>
          <cell r="F184">
            <v>12000</v>
          </cell>
          <cell r="G184">
            <v>40</v>
          </cell>
          <cell r="H184" t="str">
            <v>High</v>
          </cell>
        </row>
        <row r="185">
          <cell r="C185" t="str">
            <v>1057</v>
          </cell>
          <cell r="F185">
            <v>11500</v>
          </cell>
          <cell r="G185">
            <v>40</v>
          </cell>
          <cell r="H185" t="str">
            <v>High</v>
          </cell>
        </row>
        <row r="186">
          <cell r="C186" t="str">
            <v>1058</v>
          </cell>
          <cell r="F186">
            <v>10999.999999999998</v>
          </cell>
          <cell r="G186">
            <v>40</v>
          </cell>
          <cell r="H186" t="str">
            <v>High</v>
          </cell>
        </row>
        <row r="187">
          <cell r="C187" t="str">
            <v>1059</v>
          </cell>
          <cell r="F187">
            <v>10500.000000000002</v>
          </cell>
          <cell r="G187">
            <v>40</v>
          </cell>
          <cell r="H187" t="str">
            <v>High</v>
          </cell>
        </row>
        <row r="188">
          <cell r="C188" t="str">
            <v>1060</v>
          </cell>
          <cell r="F188">
            <v>10000</v>
          </cell>
          <cell r="G188">
            <v>40</v>
          </cell>
          <cell r="H188" t="str">
            <v>High</v>
          </cell>
        </row>
        <row r="189">
          <cell r="C189" t="str">
            <v>1061</v>
          </cell>
          <cell r="F189">
            <v>22500</v>
          </cell>
          <cell r="G189">
            <v>44</v>
          </cell>
          <cell r="H189" t="str">
            <v>High</v>
          </cell>
        </row>
        <row r="190">
          <cell r="C190" t="str">
            <v>1062</v>
          </cell>
          <cell r="F190">
            <v>21250</v>
          </cell>
          <cell r="G190">
            <v>44</v>
          </cell>
          <cell r="H190" t="str">
            <v>High</v>
          </cell>
        </row>
        <row r="191">
          <cell r="C191" t="str">
            <v>1063</v>
          </cell>
          <cell r="F191">
            <v>20000</v>
          </cell>
          <cell r="G191">
            <v>44</v>
          </cell>
          <cell r="H191" t="str">
            <v>High</v>
          </cell>
        </row>
        <row r="192">
          <cell r="C192" t="str">
            <v>1064</v>
          </cell>
          <cell r="F192">
            <v>18750</v>
          </cell>
          <cell r="G192">
            <v>44</v>
          </cell>
          <cell r="H192" t="str">
            <v>High</v>
          </cell>
        </row>
        <row r="193">
          <cell r="C193" t="str">
            <v>1065</v>
          </cell>
          <cell r="F193">
            <v>17500</v>
          </cell>
          <cell r="G193">
            <v>44</v>
          </cell>
          <cell r="H193" t="str">
            <v>High</v>
          </cell>
        </row>
        <row r="194">
          <cell r="C194" t="str">
            <v>1066</v>
          </cell>
          <cell r="F194">
            <v>17000</v>
          </cell>
          <cell r="G194">
            <v>44</v>
          </cell>
          <cell r="H194" t="str">
            <v>High</v>
          </cell>
        </row>
        <row r="195">
          <cell r="C195" t="str">
            <v>1067</v>
          </cell>
          <cell r="F195">
            <v>16499.999999999996</v>
          </cell>
          <cell r="G195">
            <v>44</v>
          </cell>
          <cell r="H195" t="str">
            <v>High</v>
          </cell>
        </row>
        <row r="196">
          <cell r="C196" t="str">
            <v>1068</v>
          </cell>
          <cell r="F196">
            <v>16000</v>
          </cell>
          <cell r="G196">
            <v>44</v>
          </cell>
          <cell r="H196" t="str">
            <v>High</v>
          </cell>
        </row>
        <row r="197">
          <cell r="C197" t="str">
            <v>1069</v>
          </cell>
          <cell r="F197">
            <v>15500</v>
          </cell>
          <cell r="G197">
            <v>44</v>
          </cell>
          <cell r="H197" t="str">
            <v>High</v>
          </cell>
        </row>
        <row r="198">
          <cell r="C198" t="str">
            <v>1070</v>
          </cell>
          <cell r="F198">
            <v>15000</v>
          </cell>
          <cell r="G198">
            <v>44</v>
          </cell>
          <cell r="H198" t="str">
            <v>High</v>
          </cell>
        </row>
        <row r="199">
          <cell r="C199" t="str">
            <v>1071</v>
          </cell>
          <cell r="F199">
            <v>14500.000000000002</v>
          </cell>
          <cell r="G199">
            <v>44</v>
          </cell>
          <cell r="H199" t="str">
            <v>High</v>
          </cell>
        </row>
        <row r="200">
          <cell r="C200" t="str">
            <v>1072</v>
          </cell>
          <cell r="F200">
            <v>14000.000000000002</v>
          </cell>
          <cell r="G200">
            <v>44</v>
          </cell>
          <cell r="H200" t="str">
            <v>High</v>
          </cell>
        </row>
        <row r="201">
          <cell r="C201" t="str">
            <v>1073</v>
          </cell>
          <cell r="F201">
            <v>13500</v>
          </cell>
          <cell r="G201">
            <v>44</v>
          </cell>
          <cell r="H201" t="str">
            <v>High</v>
          </cell>
        </row>
        <row r="202">
          <cell r="C202" t="str">
            <v>1074</v>
          </cell>
          <cell r="F202">
            <v>13000</v>
          </cell>
          <cell r="G202">
            <v>44</v>
          </cell>
          <cell r="H202" t="str">
            <v>High</v>
          </cell>
        </row>
        <row r="203">
          <cell r="C203" t="str">
            <v>1075</v>
          </cell>
          <cell r="F203">
            <v>12500</v>
          </cell>
          <cell r="G203">
            <v>44</v>
          </cell>
          <cell r="H203" t="str">
            <v>High</v>
          </cell>
        </row>
        <row r="204">
          <cell r="C204" t="str">
            <v>1076</v>
          </cell>
          <cell r="F204">
            <v>12000</v>
          </cell>
          <cell r="G204">
            <v>44</v>
          </cell>
          <cell r="H204" t="str">
            <v>High</v>
          </cell>
        </row>
        <row r="205">
          <cell r="C205" t="str">
            <v>1078</v>
          </cell>
          <cell r="F205">
            <v>10999.999999999998</v>
          </cell>
          <cell r="G205">
            <v>44</v>
          </cell>
          <cell r="H205" t="str">
            <v>High</v>
          </cell>
        </row>
        <row r="206">
          <cell r="C206" t="str">
            <v>1080</v>
          </cell>
          <cell r="F206">
            <v>10000</v>
          </cell>
          <cell r="G206">
            <v>44</v>
          </cell>
          <cell r="H206" t="str">
            <v>High</v>
          </cell>
        </row>
        <row r="207">
          <cell r="C207" t="str">
            <v>1081</v>
          </cell>
          <cell r="F207">
            <v>22500</v>
          </cell>
          <cell r="G207">
            <v>48</v>
          </cell>
          <cell r="H207" t="str">
            <v>High</v>
          </cell>
        </row>
        <row r="208">
          <cell r="C208" t="str">
            <v>1082</v>
          </cell>
          <cell r="F208">
            <v>21250</v>
          </cell>
          <cell r="G208">
            <v>48</v>
          </cell>
          <cell r="H208" t="str">
            <v>High</v>
          </cell>
        </row>
        <row r="209">
          <cell r="C209" t="str">
            <v>1083</v>
          </cell>
          <cell r="F209">
            <v>20000</v>
          </cell>
          <cell r="G209">
            <v>48</v>
          </cell>
          <cell r="H209" t="str">
            <v>High</v>
          </cell>
        </row>
        <row r="210">
          <cell r="C210" t="str">
            <v>1085</v>
          </cell>
          <cell r="F210">
            <v>17500</v>
          </cell>
          <cell r="G210">
            <v>48</v>
          </cell>
          <cell r="H210" t="str">
            <v>High</v>
          </cell>
        </row>
        <row r="211">
          <cell r="C211" t="str">
            <v>1086</v>
          </cell>
          <cell r="F211">
            <v>17000</v>
          </cell>
          <cell r="G211">
            <v>48</v>
          </cell>
          <cell r="H211" t="str">
            <v>High</v>
          </cell>
        </row>
        <row r="212">
          <cell r="C212" t="str">
            <v>1087</v>
          </cell>
          <cell r="F212">
            <v>16499.999999999996</v>
          </cell>
          <cell r="G212">
            <v>48</v>
          </cell>
          <cell r="H212" t="str">
            <v>High</v>
          </cell>
        </row>
        <row r="213">
          <cell r="C213" t="str">
            <v>1088</v>
          </cell>
          <cell r="F213">
            <v>16000</v>
          </cell>
          <cell r="G213">
            <v>48</v>
          </cell>
          <cell r="H213" t="str">
            <v>High</v>
          </cell>
        </row>
        <row r="214">
          <cell r="C214" t="str">
            <v>1089</v>
          </cell>
          <cell r="F214">
            <v>15500</v>
          </cell>
          <cell r="G214">
            <v>48</v>
          </cell>
          <cell r="H214" t="str">
            <v>High</v>
          </cell>
        </row>
        <row r="215">
          <cell r="C215" t="str">
            <v>1091</v>
          </cell>
          <cell r="F215">
            <v>14500.000000000002</v>
          </cell>
          <cell r="G215">
            <v>48</v>
          </cell>
          <cell r="H215" t="str">
            <v>High</v>
          </cell>
        </row>
        <row r="216">
          <cell r="C216" t="str">
            <v>1092</v>
          </cell>
          <cell r="F216">
            <v>14000.000000000002</v>
          </cell>
          <cell r="G216">
            <v>48</v>
          </cell>
          <cell r="H216" t="str">
            <v>High</v>
          </cell>
        </row>
        <row r="217">
          <cell r="C217" t="str">
            <v>1093</v>
          </cell>
          <cell r="F217">
            <v>13500</v>
          </cell>
          <cell r="G217">
            <v>48</v>
          </cell>
          <cell r="H217" t="str">
            <v>High</v>
          </cell>
        </row>
        <row r="218">
          <cell r="C218" t="str">
            <v>1094</v>
          </cell>
          <cell r="F218">
            <v>13000</v>
          </cell>
          <cell r="G218">
            <v>48</v>
          </cell>
          <cell r="H218" t="str">
            <v>High</v>
          </cell>
        </row>
        <row r="219">
          <cell r="C219" t="str">
            <v>1095</v>
          </cell>
          <cell r="F219">
            <v>12500</v>
          </cell>
          <cell r="G219">
            <v>48</v>
          </cell>
          <cell r="H219" t="str">
            <v>High</v>
          </cell>
        </row>
        <row r="220">
          <cell r="C220" t="str">
            <v>1096</v>
          </cell>
          <cell r="F220">
            <v>12000</v>
          </cell>
          <cell r="G220">
            <v>48</v>
          </cell>
          <cell r="H220" t="str">
            <v>High</v>
          </cell>
        </row>
        <row r="221">
          <cell r="C221" t="str">
            <v>1097</v>
          </cell>
          <cell r="F221">
            <v>11500</v>
          </cell>
          <cell r="G221">
            <v>48</v>
          </cell>
          <cell r="H221" t="str">
            <v>High</v>
          </cell>
        </row>
        <row r="222">
          <cell r="C222" t="str">
            <v>1098</v>
          </cell>
          <cell r="F222">
            <v>10999.999999999998</v>
          </cell>
          <cell r="G222">
            <v>48</v>
          </cell>
          <cell r="H222" t="str">
            <v>High</v>
          </cell>
        </row>
        <row r="223">
          <cell r="C223" t="str">
            <v>1099</v>
          </cell>
          <cell r="F223">
            <v>10500.000000000002</v>
          </cell>
          <cell r="G223">
            <v>48</v>
          </cell>
          <cell r="H223" t="str">
            <v>High</v>
          </cell>
        </row>
        <row r="224">
          <cell r="C224" t="str">
            <v>1100</v>
          </cell>
          <cell r="F224">
            <v>10000</v>
          </cell>
          <cell r="G224">
            <v>48</v>
          </cell>
          <cell r="H224" t="str">
            <v>High</v>
          </cell>
        </row>
        <row r="225">
          <cell r="C225" t="str">
            <v>1101</v>
          </cell>
          <cell r="F225">
            <v>22500</v>
          </cell>
          <cell r="G225">
            <v>52</v>
          </cell>
          <cell r="H225" t="str">
            <v>High</v>
          </cell>
        </row>
        <row r="226">
          <cell r="C226" t="str">
            <v>1102</v>
          </cell>
          <cell r="F226">
            <v>21250</v>
          </cell>
          <cell r="G226">
            <v>52</v>
          </cell>
          <cell r="H226" t="str">
            <v>High</v>
          </cell>
        </row>
        <row r="227">
          <cell r="C227" t="str">
            <v>1103</v>
          </cell>
          <cell r="F227">
            <v>20000</v>
          </cell>
          <cell r="G227">
            <v>52</v>
          </cell>
          <cell r="H227" t="str">
            <v>High</v>
          </cell>
        </row>
        <row r="228">
          <cell r="C228" t="str">
            <v>1104</v>
          </cell>
          <cell r="F228">
            <v>18750</v>
          </cell>
          <cell r="G228">
            <v>52</v>
          </cell>
          <cell r="H228" t="str">
            <v>High</v>
          </cell>
        </row>
        <row r="229">
          <cell r="C229" t="str">
            <v>1105</v>
          </cell>
          <cell r="F229">
            <v>17500</v>
          </cell>
          <cell r="G229">
            <v>52</v>
          </cell>
          <cell r="H229" t="str">
            <v>High</v>
          </cell>
        </row>
        <row r="230">
          <cell r="C230" t="str">
            <v>1106</v>
          </cell>
          <cell r="F230">
            <v>17000</v>
          </cell>
          <cell r="G230">
            <v>52</v>
          </cell>
          <cell r="H230" t="str">
            <v>High</v>
          </cell>
        </row>
        <row r="231">
          <cell r="C231" t="str">
            <v>1107</v>
          </cell>
          <cell r="F231">
            <v>16499.999999999996</v>
          </cell>
          <cell r="G231">
            <v>52</v>
          </cell>
          <cell r="H231" t="str">
            <v>High</v>
          </cell>
        </row>
        <row r="232">
          <cell r="C232" t="str">
            <v>1109</v>
          </cell>
          <cell r="F232">
            <v>15500</v>
          </cell>
          <cell r="G232">
            <v>52</v>
          </cell>
          <cell r="H232" t="str">
            <v>High</v>
          </cell>
        </row>
        <row r="233">
          <cell r="C233" t="str">
            <v>1110</v>
          </cell>
          <cell r="F233">
            <v>15000</v>
          </cell>
          <cell r="G233">
            <v>52</v>
          </cell>
          <cell r="H233" t="str">
            <v>High</v>
          </cell>
        </row>
        <row r="234">
          <cell r="C234" t="str">
            <v>1111</v>
          </cell>
          <cell r="F234">
            <v>14500.000000000002</v>
          </cell>
          <cell r="G234">
            <v>52</v>
          </cell>
          <cell r="H234" t="str">
            <v>High</v>
          </cell>
        </row>
        <row r="235">
          <cell r="C235" t="str">
            <v>1114</v>
          </cell>
          <cell r="F235">
            <v>13000</v>
          </cell>
          <cell r="G235">
            <v>52</v>
          </cell>
          <cell r="H235" t="str">
            <v>High</v>
          </cell>
        </row>
        <row r="236">
          <cell r="C236" t="str">
            <v>1115</v>
          </cell>
          <cell r="F236">
            <v>12500</v>
          </cell>
          <cell r="G236">
            <v>52</v>
          </cell>
          <cell r="H236" t="str">
            <v>High</v>
          </cell>
        </row>
        <row r="237">
          <cell r="C237" t="str">
            <v>1116</v>
          </cell>
          <cell r="F237">
            <v>12000</v>
          </cell>
          <cell r="G237">
            <v>52</v>
          </cell>
          <cell r="H237" t="str">
            <v>High</v>
          </cell>
        </row>
        <row r="238">
          <cell r="C238" t="str">
            <v>1117</v>
          </cell>
          <cell r="F238">
            <v>11500</v>
          </cell>
          <cell r="G238">
            <v>52</v>
          </cell>
          <cell r="H238" t="str">
            <v>High</v>
          </cell>
        </row>
        <row r="239">
          <cell r="C239" t="str">
            <v>1118</v>
          </cell>
          <cell r="F239">
            <v>10999.999999999998</v>
          </cell>
          <cell r="G239">
            <v>52</v>
          </cell>
          <cell r="H239" t="str">
            <v>High</v>
          </cell>
        </row>
        <row r="240">
          <cell r="C240" t="str">
            <v>1119</v>
          </cell>
          <cell r="F240">
            <v>10500.000000000002</v>
          </cell>
          <cell r="G240">
            <v>52</v>
          </cell>
          <cell r="H240" t="str">
            <v>High</v>
          </cell>
        </row>
        <row r="241">
          <cell r="C241" t="str">
            <v>1120</v>
          </cell>
          <cell r="F241">
            <v>10000</v>
          </cell>
          <cell r="G241">
            <v>52</v>
          </cell>
          <cell r="H241" t="str">
            <v>High</v>
          </cell>
        </row>
        <row r="242">
          <cell r="C242" t="str">
            <v>1121</v>
          </cell>
          <cell r="F242">
            <v>22500</v>
          </cell>
          <cell r="G242">
            <v>56</v>
          </cell>
          <cell r="H242" t="str">
            <v>High</v>
          </cell>
        </row>
        <row r="243">
          <cell r="C243" t="str">
            <v>1122</v>
          </cell>
          <cell r="F243">
            <v>21250</v>
          </cell>
          <cell r="G243">
            <v>56</v>
          </cell>
          <cell r="H243" t="str">
            <v>High</v>
          </cell>
        </row>
        <row r="244">
          <cell r="C244" t="str">
            <v>1123</v>
          </cell>
          <cell r="F244">
            <v>20000</v>
          </cell>
          <cell r="G244">
            <v>56</v>
          </cell>
          <cell r="H244" t="str">
            <v>High</v>
          </cell>
        </row>
        <row r="245">
          <cell r="C245" t="str">
            <v>1124</v>
          </cell>
          <cell r="F245">
            <v>18750</v>
          </cell>
          <cell r="G245">
            <v>56</v>
          </cell>
          <cell r="H245" t="str">
            <v>High</v>
          </cell>
        </row>
        <row r="246">
          <cell r="C246" t="str">
            <v>1125</v>
          </cell>
          <cell r="F246">
            <v>17500</v>
          </cell>
          <cell r="G246">
            <v>56</v>
          </cell>
          <cell r="H246" t="str">
            <v>High</v>
          </cell>
        </row>
        <row r="247">
          <cell r="C247" t="str">
            <v>1127</v>
          </cell>
          <cell r="F247">
            <v>16499.999999999996</v>
          </cell>
          <cell r="G247">
            <v>56</v>
          </cell>
          <cell r="H247" t="str">
            <v>High</v>
          </cell>
        </row>
        <row r="248">
          <cell r="C248" t="str">
            <v>1128</v>
          </cell>
          <cell r="F248">
            <v>16000</v>
          </cell>
          <cell r="G248">
            <v>56</v>
          </cell>
          <cell r="H248" t="str">
            <v>High</v>
          </cell>
        </row>
        <row r="249">
          <cell r="C249" t="str">
            <v>1129</v>
          </cell>
          <cell r="F249">
            <v>15500</v>
          </cell>
          <cell r="G249">
            <v>56</v>
          </cell>
          <cell r="H249" t="str">
            <v>High</v>
          </cell>
        </row>
        <row r="250">
          <cell r="C250" t="str">
            <v>1130</v>
          </cell>
          <cell r="F250">
            <v>15000</v>
          </cell>
          <cell r="G250">
            <v>56</v>
          </cell>
          <cell r="H250" t="str">
            <v>High</v>
          </cell>
        </row>
        <row r="251">
          <cell r="C251" t="str">
            <v>1133</v>
          </cell>
          <cell r="F251">
            <v>13500</v>
          </cell>
          <cell r="G251">
            <v>56</v>
          </cell>
          <cell r="H251" t="str">
            <v>High</v>
          </cell>
        </row>
        <row r="252">
          <cell r="C252" t="str">
            <v>1134</v>
          </cell>
          <cell r="F252">
            <v>13000</v>
          </cell>
          <cell r="G252">
            <v>56</v>
          </cell>
          <cell r="H252" t="str">
            <v>High</v>
          </cell>
        </row>
        <row r="253">
          <cell r="C253" t="str">
            <v>1135</v>
          </cell>
          <cell r="F253">
            <v>12500</v>
          </cell>
          <cell r="G253">
            <v>56</v>
          </cell>
          <cell r="H253" t="str">
            <v>High</v>
          </cell>
        </row>
        <row r="254">
          <cell r="C254" t="str">
            <v>1136</v>
          </cell>
          <cell r="F254">
            <v>12000</v>
          </cell>
          <cell r="G254">
            <v>56</v>
          </cell>
          <cell r="H254" t="str">
            <v>High</v>
          </cell>
        </row>
        <row r="255">
          <cell r="C255" t="str">
            <v>1137</v>
          </cell>
          <cell r="F255">
            <v>11500</v>
          </cell>
          <cell r="G255">
            <v>56</v>
          </cell>
          <cell r="H255" t="str">
            <v>High</v>
          </cell>
        </row>
        <row r="256">
          <cell r="C256" t="str">
            <v>1138</v>
          </cell>
          <cell r="F256">
            <v>10999.999999999998</v>
          </cell>
          <cell r="G256">
            <v>56</v>
          </cell>
          <cell r="H256" t="str">
            <v>High</v>
          </cell>
        </row>
        <row r="257">
          <cell r="C257" t="str">
            <v>1141</v>
          </cell>
          <cell r="F257">
            <v>22500</v>
          </cell>
          <cell r="G257">
            <v>60</v>
          </cell>
          <cell r="H257" t="str">
            <v>High</v>
          </cell>
        </row>
        <row r="258">
          <cell r="C258" t="str">
            <v>1142</v>
          </cell>
          <cell r="F258">
            <v>21250</v>
          </cell>
          <cell r="G258">
            <v>60</v>
          </cell>
          <cell r="H258" t="str">
            <v>High</v>
          </cell>
        </row>
        <row r="259">
          <cell r="C259" t="str">
            <v>1143</v>
          </cell>
          <cell r="F259">
            <v>20000</v>
          </cell>
          <cell r="G259">
            <v>60</v>
          </cell>
          <cell r="H259" t="str">
            <v>High</v>
          </cell>
        </row>
        <row r="260">
          <cell r="C260" t="str">
            <v>1144</v>
          </cell>
          <cell r="F260">
            <v>18750</v>
          </cell>
          <cell r="G260">
            <v>60</v>
          </cell>
          <cell r="H260" t="str">
            <v>High</v>
          </cell>
        </row>
        <row r="261">
          <cell r="C261" t="str">
            <v>1145</v>
          </cell>
          <cell r="F261">
            <v>17500</v>
          </cell>
          <cell r="G261">
            <v>60</v>
          </cell>
          <cell r="H261" t="str">
            <v>High</v>
          </cell>
        </row>
        <row r="262">
          <cell r="C262" t="str">
            <v>1146</v>
          </cell>
          <cell r="F262">
            <v>17000</v>
          </cell>
          <cell r="G262">
            <v>60</v>
          </cell>
          <cell r="H262" t="str">
            <v>High</v>
          </cell>
        </row>
        <row r="263">
          <cell r="C263" t="str">
            <v>1147</v>
          </cell>
          <cell r="F263">
            <v>16499.999999999996</v>
          </cell>
          <cell r="G263">
            <v>60</v>
          </cell>
          <cell r="H263" t="str">
            <v>High</v>
          </cell>
        </row>
        <row r="264">
          <cell r="C264" t="str">
            <v>1148</v>
          </cell>
          <cell r="F264">
            <v>16000</v>
          </cell>
          <cell r="G264">
            <v>60</v>
          </cell>
          <cell r="H264" t="str">
            <v>High</v>
          </cell>
        </row>
        <row r="265">
          <cell r="C265" t="str">
            <v>1149</v>
          </cell>
          <cell r="F265">
            <v>15500</v>
          </cell>
          <cell r="G265">
            <v>60</v>
          </cell>
          <cell r="H265" t="str">
            <v>High</v>
          </cell>
        </row>
        <row r="266">
          <cell r="C266" t="str">
            <v>1150</v>
          </cell>
          <cell r="F266">
            <v>15000</v>
          </cell>
          <cell r="G266">
            <v>60</v>
          </cell>
          <cell r="H266" t="str">
            <v>High</v>
          </cell>
        </row>
        <row r="267">
          <cell r="C267" t="str">
            <v>1151</v>
          </cell>
          <cell r="F267">
            <v>14500.000000000002</v>
          </cell>
          <cell r="G267">
            <v>60</v>
          </cell>
          <cell r="H267" t="str">
            <v>High</v>
          </cell>
        </row>
        <row r="268">
          <cell r="C268" t="str">
            <v>1152</v>
          </cell>
          <cell r="F268">
            <v>14000.000000000002</v>
          </cell>
          <cell r="G268">
            <v>60</v>
          </cell>
          <cell r="H268" t="str">
            <v>High</v>
          </cell>
        </row>
        <row r="269">
          <cell r="C269" t="str">
            <v>1153</v>
          </cell>
          <cell r="F269">
            <v>13500</v>
          </cell>
          <cell r="G269">
            <v>60</v>
          </cell>
          <cell r="H269" t="str">
            <v>High</v>
          </cell>
        </row>
        <row r="270">
          <cell r="C270" t="str">
            <v>1154</v>
          </cell>
          <cell r="F270">
            <v>13000</v>
          </cell>
          <cell r="G270">
            <v>60</v>
          </cell>
          <cell r="H270" t="str">
            <v>High</v>
          </cell>
        </row>
        <row r="271">
          <cell r="C271" t="str">
            <v>1155</v>
          </cell>
          <cell r="F271">
            <v>12500</v>
          </cell>
          <cell r="G271">
            <v>60</v>
          </cell>
          <cell r="H271" t="str">
            <v>High</v>
          </cell>
        </row>
        <row r="272">
          <cell r="C272" t="str">
            <v>1156</v>
          </cell>
          <cell r="F272">
            <v>12000</v>
          </cell>
          <cell r="G272">
            <v>60</v>
          </cell>
          <cell r="H272" t="str">
            <v>High</v>
          </cell>
        </row>
        <row r="273">
          <cell r="C273" t="str">
            <v>1159</v>
          </cell>
          <cell r="F273">
            <v>10500.000000000002</v>
          </cell>
          <cell r="G273">
            <v>60</v>
          </cell>
          <cell r="H273" t="str">
            <v>High</v>
          </cell>
        </row>
        <row r="274">
          <cell r="C274" t="str">
            <v>1160</v>
          </cell>
          <cell r="F274">
            <v>10000</v>
          </cell>
          <cell r="G274">
            <v>60</v>
          </cell>
          <cell r="H274" t="str">
            <v>High</v>
          </cell>
        </row>
      </sheetData>
      <sheetData sheetId="1">
        <row r="64">
          <cell r="S64">
            <v>22.5</v>
          </cell>
          <cell r="T64">
            <v>2.5801522378689503E-3</v>
          </cell>
          <cell r="U64">
            <v>3.1008710530190599E-4</v>
          </cell>
          <cell r="X64">
            <v>35.312559180206115</v>
          </cell>
          <cell r="Z64">
            <v>0.70674296495132205</v>
          </cell>
        </row>
        <row r="65">
          <cell r="S65">
            <v>20</v>
          </cell>
          <cell r="T65">
            <v>1.0313888034174725</v>
          </cell>
          <cell r="U65">
            <v>0.123935206587725</v>
          </cell>
          <cell r="X65">
            <v>34.89566116943972</v>
          </cell>
          <cell r="Z65">
            <v>0.7676126065066502</v>
          </cell>
        </row>
        <row r="66">
          <cell r="S66">
            <v>18.75</v>
          </cell>
          <cell r="T66">
            <v>2.1840628533399848</v>
          </cell>
          <cell r="U66">
            <v>0.26244479518074099</v>
          </cell>
          <cell r="X66">
            <v>34.682243646296165</v>
          </cell>
          <cell r="Z66">
            <v>0.98803107908374266</v>
          </cell>
        </row>
        <row r="67">
          <cell r="S67">
            <v>17.5</v>
          </cell>
          <cell r="T67">
            <v>3.5993567724883926</v>
          </cell>
          <cell r="U67">
            <v>0.44095795935303317</v>
          </cell>
          <cell r="X67">
            <v>33.621948595322472</v>
          </cell>
          <cell r="Z67">
            <v>1.0493626546804555</v>
          </cell>
        </row>
        <row r="68">
          <cell r="S68">
            <v>17</v>
          </cell>
          <cell r="T68">
            <v>4.4488478739595712</v>
          </cell>
          <cell r="U68">
            <v>0.55722739065643268</v>
          </cell>
          <cell r="X68">
            <v>33.185767123566443</v>
          </cell>
          <cell r="Z68">
            <v>0.97971021100914801</v>
          </cell>
        </row>
        <row r="69">
          <cell r="S69">
            <v>16.499999999999996</v>
          </cell>
          <cell r="T69">
            <v>5.9480762613473557</v>
          </cell>
          <cell r="U69">
            <v>0.78072223924780781</v>
          </cell>
          <cell r="X69">
            <v>32.888966989496204</v>
          </cell>
          <cell r="Z69">
            <v>0.81188510991569152</v>
          </cell>
        </row>
        <row r="70">
          <cell r="S70">
            <v>16</v>
          </cell>
          <cell r="T70">
            <v>9.9919652166461326</v>
          </cell>
          <cell r="U70">
            <v>1.4223108750552069</v>
          </cell>
          <cell r="X70">
            <v>32.150897317270811</v>
          </cell>
          <cell r="Z70">
            <v>0.83336325598349692</v>
          </cell>
        </row>
        <row r="71">
          <cell r="S71">
            <v>15.5</v>
          </cell>
          <cell r="T71">
            <v>13.6655375896307</v>
          </cell>
          <cell r="U71">
            <v>1.9887633034797669</v>
          </cell>
          <cell r="X71">
            <v>29.132920374145293</v>
          </cell>
          <cell r="Z71">
            <v>0.63206500450367376</v>
          </cell>
        </row>
        <row r="72">
          <cell r="S72">
            <v>15</v>
          </cell>
          <cell r="T72">
            <v>15.824283334628298</v>
          </cell>
          <cell r="U72">
            <v>2.31555905748555</v>
          </cell>
          <cell r="X72">
            <v>27.266228816236616</v>
          </cell>
          <cell r="Z72">
            <v>0.51508197833719072</v>
          </cell>
        </row>
        <row r="73">
          <cell r="S73">
            <v>14.500000000000002</v>
          </cell>
          <cell r="T73">
            <v>16.961817394535988</v>
          </cell>
          <cell r="U73">
            <v>2.4774113610161255</v>
          </cell>
          <cell r="X73">
            <v>26.579298123297065</v>
          </cell>
          <cell r="Z73">
            <v>0.50579262085214816</v>
          </cell>
        </row>
        <row r="74">
          <cell r="S74">
            <v>14.000000000000002</v>
          </cell>
          <cell r="T74">
            <v>1.0501599798888094E-3</v>
          </cell>
          <cell r="U74">
            <v>1.5437178043172574E-4</v>
          </cell>
          <cell r="Z74">
            <v>0.70695174488253698</v>
          </cell>
        </row>
        <row r="75">
          <cell r="S75">
            <v>13.5</v>
          </cell>
          <cell r="T75">
            <v>2.699907844034501</v>
          </cell>
          <cell r="U75">
            <v>0.38526082133577699</v>
          </cell>
          <cell r="Z75">
            <v>0.63575538931241549</v>
          </cell>
        </row>
        <row r="76">
          <cell r="S76">
            <v>13</v>
          </cell>
          <cell r="T76">
            <v>5.2938921046654235</v>
          </cell>
          <cell r="U76">
            <v>0.7554071980618231</v>
          </cell>
          <cell r="Z76">
            <v>0.59863709984280855</v>
          </cell>
        </row>
        <row r="77">
          <cell r="S77">
            <v>12.5</v>
          </cell>
          <cell r="T77">
            <v>10.247476886590217</v>
          </cell>
          <cell r="U77">
            <v>1.4622541695240461</v>
          </cell>
          <cell r="Z77">
            <v>0.65654333490365469</v>
          </cell>
        </row>
        <row r="78">
          <cell r="S78">
            <v>12</v>
          </cell>
          <cell r="T78">
            <v>13.220349651041339</v>
          </cell>
          <cell r="U78">
            <v>1.8864654188815599</v>
          </cell>
          <cell r="Z78">
            <v>0.37505895191374439</v>
          </cell>
        </row>
        <row r="79">
          <cell r="S79">
            <v>10.500000000000002</v>
          </cell>
          <cell r="T79">
            <v>13.800655136251216</v>
          </cell>
          <cell r="U79">
            <v>1.9692715613298799</v>
          </cell>
          <cell r="Z79">
            <v>0.66800913868172662</v>
          </cell>
        </row>
        <row r="80">
          <cell r="S80">
            <v>10</v>
          </cell>
          <cell r="T80">
            <v>13.968706682459509</v>
          </cell>
          <cell r="U80">
            <v>1.9932526035809699</v>
          </cell>
          <cell r="Z80">
            <v>0.752998134686092</v>
          </cell>
        </row>
        <row r="81">
          <cell r="S81">
            <v>22.5</v>
          </cell>
          <cell r="T81">
            <v>15.029372832994653</v>
          </cell>
          <cell r="U81">
            <v>2.1446023080633427</v>
          </cell>
          <cell r="Z81">
            <v>0.62859295163665974</v>
          </cell>
        </row>
        <row r="82">
          <cell r="S82">
            <v>14.500000000000002</v>
          </cell>
          <cell r="T82">
            <v>15.83187696451124</v>
          </cell>
          <cell r="U82">
            <v>2.2591148345708798</v>
          </cell>
          <cell r="Z82">
            <v>0.60857001448200043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35.312559180206115</v>
          </cell>
        </row>
        <row r="15">
          <cell r="Q15">
            <v>2.5801522378689503E-3</v>
          </cell>
        </row>
      </sheetData>
      <sheetData sheetId="33"/>
      <sheetData sheetId="34">
        <row r="13">
          <cell r="Q13">
            <v>36.652342121636941</v>
          </cell>
        </row>
        <row r="15">
          <cell r="Q15">
            <v>3.1008710530190599E-4</v>
          </cell>
        </row>
      </sheetData>
      <sheetData sheetId="35"/>
      <sheetData sheetId="36"/>
      <sheetData sheetId="37"/>
      <sheetData sheetId="38"/>
      <sheetData sheetId="39">
        <row r="18">
          <cell r="G18">
            <v>0.54591566009790193</v>
          </cell>
        </row>
        <row r="19">
          <cell r="G19">
            <v>3.195332733388059E-3</v>
          </cell>
        </row>
        <row r="20">
          <cell r="G20">
            <v>0.1576319721200321</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34.89566116943972</v>
          </cell>
        </row>
        <row r="15">
          <cell r="Q15">
            <v>1.0313888034174725</v>
          </cell>
        </row>
      </sheetData>
      <sheetData sheetId="33"/>
      <sheetData sheetId="34">
        <row r="13">
          <cell r="Q13">
            <v>36.219697376359349</v>
          </cell>
        </row>
        <row r="15">
          <cell r="Q15">
            <v>0.123935206587725</v>
          </cell>
        </row>
      </sheetData>
      <sheetData sheetId="35"/>
      <sheetData sheetId="36"/>
      <sheetData sheetId="37"/>
      <sheetData sheetId="38"/>
      <sheetData sheetId="39">
        <row r="18">
          <cell r="G18">
            <v>0.62383909763266476</v>
          </cell>
        </row>
        <row r="19">
          <cell r="G19">
            <v>4.5461803076240679E-4</v>
          </cell>
        </row>
        <row r="20">
          <cell r="G20">
            <v>0.14331889084322308</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34.682243646296165</v>
          </cell>
        </row>
        <row r="15">
          <cell r="Q15">
            <v>2.1840628533399848</v>
          </cell>
        </row>
      </sheetData>
      <sheetData sheetId="33"/>
      <sheetData sheetId="34">
        <row r="13">
          <cell r="Q13">
            <v>35.998216947491549</v>
          </cell>
        </row>
        <row r="15">
          <cell r="Q15">
            <v>0.26244479518074099</v>
          </cell>
        </row>
      </sheetData>
      <sheetData sheetId="35"/>
      <sheetData sheetId="36"/>
      <sheetData sheetId="37"/>
      <sheetData sheetId="38"/>
      <sheetData sheetId="39">
        <row r="18">
          <cell r="G18">
            <v>0.8367587976743609</v>
          </cell>
        </row>
        <row r="19">
          <cell r="G19">
            <v>6.0788572613705519E-3</v>
          </cell>
        </row>
        <row r="20">
          <cell r="G20">
            <v>0.14519342414801115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33.621948595322472</v>
          </cell>
        </row>
        <row r="15">
          <cell r="Q15">
            <v>3.5993567724883926</v>
          </cell>
        </row>
      </sheetData>
      <sheetData sheetId="33"/>
      <sheetData sheetId="34">
        <row r="13">
          <cell r="Q13">
            <v>34.897868990598653</v>
          </cell>
        </row>
        <row r="15">
          <cell r="Q15">
            <v>0.44095795935303317</v>
          </cell>
        </row>
      </sheetData>
      <sheetData sheetId="35"/>
      <sheetData sheetId="36"/>
      <sheetData sheetId="37"/>
      <sheetData sheetId="38"/>
      <sheetData sheetId="39">
        <row r="18">
          <cell r="G18">
            <v>0.89871988252174329</v>
          </cell>
        </row>
        <row r="19">
          <cell r="G19">
            <v>6.790017796982406E-3</v>
          </cell>
        </row>
        <row r="20">
          <cell r="G20">
            <v>0.14385275436172992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33.185767123566443</v>
          </cell>
        </row>
        <row r="15">
          <cell r="Q15">
            <v>4.4488478739595712</v>
          </cell>
        </row>
      </sheetData>
      <sheetData sheetId="33"/>
      <sheetData sheetId="34">
        <row r="13">
          <cell r="Q13">
            <v>34.445210074566589</v>
          </cell>
        </row>
        <row r="15">
          <cell r="Q15">
            <v>0.55722739065643268</v>
          </cell>
        </row>
      </sheetData>
      <sheetData sheetId="35"/>
      <sheetData sheetId="36"/>
      <sheetData sheetId="37"/>
      <sheetData sheetId="38"/>
      <sheetData sheetId="39">
        <row r="18">
          <cell r="G18">
            <v>0.83669608147784136</v>
          </cell>
        </row>
        <row r="19">
          <cell r="G19">
            <v>6.1294818303647709E-3</v>
          </cell>
        </row>
        <row r="20">
          <cell r="G20">
            <v>0.13688464770094186</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32.888966989496204</v>
          </cell>
        </row>
        <row r="15">
          <cell r="Q15">
            <v>5.9480762613473557</v>
          </cell>
        </row>
      </sheetData>
      <sheetData sheetId="33"/>
      <sheetData sheetId="34">
        <row r="13">
          <cell r="Q13">
            <v>34.137189632363587</v>
          </cell>
        </row>
        <row r="15">
          <cell r="Q15">
            <v>0.78072223924780781</v>
          </cell>
        </row>
      </sheetData>
      <sheetData sheetId="35"/>
      <sheetData sheetId="36"/>
      <sheetData sheetId="37"/>
      <sheetData sheetId="38"/>
      <sheetData sheetId="39">
        <row r="18">
          <cell r="G18">
            <v>0.6606817578437888</v>
          </cell>
        </row>
        <row r="19">
          <cell r="G19">
            <v>6.2930937487998551E-3</v>
          </cell>
        </row>
        <row r="20">
          <cell r="G20">
            <v>0.14491025832310292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32.150897317270811</v>
          </cell>
        </row>
        <row r="15">
          <cell r="Q15">
            <v>9.9919652166461326</v>
          </cell>
        </row>
      </sheetData>
      <sheetData sheetId="33"/>
      <sheetData sheetId="34">
        <row r="13">
          <cell r="Q13">
            <v>33.371247541096338</v>
          </cell>
        </row>
        <row r="15">
          <cell r="Q15">
            <v>1.4223108750552069</v>
          </cell>
        </row>
      </sheetData>
      <sheetData sheetId="35"/>
      <sheetData sheetId="36"/>
      <sheetData sheetId="37"/>
      <sheetData sheetId="38"/>
      <sheetData sheetId="39">
        <row r="18">
          <cell r="G18">
            <v>0.67578889483545701</v>
          </cell>
        </row>
        <row r="19">
          <cell r="G19">
            <v>8.1621576034360665E-3</v>
          </cell>
        </row>
        <row r="20">
          <cell r="G20">
            <v>0.14941220354460383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29.132920374145293</v>
          </cell>
        </row>
        <row r="15">
          <cell r="Q15">
            <v>13.6655375896307</v>
          </cell>
        </row>
      </sheetData>
      <sheetData sheetId="33"/>
      <sheetData sheetId="34">
        <row r="13">
          <cell r="Q13">
            <v>30.238326220059594</v>
          </cell>
        </row>
        <row r="15">
          <cell r="Q15">
            <v>1.9887633034797669</v>
          </cell>
        </row>
      </sheetData>
      <sheetData sheetId="35"/>
      <sheetData sheetId="36"/>
      <sheetData sheetId="37"/>
      <sheetData sheetId="38"/>
      <sheetData sheetId="39">
        <row r="18">
          <cell r="G18">
            <v>0.49081691867311206</v>
          </cell>
        </row>
        <row r="19">
          <cell r="G19">
            <v>7.9387387446742848E-3</v>
          </cell>
        </row>
        <row r="20">
          <cell r="G20">
            <v>0.13330934708588738</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27.266228816236616</v>
          </cell>
        </row>
        <row r="15">
          <cell r="Q15">
            <v>15.824283334628298</v>
          </cell>
        </row>
      </sheetData>
      <sheetData sheetId="33"/>
      <sheetData sheetId="34">
        <row r="13">
          <cell r="Q13">
            <v>28.301123368949668</v>
          </cell>
        </row>
        <row r="15">
          <cell r="Q15">
            <v>2.31555905748555</v>
          </cell>
        </row>
      </sheetData>
      <sheetData sheetId="35"/>
      <sheetData sheetId="36"/>
      <sheetData sheetId="37"/>
      <sheetData sheetId="38"/>
      <sheetData sheetId="39">
        <row r="18">
          <cell r="G18">
            <v>0.39194126297174392</v>
          </cell>
        </row>
        <row r="19">
          <cell r="G19">
            <v>3.0380330479422481E-7</v>
          </cell>
        </row>
        <row r="20">
          <cell r="G20">
            <v>0.12314041156214203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26.579298123297065</v>
          </cell>
        </row>
        <row r="15">
          <cell r="Q15">
            <v>16.961817394535988</v>
          </cell>
        </row>
      </sheetData>
      <sheetData sheetId="33"/>
      <sheetData sheetId="34">
        <row r="13">
          <cell r="Q13">
            <v>27.58801123088843</v>
          </cell>
        </row>
        <row r="15">
          <cell r="Q15">
            <v>2.4774113610161255</v>
          </cell>
        </row>
      </sheetData>
      <sheetData sheetId="35"/>
      <sheetData sheetId="36"/>
      <sheetData sheetId="37"/>
      <sheetData sheetId="38"/>
      <sheetData sheetId="39">
        <row r="18">
          <cell r="G18">
            <v>0.37762034402651468</v>
          </cell>
        </row>
        <row r="19">
          <cell r="G19">
            <v>4.258366385667023E-3</v>
          </cell>
        </row>
        <row r="20">
          <cell r="G20">
            <v>0.12391391043996644</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35.293500829079534</v>
          </cell>
        </row>
        <row r="15">
          <cell r="Q15">
            <v>1.0501599798888094E-3</v>
          </cell>
        </row>
      </sheetData>
      <sheetData sheetId="33"/>
      <sheetData sheetId="34">
        <row r="13">
          <cell r="Q13">
            <v>36.632563433636633</v>
          </cell>
        </row>
        <row r="15">
          <cell r="Q15">
            <v>1.5437178043172574E-4</v>
          </cell>
        </row>
      </sheetData>
      <sheetData sheetId="35"/>
      <sheetData sheetId="36"/>
      <sheetData sheetId="37"/>
      <sheetData sheetId="38"/>
      <sheetData sheetId="39">
        <row r="18">
          <cell r="G18">
            <v>0.5432211779469428</v>
          </cell>
        </row>
        <row r="19">
          <cell r="G19">
            <v>5.1138288424957823E-3</v>
          </cell>
        </row>
        <row r="20">
          <cell r="G20">
            <v>0.15861673809309842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34.309310156129548</v>
          </cell>
        </row>
        <row r="15">
          <cell r="Q15">
            <v>2.699907844034501</v>
          </cell>
        </row>
      </sheetData>
      <sheetData sheetId="33"/>
      <sheetData sheetId="34">
        <row r="13">
          <cell r="Q13">
            <v>35.611196736549104</v>
          </cell>
        </row>
        <row r="15">
          <cell r="Q15">
            <v>0.38526082133577699</v>
          </cell>
        </row>
      </sheetData>
      <sheetData sheetId="35"/>
      <sheetData sheetId="36"/>
      <sheetData sheetId="37"/>
      <sheetData sheetId="38"/>
      <sheetData sheetId="39">
        <row r="18">
          <cell r="G18">
            <v>0.4939842558057258</v>
          </cell>
        </row>
        <row r="19">
          <cell r="G19">
            <v>3.8205061754430697E-4</v>
          </cell>
        </row>
        <row r="20">
          <cell r="G20">
            <v>0.14138908288914534</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32.819040859124328</v>
          </cell>
        </row>
        <row r="15">
          <cell r="Q15">
            <v>5.2938921046654235</v>
          </cell>
        </row>
      </sheetData>
      <sheetData sheetId="33"/>
      <sheetData sheetId="34">
        <row r="13">
          <cell r="Q13">
            <v>34.064624819578654</v>
          </cell>
        </row>
        <row r="15">
          <cell r="Q15">
            <v>0.7554071980618231</v>
          </cell>
        </row>
      </sheetData>
      <sheetData sheetId="35"/>
      <sheetData sheetId="36"/>
      <sheetData sheetId="37"/>
      <sheetData sheetId="38"/>
      <sheetData sheetId="39">
        <row r="18">
          <cell r="G18">
            <v>0.44060777973391363</v>
          </cell>
        </row>
        <row r="19">
          <cell r="G19">
            <v>4.2307162869729062E-3</v>
          </cell>
        </row>
        <row r="20">
          <cell r="G20">
            <v>0.15379860382192195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32.143061502972522</v>
          </cell>
        </row>
        <row r="15">
          <cell r="Q15">
            <v>10.247476886590217</v>
          </cell>
        </row>
      </sheetData>
      <sheetData sheetId="33"/>
      <sheetData sheetId="34">
        <row r="13">
          <cell r="Q13">
            <v>33.363116855917752</v>
          </cell>
        </row>
        <row r="15">
          <cell r="Q15">
            <v>1.4622541695240461</v>
          </cell>
        </row>
      </sheetData>
      <sheetData sheetId="35"/>
      <sheetData sheetId="36"/>
      <sheetData sheetId="37"/>
      <sheetData sheetId="38"/>
      <sheetData sheetId="39">
        <row r="18">
          <cell r="G18">
            <v>0.49079503954785347</v>
          </cell>
        </row>
        <row r="19">
          <cell r="G19">
            <v>4.566585108025812E-3</v>
          </cell>
        </row>
        <row r="20">
          <cell r="G20">
            <v>0.16118171024777533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29.463957973182712</v>
          </cell>
        </row>
        <row r="15">
          <cell r="Q15">
            <v>13.220349651041339</v>
          </cell>
        </row>
      </sheetData>
      <sheetData sheetId="33"/>
      <sheetData sheetId="34">
        <row r="13">
          <cell r="Q13">
            <v>30.581908122300987</v>
          </cell>
        </row>
        <row r="15">
          <cell r="Q15">
            <v>1.8864654188815599</v>
          </cell>
        </row>
      </sheetData>
      <sheetData sheetId="35"/>
      <sheetData sheetId="36"/>
      <sheetData sheetId="37"/>
      <sheetData sheetId="38"/>
      <sheetData sheetId="39">
        <row r="18">
          <cell r="G18">
            <v>0.22168220262597288</v>
          </cell>
        </row>
        <row r="19">
          <cell r="G19">
            <v>1.4987287620051228E-3</v>
          </cell>
        </row>
        <row r="20">
          <cell r="G20">
            <v>0.15187802052576641</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29.17114438918917</v>
          </cell>
        </row>
        <row r="15">
          <cell r="Q15">
            <v>13.800655136251216</v>
          </cell>
        </row>
      </sheetData>
      <sheetData sheetId="33"/>
      <sheetData sheetId="34">
        <row r="13">
          <cell r="Q13">
            <v>30.277996765358878</v>
          </cell>
        </row>
        <row r="15">
          <cell r="Q15">
            <v>1.9692715613298799</v>
          </cell>
        </row>
      </sheetData>
      <sheetData sheetId="35"/>
      <sheetData sheetId="36"/>
      <sheetData sheetId="37"/>
      <sheetData sheetId="38"/>
      <sheetData sheetId="39">
        <row r="18">
          <cell r="G18">
            <v>0.51532702718801937</v>
          </cell>
        </row>
        <row r="19">
          <cell r="G19">
            <v>1.0834734438031921E-3</v>
          </cell>
        </row>
        <row r="20">
          <cell r="G20">
            <v>0.15159863804990406</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29.09089569311941</v>
          </cell>
        </row>
        <row r="15">
          <cell r="Q15">
            <v>13.968706682459509</v>
          </cell>
        </row>
      </sheetData>
      <sheetData sheetId="33"/>
      <sheetData sheetId="34">
        <row r="13">
          <cell r="Q13">
            <v>30.194707113384226</v>
          </cell>
        </row>
        <row r="15">
          <cell r="Q15">
            <v>1.9932526035809699</v>
          </cell>
        </row>
      </sheetData>
      <sheetData sheetId="35"/>
      <sheetData sheetId="36"/>
      <sheetData sheetId="37"/>
      <sheetData sheetId="38"/>
      <sheetData sheetId="39">
        <row r="18">
          <cell r="G18">
            <v>0.51976130058104231</v>
          </cell>
        </row>
        <row r="19">
          <cell r="G19">
            <v>3.8623656526939491E-2</v>
          </cell>
        </row>
        <row r="20">
          <cell r="G20">
            <v>0.19461317757811022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27.947785041566082</v>
          </cell>
        </row>
        <row r="15">
          <cell r="Q15">
            <v>15.029372832994653</v>
          </cell>
        </row>
      </sheetData>
      <sheetData sheetId="33"/>
      <sheetData sheetId="34">
        <row r="13">
          <cell r="Q13">
            <v>29.008424474283721</v>
          </cell>
        </row>
        <row r="15">
          <cell r="Q15">
            <v>2.1446023080633427</v>
          </cell>
        </row>
      </sheetData>
      <sheetData sheetId="35"/>
      <sheetData sheetId="36"/>
      <sheetData sheetId="37"/>
      <sheetData sheetId="38"/>
      <sheetData sheetId="39">
        <row r="18">
          <cell r="G18">
            <v>0.49658968515733209</v>
          </cell>
        </row>
        <row r="19">
          <cell r="G19">
            <v>3.7782528781846892E-3</v>
          </cell>
        </row>
        <row r="20">
          <cell r="G20">
            <v>0.12822501360114297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27.667670203163329</v>
          </cell>
        </row>
        <row r="15">
          <cell r="Q15">
            <v>15.83187696451124</v>
          </cell>
        </row>
      </sheetData>
      <sheetData sheetId="33"/>
      <sheetData sheetId="34">
        <row r="13">
          <cell r="Q13">
            <v>28.717726924129671</v>
          </cell>
        </row>
        <row r="15">
          <cell r="Q15">
            <v>2.2591148345708798</v>
          </cell>
        </row>
      </sheetData>
      <sheetData sheetId="35"/>
      <sheetData sheetId="36"/>
      <sheetData sheetId="37"/>
      <sheetData sheetId="38"/>
      <sheetData sheetId="39">
        <row r="18">
          <cell r="G18">
            <v>0.47807002241598201</v>
          </cell>
        </row>
        <row r="19">
          <cell r="G19">
            <v>3.4890643245847406E-3</v>
          </cell>
        </row>
        <row r="20">
          <cell r="G20">
            <v>0.12701092774143369</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persons/person.xml><?xml version="1.0" encoding="utf-8"?>
<personList xmlns="http://schemas.microsoft.com/office/spreadsheetml/2018/threadedcomments" xmlns:x="http://schemas.openxmlformats.org/spreadsheetml/2006/main">
  <person displayName="Treyer Karin" id="{CADE7258-85B9-473F-B7FD-7D64E6184DAA}" userId="S::karin.treyer@psi.ch::9bbab3d4-d484-4783-87e8-9f103db9e9b7"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mports" connectionId="1" xr16:uid="{2242A521-BD93-4D54-A4C1-BF9BD1D63AEE}"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20" dT="2024-12-17T15:51:19.37" personId="{CADE7258-85B9-473F-B7FD-7D64E6184DAA}" id="{0E04EC30-F280-4E0B-A5C1-BD019271F405}">
    <text>The default 60 years inventories come with an exchange of the CHP unit. We add another exchange of half of the surface plant to reach 100 years lifetime (surface plant = 2 CHP units plus some other infrastructure).</text>
  </threadedComment>
</ThreadedComments>
</file>

<file path=xl/threadedComments/threadedComment2.xml><?xml version="1.0" encoding="utf-8"?>
<ThreadedComments xmlns="http://schemas.microsoft.com/office/spreadsheetml/2018/threadedcomments" xmlns:x="http://schemas.openxmlformats.org/spreadsheetml/2006/main">
  <threadedComment ref="D12" dT="2025-05-15T21:23:43.76" personId="{CADE7258-85B9-473F-B7FD-7D64E6184DAA}" id="{2AD6CAF3-2032-42F8-8106-56367BF14628}">
    <text>Double counting!</text>
  </threadedComment>
  <threadedComment ref="E12" dT="2025-05-15T21:23:43.76" personId="{CADE7258-85B9-473F-B7FD-7D64E6184DAA}" id="{68968655-E6F3-4273-A7EE-399B441AF783}">
    <text>Double counting!</text>
  </threadedComment>
  <threadedComment ref="F12" dT="2025-05-15T21:23:43.76" personId="{CADE7258-85B9-473F-B7FD-7D64E6184DAA}" id="{F17768B5-E110-4EF9-AEAB-6AFE10BAD65D}">
    <text>Double counting!</text>
  </threadedComment>
  <threadedComment ref="G12" dT="2025-05-15T21:23:43.76" personId="{CADE7258-85B9-473F-B7FD-7D64E6184DAA}" id="{EBD6B424-005C-43C4-A358-B8E780EAE9E6}">
    <text>Double counting!</text>
  </threadedComment>
  <threadedComment ref="H12" dT="2025-05-15T21:23:43.76" personId="{CADE7258-85B9-473F-B7FD-7D64E6184DAA}" id="{37BBDDB0-D30D-43B6-B5E3-8BA2447EEDC5}">
    <text>Double counting!</text>
  </threadedComment>
  <threadedComment ref="I12" dT="2025-05-15T21:23:43.76" personId="{CADE7258-85B9-473F-B7FD-7D64E6184DAA}" id="{38994285-AA44-4592-A7A8-DD3E8D9B0583}">
    <text>Double counting!</text>
  </threadedComment>
  <threadedComment ref="J12" dT="2025-05-15T21:23:43.76" personId="{CADE7258-85B9-473F-B7FD-7D64E6184DAA}" id="{F1AAC1C4-C62A-4FCD-B36E-3E36A55DD9D2}">
    <text>Double counting!</text>
  </threadedComment>
  <threadedComment ref="S12" dT="2025-05-15T21:23:43.76" personId="{CADE7258-85B9-473F-B7FD-7D64E6184DAA}" id="{179E558E-2F8F-42BD-B4CD-87F2E776C1DA}">
    <text>Double counting!</text>
  </threadedComment>
  <threadedComment ref="T12" dT="2025-05-15T21:23:43.76" personId="{CADE7258-85B9-473F-B7FD-7D64E6184DAA}" id="{9FADC7B0-8C79-44DF-BCF6-D3D411069A63}">
    <text>Double counting!</text>
  </threadedComment>
  <threadedComment ref="U12" dT="2025-05-15T21:23:43.76" personId="{CADE7258-85B9-473F-B7FD-7D64E6184DAA}" id="{7E1C97D5-CBDB-44B5-8669-8064F101B332}">
    <text>Double counting!</text>
  </threadedComment>
  <threadedComment ref="V12" dT="2025-05-15T21:23:43.76" personId="{CADE7258-85B9-473F-B7FD-7D64E6184DAA}" id="{9BF6F105-2099-48A4-B033-3A515D8F545F}">
    <text>Double counting!</text>
  </threadedComment>
  <threadedComment ref="W12" dT="2025-05-15T21:23:43.76" personId="{CADE7258-85B9-473F-B7FD-7D64E6184DAA}" id="{18421C60-F233-4B5B-94CA-8D302B7DF8A5}">
    <text>Double counting!</text>
  </threadedComment>
  <threadedComment ref="X12" dT="2025-05-15T21:23:43.76" personId="{CADE7258-85B9-473F-B7FD-7D64E6184DAA}" id="{552E43AE-A6A5-45A4-87D4-609136C51F89}">
    <text>Double counting!</text>
  </threadedComment>
  <threadedComment ref="Y12" dT="2025-05-15T21:23:43.76" personId="{CADE7258-85B9-473F-B7FD-7D64E6184DAA}" id="{1085FE47-D2B5-4C88-9465-9091412DE0CA}">
    <text>Double counting!</text>
  </threadedComment>
</ThreadedComments>
</file>

<file path=xl/threadedComments/threadedComment3.xml><?xml version="1.0" encoding="utf-8"?>
<ThreadedComments xmlns="http://schemas.microsoft.com/office/spreadsheetml/2018/threadedcomments" xmlns:x="http://schemas.openxmlformats.org/spreadsheetml/2006/main">
  <threadedComment ref="R20" dT="2024-12-17T15:51:19.37" personId="{CADE7258-85B9-473F-B7FD-7D64E6184DAA}" id="{83947C90-93F4-4502-B943-73F3769B7E2A}">
    <text>Assumption that over 100 years, all building elements/machines etc. are exchanged once.</text>
  </threadedComment>
</ThreadedComments>
</file>

<file path=xl/threadedComments/threadedComment4.xml><?xml version="1.0" encoding="utf-8"?>
<ThreadedComments xmlns="http://schemas.microsoft.com/office/spreadsheetml/2018/threadedcomments" xmlns:x="http://schemas.openxmlformats.org/spreadsheetml/2006/main">
  <threadedComment ref="B16" dT="2024-11-21T16:34:20.68" personId="{CADE7258-85B9-473F-B7FD-7D64E6184DAA}" id="{C4040ECB-3263-4435-8AE9-53050AA4A9A7}">
    <text>E-mail Mahmoud, file "Drilling-ROP_TK_20241107_ETH_DA-MH.xlsx", sheet "CO2 mass"</text>
  </threadedComment>
  <threadedComment ref="B32" dT="2024-11-21T16:34:20.68" personId="{CADE7258-85B9-473F-B7FD-7D64E6184DAA}" id="{18A2AB37-1981-438A-B994-75BF30EC6A99}">
    <text>E-mail Mahmoud, file "Drilling-ROP_TK_20241107_ETH_DA-MH.xlsx", sheet "CO2 mass"</text>
  </threadedComment>
</ThreadedComments>
</file>

<file path=xl/threadedComments/threadedComment5.xml><?xml version="1.0" encoding="utf-8"?>
<ThreadedComments xmlns="http://schemas.microsoft.com/office/spreadsheetml/2018/threadedcomments" xmlns:x="http://schemas.openxmlformats.org/spreadsheetml/2006/main">
  <threadedComment ref="B12" dT="2024-12-10T15:36:23.71" personId="{CADE7258-85B9-473F-B7FD-7D64E6184DAA}" id="{62058722-25FF-42DB-9680-C2B75C794AC4}">
    <text>MD = measured depth</text>
  </threadedComment>
</ThreadedComments>
</file>

<file path=xl/threadedComments/threadedComment6.xml><?xml version="1.0" encoding="utf-8"?>
<ThreadedComments xmlns="http://schemas.microsoft.com/office/spreadsheetml/2018/threadedcomments" xmlns:x="http://schemas.openxmlformats.org/spreadsheetml/2006/main">
  <threadedComment ref="T38" dT="2024-10-08T17:05:03.95" personId="{CADE7258-85B9-473F-B7FD-7D64E6184DAA}" id="{0D7A2D62-190E-4791-B034-BC06EF293EC0}">
    <text xml:space="preserve">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ext>
  </threadedComment>
  <threadedComment ref="AH38" dT="2024-10-08T17:04:44.34" personId="{CADE7258-85B9-473F-B7FD-7D64E6184DAA}" id="{7941876C-1F57-4470-BFA5-C36AB388DBA5}">
    <text>Received from Claude</text>
  </threadedComment>
  <threadedComment ref="AG44" dT="2025-01-28T12:31:07.65" personId="{CADE7258-85B9-473F-B7FD-7D64E6184DAA}" id="{DDE66BE3-936B-4D4C-9DA3-17E8DFA80974}">
    <text>Communication Dirk</text>
  </threadedComment>
  <threadedComment ref="AD49" dT="2025-05-01T12:36:09.14" personId="{CADE7258-85B9-473F-B7FD-7D64E6184DAA}" id="{BCBF57D5-B700-407B-AD6D-E2FD29F11D75}">
    <text>TWh/plant</text>
  </threadedComment>
</ThreadedComments>
</file>

<file path=xl/threadedComments/threadedComment7.xml><?xml version="1.0" encoding="utf-8"?>
<ThreadedComments xmlns="http://schemas.microsoft.com/office/spreadsheetml/2018/threadedcomments" xmlns:x="http://schemas.openxmlformats.org/spreadsheetml/2006/main">
  <threadedComment ref="T38" dT="2024-10-08T17:05:03.95" personId="{CADE7258-85B9-473F-B7FD-7D64E6184DAA}" id="{37BBE7DA-248B-44D5-B906-121AB8336309}">
    <text xml:space="preserve">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ext>
  </threadedComment>
  <threadedComment ref="AH38" dT="2024-10-08T17:04:44.34" personId="{CADE7258-85B9-473F-B7FD-7D64E6184DAA}" id="{30E3E1D8-142C-4AFA-852A-F6F1367273B4}">
    <text>Received from Claude</text>
  </threadedComment>
</ThreadedComments>
</file>

<file path=xl/threadedComments/threadedComment8.xml><?xml version="1.0" encoding="utf-8"?>
<ThreadedComments xmlns="http://schemas.microsoft.com/office/spreadsheetml/2018/threadedcomments" xmlns:x="http://schemas.openxmlformats.org/spreadsheetml/2006/main">
  <threadedComment ref="T38" dT="2024-10-08T17:05:03.95" personId="{CADE7258-85B9-473F-B7FD-7D64E6184DAA}" id="{6305D09B-5384-46BA-98C3-CC183F7B184A}">
    <text xml:space="preserve">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ext>
  </threadedComment>
  <threadedComment ref="AH38" dT="2024-10-08T17:04:44.34" personId="{CADE7258-85B9-473F-B7FD-7D64E6184DAA}" id="{1145F949-3874-4EEF-A524-17EA40F863A4}">
    <text>Received from Claude</text>
  </threadedComment>
</ThreadedComments>
</file>

<file path=xl/threadedComments/threadedComment9.xml><?xml version="1.0" encoding="utf-8"?>
<ThreadedComments xmlns="http://schemas.microsoft.com/office/spreadsheetml/2018/threadedcomments" xmlns:x="http://schemas.openxmlformats.org/spreadsheetml/2006/main">
  <threadedComment ref="I2" dT="2024-10-07T14:30:09.31" personId="{CADE7258-85B9-473F-B7FD-7D64E6184DAA}" id="{64D8A454-7411-4593-BC2E-3FF4524A7D93}">
    <text>Is it correct that we don't go below 6.00 km, i.e. everything below is not relevant?
What is the meaning of negative numbers?
What happens in cases where the sum of the two is &gt;6km, e.g. line 63?</text>
  </threadedComment>
  <threadedComment ref="A22" dT="2024-10-07T16:02:20.80" personId="{CADE7258-85B9-473F-B7FD-7D64E6184DAA}" id="{69B78E9C-D567-4BF9-90F0-1F9C6F42B18C}">
    <text>Was 1</text>
  </threadedComment>
  <threadedComment ref="A37" dT="2024-10-07T16:02:09.25" personId="{CADE7258-85B9-473F-B7FD-7D64E6184DAA}" id="{43FBA86A-8226-448D-9F8B-FA48D0E31CB5}">
    <text>Was 2</text>
  </threadedComment>
</ThreadedComments>
</file>

<file path=xl/threadedComments/threadedComment10.xml><?xml version="1.0" encoding="utf-8"?>
<ThreadedComments xmlns="http://schemas.microsoft.com/office/spreadsheetml/2018/threadedcomments" xmlns:x="http://schemas.openxmlformats.org/spreadsheetml/2006/main">
  <threadedComment ref="I1" dT="2024-11-07T10:07:11.58" personId="{CADE7258-85B9-473F-B7FD-7D64E6184DAA}" id="{7232941A-0107-4ACE-A90A-43D5C388F26A}">
    <text>1 AGS = 1 well, correct?, so e.g. row 4 would drill 101 wells with a depth of 8 km and lenght of 8 + x*7km loops each, with a distance of 100 m each?</text>
  </threadedComment>
  <threadedComment ref="K1" dT="2024-10-07T12:55:11.90" personId="{CADE7258-85B9-473F-B7FD-7D64E6184DAA}" id="{42A6EBD5-A1BD-4F9A-A095-14E847FB0DD7}">
    <text>Does this determine the number of AGS? But why heat, and not electricity?</text>
  </threadedComment>
  <threadedComment ref="O1" dT="2024-10-07T12:54:51.92" personId="{CADE7258-85B9-473F-B7FD-7D64E6184DAA}" id="{5B9FA2CC-E149-42DE-B445-5F6BB24D4D20}">
    <text>Should this be a sensitivity analysis or do we know what to expect?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doi.org/10.1016/j.ijggc.2023.104039" TargetMode="External"/><Relationship Id="rId7" Type="http://schemas.openxmlformats.org/officeDocument/2006/relationships/hyperlink" Target="https://www.distance.to/" TargetMode="External"/><Relationship Id="rId2" Type="http://schemas.openxmlformats.org/officeDocument/2006/relationships/hyperlink" Target="https://doi.org/10.1016/j.ijggc.2023.104039" TargetMode="External"/><Relationship Id="rId1" Type="http://schemas.openxmlformats.org/officeDocument/2006/relationships/hyperlink" Target="https://doi.org/10.1016/j.ijggc.2023.104039" TargetMode="External"/><Relationship Id="rId6" Type="http://schemas.openxmlformats.org/officeDocument/2006/relationships/hyperlink" Target="https://doi.org/10.1016/j.ijggc.2023.104039" TargetMode="External"/><Relationship Id="rId5" Type="http://schemas.openxmlformats.org/officeDocument/2006/relationships/hyperlink" Target="https://doi.org/10.1016/j.ijggc.2023.104039" TargetMode="External"/><Relationship Id="rId10" Type="http://schemas.openxmlformats.org/officeDocument/2006/relationships/queryTable" Target="../queryTables/queryTable1.xml"/><Relationship Id="rId4" Type="http://schemas.openxmlformats.org/officeDocument/2006/relationships/hyperlink" Target="https://doi.org/10.1016/j.ijggc.2023.104039" TargetMode="External"/><Relationship Id="rId9"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7.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eng-tips.com/threads/weight-of-steel-in-a-drilling-rig.335951/" TargetMode="Externa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0.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printerSettings" Target="../printerSettings/printerSettings1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13.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6.xml"/><Relationship Id="rId1" Type="http://schemas.openxmlformats.org/officeDocument/2006/relationships/printerSettings" Target="../printerSettings/printerSettings14.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8.xml"/><Relationship Id="rId4" Type="http://schemas.microsoft.com/office/2017/10/relationships/threadedComment" Target="../threadedComments/threadedComment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9.xml"/><Relationship Id="rId1" Type="http://schemas.openxmlformats.org/officeDocument/2006/relationships/printerSettings" Target="../printerSettings/printerSettings1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B7B5-E7D2-4A1B-9AFC-7EF6FCA6ED84}">
  <dimension ref="A1:D44"/>
  <sheetViews>
    <sheetView workbookViewId="0">
      <selection activeCell="B39" sqref="B39:I44"/>
    </sheetView>
  </sheetViews>
  <sheetFormatPr defaultRowHeight="15" x14ac:dyDescent="0.25"/>
  <sheetData>
    <row r="1" spans="1:3" x14ac:dyDescent="0.25">
      <c r="A1" t="s">
        <v>55</v>
      </c>
    </row>
    <row r="2" spans="1:3" x14ac:dyDescent="0.25">
      <c r="B2" s="9" t="s">
        <v>1435</v>
      </c>
    </row>
    <row r="3" spans="1:3" x14ac:dyDescent="0.25">
      <c r="B3" t="s">
        <v>1436</v>
      </c>
    </row>
    <row r="5" spans="1:3" x14ac:dyDescent="0.25">
      <c r="B5" t="s">
        <v>1437</v>
      </c>
    </row>
    <row r="6" spans="1:3" x14ac:dyDescent="0.25">
      <c r="B6" t="s">
        <v>1438</v>
      </c>
    </row>
    <row r="15" spans="1:3" x14ac:dyDescent="0.25">
      <c r="B15" s="9" t="s">
        <v>850</v>
      </c>
    </row>
    <row r="16" spans="1:3" x14ac:dyDescent="0.25">
      <c r="B16" t="s">
        <v>95</v>
      </c>
      <c r="C16" t="s">
        <v>96</v>
      </c>
    </row>
    <row r="17" spans="2:4" x14ac:dyDescent="0.25">
      <c r="B17">
        <v>1</v>
      </c>
      <c r="C17">
        <v>2.54</v>
      </c>
    </row>
    <row r="19" spans="2:4" x14ac:dyDescent="0.25">
      <c r="B19" t="s">
        <v>345</v>
      </c>
      <c r="C19" t="s">
        <v>347</v>
      </c>
    </row>
    <row r="20" spans="2:4" x14ac:dyDescent="0.25">
      <c r="B20">
        <v>3.6</v>
      </c>
      <c r="C20">
        <v>1</v>
      </c>
    </row>
    <row r="21" spans="2:4" x14ac:dyDescent="0.25">
      <c r="C21">
        <f>C20/MJ_per_kWh</f>
        <v>0.27777777777777779</v>
      </c>
    </row>
    <row r="24" spans="2:4" x14ac:dyDescent="0.25">
      <c r="B24" s="9" t="s">
        <v>907</v>
      </c>
    </row>
    <row r="26" spans="2:4" x14ac:dyDescent="0.25">
      <c r="B26" t="s">
        <v>908</v>
      </c>
      <c r="D26" t="s">
        <v>1592</v>
      </c>
    </row>
    <row r="27" spans="2:4" x14ac:dyDescent="0.25">
      <c r="B27" t="s">
        <v>435</v>
      </c>
      <c r="D27" t="s">
        <v>1593</v>
      </c>
    </row>
    <row r="28" spans="2:4" x14ac:dyDescent="0.25">
      <c r="B28" t="s">
        <v>1194</v>
      </c>
      <c r="D28" t="s">
        <v>1252</v>
      </c>
    </row>
    <row r="30" spans="2:4" x14ac:dyDescent="0.25">
      <c r="B30" t="s">
        <v>1356</v>
      </c>
      <c r="D30" t="s">
        <v>1352</v>
      </c>
    </row>
    <row r="31" spans="2:4" x14ac:dyDescent="0.25">
      <c r="B31" t="s">
        <v>1357</v>
      </c>
      <c r="D31" t="s">
        <v>1353</v>
      </c>
    </row>
    <row r="32" spans="2:4" x14ac:dyDescent="0.25">
      <c r="B32" t="s">
        <v>1269</v>
      </c>
      <c r="D32" t="s">
        <v>1266</v>
      </c>
    </row>
    <row r="33" spans="2:4" x14ac:dyDescent="0.25">
      <c r="B33" t="s">
        <v>1358</v>
      </c>
      <c r="D33" t="s">
        <v>1354</v>
      </c>
    </row>
    <row r="34" spans="2:4" x14ac:dyDescent="0.25">
      <c r="B34" t="s">
        <v>1359</v>
      </c>
      <c r="D34" t="s">
        <v>1355</v>
      </c>
    </row>
    <row r="35" spans="2:4" x14ac:dyDescent="0.25">
      <c r="B35" t="s">
        <v>1270</v>
      </c>
      <c r="D35" t="s">
        <v>1252</v>
      </c>
    </row>
    <row r="39" spans="2:4" x14ac:dyDescent="0.25">
      <c r="B39" s="9" t="s">
        <v>450</v>
      </c>
    </row>
    <row r="41" spans="2:4" x14ac:dyDescent="0.25">
      <c r="B41" t="s">
        <v>451</v>
      </c>
      <c r="C41" t="s">
        <v>452</v>
      </c>
    </row>
    <row r="42" spans="2:4" x14ac:dyDescent="0.25">
      <c r="B42" t="s">
        <v>453</v>
      </c>
    </row>
    <row r="43" spans="2:4" x14ac:dyDescent="0.25">
      <c r="B43" t="s">
        <v>454</v>
      </c>
    </row>
    <row r="44" spans="2:4" x14ac:dyDescent="0.25">
      <c r="B44" t="s">
        <v>455</v>
      </c>
      <c r="C44" t="s">
        <v>456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BBCB7-7CCF-4C8A-BCAB-794DF7B8519A}">
  <dimension ref="B2:H14"/>
  <sheetViews>
    <sheetView workbookViewId="0"/>
  </sheetViews>
  <sheetFormatPr defaultRowHeight="15" x14ac:dyDescent="0.25"/>
  <cols>
    <col min="4" max="4" width="139.140625" bestFit="1" customWidth="1"/>
  </cols>
  <sheetData>
    <row r="2" spans="2:8" x14ac:dyDescent="0.25">
      <c r="B2" s="9" t="s">
        <v>1049</v>
      </c>
    </row>
    <row r="5" spans="2:8" x14ac:dyDescent="0.25">
      <c r="B5" t="s">
        <v>1050</v>
      </c>
      <c r="C5" t="s">
        <v>1051</v>
      </c>
      <c r="D5" t="s">
        <v>1057</v>
      </c>
    </row>
    <row r="6" spans="2:8" x14ac:dyDescent="0.25">
      <c r="D6" t="s">
        <v>1052</v>
      </c>
      <c r="E6" t="s">
        <v>1053</v>
      </c>
    </row>
    <row r="7" spans="2:8" x14ac:dyDescent="0.25">
      <c r="D7" t="s">
        <v>1054</v>
      </c>
      <c r="E7" t="s">
        <v>1053</v>
      </c>
    </row>
    <row r="8" spans="2:8" x14ac:dyDescent="0.25">
      <c r="D8" t="s">
        <v>1055</v>
      </c>
      <c r="E8" t="s">
        <v>1056</v>
      </c>
    </row>
    <row r="11" spans="2:8" x14ac:dyDescent="0.25">
      <c r="C11" t="s">
        <v>1058</v>
      </c>
      <c r="E11" t="s">
        <v>1059</v>
      </c>
      <c r="F11" t="s">
        <v>1060</v>
      </c>
      <c r="G11" t="s">
        <v>459</v>
      </c>
      <c r="H11" t="s">
        <v>417</v>
      </c>
    </row>
    <row r="14" spans="2:8" x14ac:dyDescent="0.25">
      <c r="B14" t="s">
        <v>1050</v>
      </c>
      <c r="C14" t="s">
        <v>448</v>
      </c>
      <c r="D14" t="s">
        <v>1061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4D0D-97B6-4E07-8465-A63E24BDA442}">
  <dimension ref="A1:I59"/>
  <sheetViews>
    <sheetView workbookViewId="0">
      <selection activeCell="F14" sqref="F14"/>
    </sheetView>
  </sheetViews>
  <sheetFormatPr defaultRowHeight="15" x14ac:dyDescent="0.25"/>
  <cols>
    <col min="1" max="1" width="20.85546875" customWidth="1"/>
    <col min="2" max="2" width="25.140625" customWidth="1"/>
    <col min="5" max="5" width="12.7109375" customWidth="1"/>
    <col min="6" max="6" width="11" bestFit="1" customWidth="1"/>
    <col min="7" max="7" width="83.140625" customWidth="1"/>
    <col min="8" max="8" width="70.5703125" customWidth="1"/>
  </cols>
  <sheetData>
    <row r="1" spans="1:7" x14ac:dyDescent="0.25">
      <c r="A1" t="s">
        <v>55</v>
      </c>
    </row>
    <row r="2" spans="1:7" x14ac:dyDescent="0.25">
      <c r="B2" s="9" t="s">
        <v>851</v>
      </c>
    </row>
    <row r="4" spans="1:7" x14ac:dyDescent="0.25">
      <c r="B4" t="s">
        <v>349</v>
      </c>
      <c r="C4" t="s">
        <v>350</v>
      </c>
      <c r="D4" t="s">
        <v>355</v>
      </c>
      <c r="E4" s="52">
        <f>CH_polygons_ppgd_co2!J2</f>
        <v>1.885782209063388</v>
      </c>
      <c r="F4" s="54" t="s">
        <v>358</v>
      </c>
    </row>
    <row r="5" spans="1:7" x14ac:dyDescent="0.25">
      <c r="C5" t="s">
        <v>351</v>
      </c>
      <c r="D5" t="s">
        <v>356</v>
      </c>
      <c r="E5" s="52">
        <f>CH_polygons_ppgd_co2!L2</f>
        <v>2.8098899699570712</v>
      </c>
      <c r="F5" s="54" t="s">
        <v>358</v>
      </c>
    </row>
    <row r="6" spans="1:7" x14ac:dyDescent="0.25">
      <c r="E6" s="52" t="s">
        <v>1380</v>
      </c>
      <c r="F6" s="397" t="s">
        <v>1898</v>
      </c>
      <c r="G6" t="s">
        <v>1379</v>
      </c>
    </row>
    <row r="7" spans="1:7" x14ac:dyDescent="0.25">
      <c r="B7" t="s">
        <v>352</v>
      </c>
      <c r="C7" t="s">
        <v>354</v>
      </c>
      <c r="D7" t="s">
        <v>347</v>
      </c>
      <c r="E7" s="53">
        <f>$E$4*1000*capacity_factor*h_per_a*lifetime_30a</f>
        <v>446025208.08767253</v>
      </c>
      <c r="F7" s="53">
        <f>$E$4*1000*capacity_factor*h_per_a*lifetime_60a</f>
        <v>892050416.17534506</v>
      </c>
      <c r="G7" s="53">
        <f>$E$4*1000*capacity_factor*h_per_a*lifetime_100a</f>
        <v>1486750693.6255751</v>
      </c>
    </row>
    <row r="8" spans="1:7" x14ac:dyDescent="0.25">
      <c r="C8" t="s">
        <v>353</v>
      </c>
      <c r="D8" t="s">
        <v>345</v>
      </c>
      <c r="E8" s="53">
        <f>($E$5*1000*3.6)*capacity_factor*h_per_a*lifetime_30a</f>
        <v>2392542632.4992871</v>
      </c>
      <c r="F8" s="53">
        <f>($E$5*1000*3.6)*capacity_factor*h_per_a*lifetime_60a</f>
        <v>4785085264.9985743</v>
      </c>
      <c r="G8" s="53">
        <f>($E$5*1000*3.6)*capacity_factor*h_per_a*lifetime_100a</f>
        <v>7975142108.3309574</v>
      </c>
    </row>
    <row r="9" spans="1:7" x14ac:dyDescent="0.25">
      <c r="E9" s="53">
        <f>lifetime_30a_elprod/1000000</f>
        <v>446.02520808767252</v>
      </c>
      <c r="F9" t="s">
        <v>1214</v>
      </c>
    </row>
    <row r="10" spans="1:7" x14ac:dyDescent="0.25">
      <c r="E10" s="53"/>
    </row>
    <row r="11" spans="1:7" x14ac:dyDescent="0.25">
      <c r="E11" s="53"/>
    </row>
    <row r="13" spans="1:7" x14ac:dyDescent="0.25">
      <c r="B13" t="s">
        <v>357</v>
      </c>
      <c r="D13">
        <v>0.9</v>
      </c>
      <c r="E13">
        <v>0.7</v>
      </c>
      <c r="F13">
        <f>$E$4*1000*E13*h_per_a*lifetime_60a</f>
        <v>693816990.35860169</v>
      </c>
    </row>
    <row r="14" spans="1:7" x14ac:dyDescent="0.25">
      <c r="B14" t="s">
        <v>359</v>
      </c>
      <c r="C14" t="s">
        <v>360</v>
      </c>
      <c r="D14">
        <f>24*365</f>
        <v>8760</v>
      </c>
      <c r="E14">
        <v>0.8</v>
      </c>
      <c r="F14">
        <f>$E$4*1000*E14*h_per_a*lifetime_60a</f>
        <v>792933703.2669735</v>
      </c>
    </row>
    <row r="17" spans="2:6" x14ac:dyDescent="0.25">
      <c r="D17" t="s">
        <v>1497</v>
      </c>
      <c r="E17" t="s">
        <v>1498</v>
      </c>
      <c r="F17" t="s">
        <v>1499</v>
      </c>
    </row>
    <row r="18" spans="2:6" x14ac:dyDescent="0.25">
      <c r="B18" t="s">
        <v>361</v>
      </c>
      <c r="C18" t="s">
        <v>362</v>
      </c>
      <c r="D18">
        <v>30</v>
      </c>
      <c r="E18">
        <v>60</v>
      </c>
      <c r="F18">
        <v>100</v>
      </c>
    </row>
    <row r="20" spans="2:6" x14ac:dyDescent="0.25">
      <c r="B20" t="s">
        <v>1500</v>
      </c>
      <c r="C20">
        <f>'Drilling - well design'!J21</f>
        <v>6000</v>
      </c>
      <c r="D20" t="s">
        <v>54</v>
      </c>
    </row>
    <row r="21" spans="2:6" x14ac:dyDescent="0.25">
      <c r="B21" t="s">
        <v>373</v>
      </c>
      <c r="C21">
        <f>'Drilling - well design'!L25</f>
        <v>54000</v>
      </c>
      <c r="D21" t="s">
        <v>54</v>
      </c>
    </row>
    <row r="22" spans="2:6" x14ac:dyDescent="0.25">
      <c r="B22" t="s">
        <v>374</v>
      </c>
      <c r="C22">
        <v>30</v>
      </c>
      <c r="D22" t="s">
        <v>375</v>
      </c>
    </row>
    <row r="23" spans="2:6" x14ac:dyDescent="0.25">
      <c r="B23" t="s">
        <v>376</v>
      </c>
      <c r="D23" t="s">
        <v>380</v>
      </c>
    </row>
    <row r="24" spans="2:6" x14ac:dyDescent="0.25">
      <c r="B24" t="s">
        <v>377</v>
      </c>
      <c r="C24" t="s">
        <v>155</v>
      </c>
    </row>
    <row r="25" spans="2:6" x14ac:dyDescent="0.25">
      <c r="B25" t="s">
        <v>378</v>
      </c>
      <c r="C25" s="52">
        <f>'AGS CO2 PPGD'!T134</f>
        <v>84.033185633593902</v>
      </c>
      <c r="D25" t="s">
        <v>379</v>
      </c>
    </row>
    <row r="26" spans="2:6" x14ac:dyDescent="0.25">
      <c r="B26" t="s">
        <v>381</v>
      </c>
      <c r="C26" s="52">
        <f>'Drilling - energy_material_6km'!AG43</f>
        <v>0</v>
      </c>
      <c r="D26" t="s">
        <v>96</v>
      </c>
    </row>
    <row r="27" spans="2:6" x14ac:dyDescent="0.25">
      <c r="B27" t="s">
        <v>382</v>
      </c>
      <c r="C27">
        <f>'Drilling - energy_material_6km'!Q40</f>
        <v>60.96</v>
      </c>
      <c r="D27" t="s">
        <v>96</v>
      </c>
    </row>
    <row r="28" spans="2:6" x14ac:dyDescent="0.25">
      <c r="B28" t="s">
        <v>383</v>
      </c>
      <c r="C28" t="s">
        <v>846</v>
      </c>
    </row>
    <row r="30" spans="2:6" x14ac:dyDescent="0.25">
      <c r="B30" t="s">
        <v>343</v>
      </c>
      <c r="D30" t="s">
        <v>1496</v>
      </c>
      <c r="E30" t="s">
        <v>1</v>
      </c>
    </row>
    <row r="31" spans="2:6" x14ac:dyDescent="0.25">
      <c r="C31" t="s">
        <v>372</v>
      </c>
      <c r="D31" s="53">
        <f>'Drilling - energy_material_6km'!P76</f>
        <v>1845.7382716049387</v>
      </c>
      <c r="E31" s="53">
        <f>kWh_per_m_ppgd</f>
        <v>191.29382716049381</v>
      </c>
    </row>
    <row r="32" spans="2:6" x14ac:dyDescent="0.25">
      <c r="D32" s="53"/>
      <c r="E32" s="53"/>
    </row>
    <row r="33" spans="2:9" x14ac:dyDescent="0.25">
      <c r="B33" t="s">
        <v>2106</v>
      </c>
      <c r="C33">
        <v>0.02</v>
      </c>
      <c r="D33" s="53"/>
      <c r="E33" s="53"/>
    </row>
    <row r="34" spans="2:9" x14ac:dyDescent="0.25">
      <c r="D34" s="53"/>
      <c r="E34" s="53"/>
    </row>
    <row r="35" spans="2:9" x14ac:dyDescent="0.25">
      <c r="D35" s="53"/>
      <c r="E35" s="53"/>
    </row>
    <row r="40" spans="2:9" x14ac:dyDescent="0.25">
      <c r="G40" s="9" t="s">
        <v>1036</v>
      </c>
      <c r="H40" s="9" t="s">
        <v>1035</v>
      </c>
      <c r="I40" s="9" t="s">
        <v>473</v>
      </c>
    </row>
    <row r="41" spans="2:9" x14ac:dyDescent="0.25">
      <c r="E41" s="9" t="s">
        <v>1045</v>
      </c>
      <c r="G41" s="63" t="s">
        <v>2090</v>
      </c>
      <c r="H41" t="s">
        <v>2089</v>
      </c>
      <c r="I41" t="s">
        <v>1047</v>
      </c>
    </row>
    <row r="42" spans="2:9" x14ac:dyDescent="0.25">
      <c r="E42" s="9"/>
      <c r="G42" s="63" t="s">
        <v>2091</v>
      </c>
      <c r="H42" t="s">
        <v>2092</v>
      </c>
      <c r="I42" t="s">
        <v>1047</v>
      </c>
    </row>
    <row r="43" spans="2:9" x14ac:dyDescent="0.25">
      <c r="G43" s="63" t="s">
        <v>2093</v>
      </c>
      <c r="H43" t="s">
        <v>2094</v>
      </c>
      <c r="I43" t="s">
        <v>1047</v>
      </c>
    </row>
    <row r="44" spans="2:9" x14ac:dyDescent="0.25">
      <c r="G44" s="63" t="s">
        <v>2095</v>
      </c>
      <c r="H44" t="s">
        <v>2096</v>
      </c>
      <c r="I44" t="s">
        <v>1047</v>
      </c>
    </row>
    <row r="45" spans="2:9" x14ac:dyDescent="0.25">
      <c r="G45" s="65" t="s">
        <v>1038</v>
      </c>
      <c r="H45" s="65" t="s">
        <v>440</v>
      </c>
      <c r="I45" t="s">
        <v>416</v>
      </c>
    </row>
    <row r="46" spans="2:9" x14ac:dyDescent="0.25">
      <c r="G46" s="65" t="s">
        <v>1517</v>
      </c>
      <c r="H46" s="65" t="s">
        <v>1518</v>
      </c>
      <c r="I46" t="s">
        <v>1047</v>
      </c>
    </row>
    <row r="47" spans="2:9" x14ac:dyDescent="0.25">
      <c r="G47" s="65" t="s">
        <v>2099</v>
      </c>
      <c r="H47" s="65" t="s">
        <v>2100</v>
      </c>
      <c r="I47" t="s">
        <v>416</v>
      </c>
    </row>
    <row r="48" spans="2:9" x14ac:dyDescent="0.25">
      <c r="G48" s="65" t="s">
        <v>2097</v>
      </c>
      <c r="H48" s="65" t="s">
        <v>2098</v>
      </c>
      <c r="I48" t="s">
        <v>416</v>
      </c>
    </row>
    <row r="49" spans="5:9" x14ac:dyDescent="0.25">
      <c r="E49" s="9" t="s">
        <v>1044</v>
      </c>
      <c r="G49" s="65" t="str">
        <f>LCI_CO2!B4</f>
        <v>2-amino-2-methyl-1-propanol (AMP) production</v>
      </c>
      <c r="H49" t="str">
        <f>LCI_CO2!B6</f>
        <v>2-amino-2-methyl-1-propanol (AMP)</v>
      </c>
      <c r="I49" t="str">
        <f>LCI_CO2!E13</f>
        <v>kilogram</v>
      </c>
    </row>
    <row r="50" spans="5:9" x14ac:dyDescent="0.25">
      <c r="G50" t="str">
        <f>LCI_CO2!B27</f>
        <v>water cooling</v>
      </c>
      <c r="H50" t="str">
        <f>LCI_CO2!B29</f>
        <v>water, cooled</v>
      </c>
      <c r="I50" t="str">
        <f>LCI_CO2!E36</f>
        <v>megajoule</v>
      </c>
    </row>
    <row r="51" spans="5:9" x14ac:dyDescent="0.25">
      <c r="G51" t="str">
        <f>LCI_CO2!B60</f>
        <v>CO2 capture unit operation, waste incineration plant, Linth, Switzerland</v>
      </c>
      <c r="H51" t="str">
        <f>LCI_CO2!B62</f>
        <v>CO2 capture unit operation, waste incineration plant, Linth, Switzerland</v>
      </c>
      <c r="I51" t="str">
        <f>LCI_CO2!E69</f>
        <v>hour</v>
      </c>
    </row>
    <row r="52" spans="5:9" x14ac:dyDescent="0.25">
      <c r="G52" t="str">
        <f>LCI_CO2!B85</f>
        <v>CO2 captured at capture unit, waste incineration plant, Linth, Switzerland</v>
      </c>
      <c r="H52" t="str">
        <f>LCI_CO2!B87</f>
        <v>CO2 captured at capture unit, waste incineration plant, Linth, Switzerland</v>
      </c>
      <c r="I52" t="str">
        <f>LCI_CO2!E94</f>
        <v>kilogram</v>
      </c>
    </row>
    <row r="53" spans="5:9" x14ac:dyDescent="0.25">
      <c r="G53" t="str">
        <f>LCI_CO2!B112</f>
        <v>CO2 conditioning, at 15 bar, waste incineration plant, Linth, Switzerland</v>
      </c>
      <c r="H53" t="str">
        <f>LCI_CO2!B114</f>
        <v>CO2, conditioned, at 15 bar, waste incineration plant, Linth, Switzerland</v>
      </c>
      <c r="I53" t="str">
        <f>LCI_CO2!E121</f>
        <v>kilogram</v>
      </c>
    </row>
    <row r="54" spans="5:9" x14ac:dyDescent="0.25">
      <c r="G54" t="str">
        <f>LCI_CO2!B143</f>
        <v>CO2 storage, temporary, 5 days, 15 bar, waste incineration plant, Linth, Switzerland</v>
      </c>
      <c r="H54" t="str">
        <f>LCI_CO2!B145</f>
        <v>CO2, stored, temporary, 5 days, 15 bar, waste incineration plant, Linth, Switzerland</v>
      </c>
      <c r="I54" t="str">
        <f>LCI_CO2!E152</f>
        <v>kilogram</v>
      </c>
    </row>
    <row r="55" spans="5:9" x14ac:dyDescent="0.25">
      <c r="G55" t="str">
        <f>LCI_CO2!B162</f>
        <v>CO2 transport, liquid, 15 bar, from waste incineration plant, Linth, Switzerland</v>
      </c>
      <c r="H55" t="str">
        <f>LCI_CO2!B164</f>
        <v>CO2 transported, liquid, 15 bar, from waste incineration plant, Linth, Switzerland</v>
      </c>
      <c r="I55" t="str">
        <f>LCI_CO2!E171</f>
        <v>kilogram</v>
      </c>
    </row>
    <row r="56" spans="5:9" x14ac:dyDescent="0.25">
      <c r="G56" t="str">
        <f>LCI_CO2!A187</f>
        <v>CO2 production, supercritical, 90 bar, for pumping into geothermal well</v>
      </c>
      <c r="H56" t="str">
        <f>LCI_CO2!B187</f>
        <v>CO2, supercritical, 90 bar, for pumping into geothermal well</v>
      </c>
      <c r="I56" t="str">
        <f>LCI_CO2!E187</f>
        <v>kilogram</v>
      </c>
    </row>
    <row r="57" spans="5:9" x14ac:dyDescent="0.25">
      <c r="G57" t="str">
        <f>LCI_CO2!A201</f>
        <v>CO2 pumping, supercritical, into geothermal well, per meter</v>
      </c>
      <c r="H57" t="str">
        <f>LCI_CO2!B201</f>
        <v>CO2, supercritical, pumped into geothermal well, per meter</v>
      </c>
      <c r="I57" t="str">
        <f>LCI_CO2!E202</f>
        <v>kilogram</v>
      </c>
    </row>
    <row r="58" spans="5:9" x14ac:dyDescent="0.25">
      <c r="E58" s="9" t="s">
        <v>1046</v>
      </c>
      <c r="G58" s="65" t="s">
        <v>441</v>
      </c>
      <c r="H58" s="65" t="s">
        <v>431</v>
      </c>
      <c r="I58" s="65" t="s">
        <v>433</v>
      </c>
    </row>
    <row r="59" spans="5:9" x14ac:dyDescent="0.25">
      <c r="G59" s="65" t="s">
        <v>2101</v>
      </c>
      <c r="H59" s="65" t="s">
        <v>431</v>
      </c>
      <c r="I59" s="65" t="s">
        <v>433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CDE43-D05C-4916-91BA-EE77EE977EC3}">
  <dimension ref="A1:M178"/>
  <sheetViews>
    <sheetView workbookViewId="0">
      <selection activeCell="A3" sqref="A3"/>
    </sheetView>
  </sheetViews>
  <sheetFormatPr defaultRowHeight="15" x14ac:dyDescent="0.25"/>
  <cols>
    <col min="1" max="1" width="21.85546875" bestFit="1" customWidth="1"/>
    <col min="3" max="3" width="60" customWidth="1"/>
  </cols>
  <sheetData>
    <row r="1" spans="1:13" ht="15.75" x14ac:dyDescent="0.25">
      <c r="A1" s="493" t="s">
        <v>1716</v>
      </c>
      <c r="B1" s="494" t="s">
        <v>1717</v>
      </c>
      <c r="C1" s="494" t="s">
        <v>1718</v>
      </c>
      <c r="D1" s="494" t="s">
        <v>473</v>
      </c>
      <c r="E1" s="495">
        <v>2020</v>
      </c>
      <c r="F1" s="495">
        <v>2022</v>
      </c>
      <c r="G1" s="495">
        <v>2025</v>
      </c>
      <c r="H1" s="495">
        <v>2030</v>
      </c>
      <c r="I1" s="495">
        <v>2040</v>
      </c>
      <c r="J1" s="495">
        <v>2050</v>
      </c>
      <c r="M1" t="s">
        <v>1778</v>
      </c>
    </row>
    <row r="2" spans="1:13" ht="15.75" x14ac:dyDescent="0.25">
      <c r="A2" s="496" t="s">
        <v>1715</v>
      </c>
      <c r="B2" s="496" t="s">
        <v>432</v>
      </c>
      <c r="C2" t="s">
        <v>1719</v>
      </c>
      <c r="D2" t="s">
        <v>1597</v>
      </c>
      <c r="E2" s="460">
        <v>299.34491998138668</v>
      </c>
      <c r="F2" s="460">
        <v>292.69564273325159</v>
      </c>
      <c r="G2" s="460">
        <v>336.57399544804252</v>
      </c>
      <c r="H2" s="460">
        <v>364.28295808488701</v>
      </c>
      <c r="I2" s="460">
        <v>425.8089552424434</v>
      </c>
      <c r="J2" s="460">
        <v>569.67472455849895</v>
      </c>
      <c r="M2" t="s">
        <v>1779</v>
      </c>
    </row>
    <row r="3" spans="1:13" ht="15.75" x14ac:dyDescent="0.25">
      <c r="A3" s="496" t="s">
        <v>1715</v>
      </c>
      <c r="B3" s="496" t="s">
        <v>432</v>
      </c>
      <c r="C3" t="s">
        <v>1720</v>
      </c>
      <c r="D3" t="s">
        <v>1597</v>
      </c>
      <c r="E3" s="460">
        <v>44.769999823502488</v>
      </c>
      <c r="F3" s="460">
        <v>46.550622181135182</v>
      </c>
      <c r="G3" s="460">
        <v>46.550637453699707</v>
      </c>
      <c r="H3" s="460">
        <v>47.789510894761705</v>
      </c>
      <c r="I3" s="460">
        <v>49.077982260628382</v>
      </c>
      <c r="J3" s="460">
        <v>63.75568287331221</v>
      </c>
    </row>
    <row r="4" spans="1:13" ht="15.75" x14ac:dyDescent="0.25">
      <c r="A4" s="496" t="s">
        <v>1715</v>
      </c>
      <c r="B4" s="496" t="s">
        <v>432</v>
      </c>
      <c r="C4" t="s">
        <v>1721</v>
      </c>
      <c r="D4" t="s">
        <v>1597</v>
      </c>
      <c r="E4" s="460">
        <v>10.182339573395605</v>
      </c>
      <c r="F4" s="460">
        <v>11.152950681145608</v>
      </c>
      <c r="G4" s="460">
        <v>12.60886727807384</v>
      </c>
      <c r="H4" s="460">
        <v>15.03539546655105</v>
      </c>
      <c r="I4" s="460">
        <v>17.461924201570437</v>
      </c>
      <c r="J4" s="460">
        <v>17.461928434255277</v>
      </c>
    </row>
    <row r="5" spans="1:13" ht="15.75" x14ac:dyDescent="0.25">
      <c r="A5" s="496" t="s">
        <v>1715</v>
      </c>
      <c r="B5" s="496" t="s">
        <v>432</v>
      </c>
      <c r="C5" t="s">
        <v>1722</v>
      </c>
      <c r="D5" t="s">
        <v>1597</v>
      </c>
      <c r="E5" s="460">
        <v>7.4592163946919232</v>
      </c>
      <c r="F5" s="460">
        <v>8.0030402630709165</v>
      </c>
      <c r="G5" s="460">
        <v>8.8187760475621584</v>
      </c>
      <c r="H5" s="460">
        <v>10.17833623133677</v>
      </c>
      <c r="I5" s="460">
        <v>10.230789911898452</v>
      </c>
      <c r="J5" s="460">
        <v>7.6165801944918501</v>
      </c>
    </row>
    <row r="6" spans="1:13" ht="15.75" x14ac:dyDescent="0.25">
      <c r="A6" s="496" t="s">
        <v>1715</v>
      </c>
      <c r="B6" s="496" t="s">
        <v>432</v>
      </c>
      <c r="C6" t="s">
        <v>1723</v>
      </c>
      <c r="D6" t="s">
        <v>1597</v>
      </c>
      <c r="E6" s="460">
        <v>2.6225282063638553</v>
      </c>
      <c r="F6" s="460">
        <v>3.2650041357701141</v>
      </c>
      <c r="G6" s="460">
        <v>4.2287184950295371</v>
      </c>
      <c r="H6" s="460">
        <v>5.8349097575144233</v>
      </c>
      <c r="I6" s="460">
        <v>6.3806249309402032</v>
      </c>
      <c r="J6" s="460">
        <v>4.2596776660137632</v>
      </c>
    </row>
    <row r="7" spans="1:13" ht="15.75" x14ac:dyDescent="0.25">
      <c r="A7" s="496" t="s">
        <v>1715</v>
      </c>
      <c r="B7" s="496" t="s">
        <v>432</v>
      </c>
      <c r="C7" t="s">
        <v>1724</v>
      </c>
      <c r="D7" t="s">
        <v>1597</v>
      </c>
      <c r="E7" s="460">
        <v>24.505915649051104</v>
      </c>
      <c r="F7" s="460">
        <v>24.129627101148547</v>
      </c>
      <c r="G7" s="460">
        <v>20.894275633034177</v>
      </c>
      <c r="H7" s="460">
        <v>16.740869439359461</v>
      </c>
      <c r="I7" s="460">
        <v>15.004643216219291</v>
      </c>
      <c r="J7" s="460">
        <v>34.417496578551322</v>
      </c>
    </row>
    <row r="8" spans="1:13" ht="15.75" x14ac:dyDescent="0.25">
      <c r="A8" s="496" t="s">
        <v>1715</v>
      </c>
      <c r="B8" s="496" t="s">
        <v>432</v>
      </c>
      <c r="C8" t="s">
        <v>1725</v>
      </c>
      <c r="D8" t="s">
        <v>1597</v>
      </c>
      <c r="E8" s="460">
        <v>69.392888907574417</v>
      </c>
      <c r="F8" s="460">
        <v>69.663488319315007</v>
      </c>
      <c r="G8" s="460">
        <v>69.270576683012365</v>
      </c>
      <c r="H8" s="460">
        <v>68.821068659959565</v>
      </c>
      <c r="I8" s="460">
        <v>68.940581911141379</v>
      </c>
      <c r="J8" s="460">
        <v>69.384303568202768</v>
      </c>
    </row>
    <row r="9" spans="1:13" ht="15.75" x14ac:dyDescent="0.25">
      <c r="A9" s="496" t="s">
        <v>1715</v>
      </c>
      <c r="B9" s="496" t="s">
        <v>432</v>
      </c>
      <c r="C9" t="s">
        <v>1726</v>
      </c>
      <c r="D9" t="s">
        <v>1597</v>
      </c>
      <c r="E9" s="460">
        <v>35.611771616876638</v>
      </c>
      <c r="F9" s="460">
        <v>35.882385182505715</v>
      </c>
      <c r="G9" s="460">
        <v>35.489474236173429</v>
      </c>
      <c r="H9" s="460">
        <v>35.039966060683909</v>
      </c>
      <c r="I9" s="460">
        <v>35.159459795776101</v>
      </c>
      <c r="J9" s="460">
        <v>35.603179472152704</v>
      </c>
    </row>
    <row r="10" spans="1:13" ht="15.75" x14ac:dyDescent="0.25">
      <c r="A10" s="496" t="s">
        <v>1715</v>
      </c>
      <c r="B10" s="496" t="s">
        <v>432</v>
      </c>
      <c r="C10" t="s">
        <v>1727</v>
      </c>
      <c r="D10" t="s">
        <v>1597</v>
      </c>
      <c r="E10" s="460">
        <v>33.781117290697786</v>
      </c>
      <c r="F10" s="460">
        <v>33.781103136809293</v>
      </c>
      <c r="G10" s="460">
        <v>33.781102446838929</v>
      </c>
      <c r="H10" s="460">
        <v>33.781102599275663</v>
      </c>
      <c r="I10" s="460">
        <v>33.781122115365278</v>
      </c>
      <c r="J10" s="460">
        <v>33.781124096050057</v>
      </c>
    </row>
    <row r="11" spans="1:13" ht="15.75" x14ac:dyDescent="0.25">
      <c r="A11" s="496" t="s">
        <v>1715</v>
      </c>
      <c r="B11" s="496" t="s">
        <v>432</v>
      </c>
      <c r="C11" t="s">
        <v>1728</v>
      </c>
      <c r="D11" t="s">
        <v>1597</v>
      </c>
      <c r="E11" s="460">
        <v>3.7980836120469923</v>
      </c>
      <c r="F11" s="460">
        <v>11.590878670980038</v>
      </c>
      <c r="G11" s="460">
        <v>15.340017509146147</v>
      </c>
      <c r="H11" s="460">
        <v>17.106581311227522</v>
      </c>
      <c r="I11" s="460">
        <v>18.481074579763369</v>
      </c>
      <c r="J11" s="460">
        <v>26.999993883566837</v>
      </c>
    </row>
    <row r="12" spans="1:13" ht="15.75" x14ac:dyDescent="0.25">
      <c r="A12" s="496" t="s">
        <v>1715</v>
      </c>
      <c r="B12" s="496" t="s">
        <v>432</v>
      </c>
      <c r="C12" t="s">
        <v>1729</v>
      </c>
      <c r="D12" t="s">
        <v>1597</v>
      </c>
      <c r="E12" s="460">
        <v>149.43048513968066</v>
      </c>
      <c r="F12" s="460">
        <v>125.6059920529691</v>
      </c>
      <c r="G12" s="460">
        <v>142.72041410614273</v>
      </c>
      <c r="H12" s="460">
        <v>150.47501379465854</v>
      </c>
      <c r="I12" s="460">
        <v>151.67102856320398</v>
      </c>
      <c r="J12" s="460">
        <v>152.09512879661821</v>
      </c>
    </row>
    <row r="13" spans="1:13" ht="15.75" x14ac:dyDescent="0.25">
      <c r="A13" s="496" t="s">
        <v>1715</v>
      </c>
      <c r="B13" s="496" t="s">
        <v>432</v>
      </c>
      <c r="C13" t="s">
        <v>1730</v>
      </c>
      <c r="D13" t="s">
        <v>1597</v>
      </c>
      <c r="E13" s="460">
        <v>66.74568128063629</v>
      </c>
      <c r="F13" s="460">
        <v>49.798802941485853</v>
      </c>
      <c r="G13" s="460">
        <v>68.536306506015123</v>
      </c>
      <c r="H13" s="460">
        <v>70.235035818362235</v>
      </c>
      <c r="I13" s="460">
        <v>71.243451239702637</v>
      </c>
      <c r="J13" s="460">
        <v>73.413124314346135</v>
      </c>
    </row>
    <row r="14" spans="1:13" ht="15.75" x14ac:dyDescent="0.25">
      <c r="A14" s="496" t="s">
        <v>1715</v>
      </c>
      <c r="B14" s="496" t="s">
        <v>432</v>
      </c>
      <c r="C14" t="s">
        <v>1731</v>
      </c>
      <c r="D14" t="s">
        <v>1597</v>
      </c>
      <c r="E14" s="460">
        <v>66.632402571207876</v>
      </c>
      <c r="F14" s="460">
        <v>55.764006875311573</v>
      </c>
      <c r="G14" s="460">
        <v>65.549042971187433</v>
      </c>
      <c r="H14" s="460">
        <v>64.464244215414354</v>
      </c>
      <c r="I14" s="460">
        <v>64.069756235671434</v>
      </c>
      <c r="J14" s="460">
        <v>61.900084483674064</v>
      </c>
    </row>
    <row r="15" spans="1:13" ht="15.75" x14ac:dyDescent="0.25">
      <c r="A15" s="496" t="s">
        <v>1715</v>
      </c>
      <c r="B15" s="496" t="s">
        <v>432</v>
      </c>
      <c r="C15" t="s">
        <v>1732</v>
      </c>
      <c r="D15" t="s">
        <v>1597</v>
      </c>
      <c r="E15" s="460">
        <v>16.052401287836481</v>
      </c>
      <c r="F15" s="460">
        <v>20.043182236171678</v>
      </c>
      <c r="G15" s="460">
        <v>8.635064628940162</v>
      </c>
      <c r="H15" s="460">
        <v>15.77573376088195</v>
      </c>
      <c r="I15" s="460">
        <v>16.357821087829894</v>
      </c>
      <c r="J15" s="460">
        <v>16.781919998598042</v>
      </c>
    </row>
    <row r="16" spans="1:13" ht="15.75" x14ac:dyDescent="0.25">
      <c r="A16" s="496" t="s">
        <v>1715</v>
      </c>
      <c r="B16" s="496" t="s">
        <v>432</v>
      </c>
      <c r="C16" t="s">
        <v>1733</v>
      </c>
      <c r="D16" t="s">
        <v>1597</v>
      </c>
      <c r="E16" s="460">
        <v>12.556445409073195</v>
      </c>
      <c r="F16" s="460">
        <v>16.52337639924443</v>
      </c>
      <c r="G16" s="460">
        <v>32.502115821569568</v>
      </c>
      <c r="H16" s="460">
        <v>40.640436632976275</v>
      </c>
      <c r="I16" s="460">
        <v>85.03915470424225</v>
      </c>
      <c r="J16" s="460">
        <v>109.49954936814724</v>
      </c>
    </row>
    <row r="17" spans="1:10" ht="15.75" x14ac:dyDescent="0.25">
      <c r="A17" s="496" t="s">
        <v>1715</v>
      </c>
      <c r="B17" s="496" t="s">
        <v>432</v>
      </c>
      <c r="C17" t="s">
        <v>1734</v>
      </c>
      <c r="D17" t="s">
        <v>1597</v>
      </c>
      <c r="E17" s="460">
        <v>0.52400645052679695</v>
      </c>
      <c r="F17" s="460">
        <v>0.5452985190332561</v>
      </c>
      <c r="G17" s="460">
        <v>1.9634150317843844</v>
      </c>
      <c r="H17" s="460">
        <v>4.1991889180145971</v>
      </c>
      <c r="I17" s="460">
        <v>9.5041920910227073</v>
      </c>
      <c r="J17" s="460">
        <v>15.481325535240977</v>
      </c>
    </row>
    <row r="18" spans="1:10" ht="15.75" x14ac:dyDescent="0.25">
      <c r="A18" s="496" t="s">
        <v>1715</v>
      </c>
      <c r="B18" s="496" t="s">
        <v>432</v>
      </c>
      <c r="C18" t="s">
        <v>1735</v>
      </c>
      <c r="D18" t="s">
        <v>1597</v>
      </c>
      <c r="E18" s="460">
        <v>18.873010638982194</v>
      </c>
      <c r="F18" s="460">
        <v>22.215986590574545</v>
      </c>
      <c r="G18" s="460">
        <v>28.22681884268755</v>
      </c>
      <c r="H18" s="460">
        <v>35.245449941297316</v>
      </c>
      <c r="I18" s="460">
        <v>43.084394207702921</v>
      </c>
      <c r="J18" s="460">
        <v>75.463925720066101</v>
      </c>
    </row>
    <row r="19" spans="1:10" ht="15.75" x14ac:dyDescent="0.25">
      <c r="A19" s="496" t="s">
        <v>1715</v>
      </c>
      <c r="B19" s="496" t="s">
        <v>432</v>
      </c>
      <c r="C19" t="s">
        <v>1736</v>
      </c>
      <c r="D19" t="s">
        <v>1597</v>
      </c>
      <c r="E19" s="460">
        <v>0</v>
      </c>
      <c r="F19" s="460">
        <v>0</v>
      </c>
      <c r="G19" s="460">
        <v>0</v>
      </c>
      <c r="H19" s="460">
        <v>5.7079319915365441E-3</v>
      </c>
      <c r="I19" s="460">
        <v>1.0546924738376788E-2</v>
      </c>
      <c r="J19" s="460">
        <v>56.994814813344618</v>
      </c>
    </row>
    <row r="20" spans="1:10" ht="15.75" x14ac:dyDescent="0.25">
      <c r="A20" s="496" t="s">
        <v>1715</v>
      </c>
      <c r="B20" s="496" t="s">
        <v>432</v>
      </c>
      <c r="C20" t="s">
        <v>1737</v>
      </c>
      <c r="D20" t="s">
        <v>1597</v>
      </c>
      <c r="E20" s="460">
        <v>779.73755289644362</v>
      </c>
      <c r="F20" s="460">
        <v>703.26632096006051</v>
      </c>
      <c r="G20" s="460">
        <v>616.21120788819553</v>
      </c>
      <c r="H20" s="460">
        <v>523.64250660754988</v>
      </c>
      <c r="I20" s="460">
        <v>309.78818517562974</v>
      </c>
      <c r="J20" s="460">
        <v>102.24264336937075</v>
      </c>
    </row>
    <row r="21" spans="1:10" ht="15.75" x14ac:dyDescent="0.25">
      <c r="A21" s="496" t="s">
        <v>1715</v>
      </c>
      <c r="B21" s="496" t="s">
        <v>432</v>
      </c>
      <c r="C21" t="s">
        <v>1738</v>
      </c>
      <c r="D21" t="s">
        <v>1597</v>
      </c>
      <c r="E21" s="460">
        <v>3.660003638551983</v>
      </c>
      <c r="F21" s="460">
        <v>3.5647196372867809</v>
      </c>
      <c r="G21" s="460">
        <v>7.5466653939697355E-3</v>
      </c>
      <c r="H21" s="460">
        <v>1.0382592179457621E-3</v>
      </c>
      <c r="I21" s="460">
        <v>5.7027724251660446E-4</v>
      </c>
      <c r="J21" s="460">
        <v>1.7811902983673941E-4</v>
      </c>
    </row>
    <row r="22" spans="1:10" ht="15.75" x14ac:dyDescent="0.25">
      <c r="A22" s="496" t="s">
        <v>1715</v>
      </c>
      <c r="B22" s="496" t="s">
        <v>432</v>
      </c>
      <c r="C22" t="s">
        <v>1739</v>
      </c>
      <c r="D22" t="s">
        <v>1597</v>
      </c>
      <c r="E22" s="460">
        <v>310.90487889706804</v>
      </c>
      <c r="F22" s="460">
        <v>288.89142224461381</v>
      </c>
      <c r="G22" s="460">
        <v>249.90622733022212</v>
      </c>
      <c r="H22" s="460">
        <v>179.65308008430077</v>
      </c>
      <c r="I22" s="460">
        <v>86.980936714901574</v>
      </c>
      <c r="J22" s="460">
        <v>22.796192433791681</v>
      </c>
    </row>
    <row r="23" spans="1:10" ht="15.75" x14ac:dyDescent="0.25">
      <c r="A23" s="496" t="s">
        <v>1715</v>
      </c>
      <c r="B23" s="496" t="s">
        <v>432</v>
      </c>
      <c r="C23" t="s">
        <v>1740</v>
      </c>
      <c r="D23" t="s">
        <v>1597</v>
      </c>
      <c r="E23" s="460">
        <v>303.86617575322549</v>
      </c>
      <c r="F23" s="460">
        <v>281.49160164676908</v>
      </c>
      <c r="G23" s="460">
        <v>243.13514239164948</v>
      </c>
      <c r="H23" s="460">
        <v>173.96876265258584</v>
      </c>
      <c r="I23" s="460">
        <v>78.461668429401172</v>
      </c>
      <c r="J23" s="460">
        <v>0</v>
      </c>
    </row>
    <row r="24" spans="1:10" ht="15.75" x14ac:dyDescent="0.25">
      <c r="A24" s="496" t="s">
        <v>1715</v>
      </c>
      <c r="B24" s="496" t="s">
        <v>432</v>
      </c>
      <c r="C24" t="s">
        <v>1741</v>
      </c>
      <c r="D24" t="s">
        <v>1597</v>
      </c>
      <c r="E24" s="460">
        <v>101.73650336363454</v>
      </c>
      <c r="F24" s="460">
        <v>90.977661160875044</v>
      </c>
      <c r="G24" s="460">
        <v>78.666458339507614</v>
      </c>
      <c r="H24" s="460">
        <v>68.422383060568578</v>
      </c>
      <c r="I24" s="460">
        <v>35.006202305912517</v>
      </c>
      <c r="J24" s="460">
        <v>0</v>
      </c>
    </row>
    <row r="25" spans="1:10" ht="15.75" x14ac:dyDescent="0.25">
      <c r="A25" s="496" t="s">
        <v>1715</v>
      </c>
      <c r="B25" s="496" t="s">
        <v>432</v>
      </c>
      <c r="C25" t="s">
        <v>1742</v>
      </c>
      <c r="D25" t="s">
        <v>1597</v>
      </c>
      <c r="E25" s="460">
        <v>2.7763705280300282</v>
      </c>
      <c r="F25" s="460">
        <v>3.3244305361355731E-4</v>
      </c>
      <c r="G25" s="460">
        <v>9.2907313803076963E-4</v>
      </c>
      <c r="H25" s="460">
        <v>4.5799214521971847E-4</v>
      </c>
      <c r="I25" s="460">
        <v>7.6000927092449298E-4</v>
      </c>
      <c r="J25" s="460">
        <v>0</v>
      </c>
    </row>
    <row r="26" spans="1:10" ht="15.75" x14ac:dyDescent="0.25">
      <c r="A26" s="496" t="s">
        <v>1715</v>
      </c>
      <c r="B26" s="496" t="s">
        <v>432</v>
      </c>
      <c r="C26" t="s">
        <v>1743</v>
      </c>
      <c r="D26" t="s">
        <v>1597</v>
      </c>
      <c r="E26" s="460">
        <v>118.71215290323464</v>
      </c>
      <c r="F26" s="460">
        <v>110.40180419873711</v>
      </c>
      <c r="G26" s="460">
        <v>89.047929504457372</v>
      </c>
      <c r="H26" s="460">
        <v>61.657622626589038</v>
      </c>
      <c r="I26" s="460">
        <v>36.411428109621212</v>
      </c>
      <c r="J26" s="460">
        <v>0</v>
      </c>
    </row>
    <row r="27" spans="1:10" ht="15.75" x14ac:dyDescent="0.25">
      <c r="A27" s="496" t="s">
        <v>1715</v>
      </c>
      <c r="B27" s="496" t="s">
        <v>432</v>
      </c>
      <c r="C27" t="s">
        <v>1744</v>
      </c>
      <c r="D27" t="s">
        <v>1597</v>
      </c>
      <c r="E27" s="460">
        <v>79.531763591947097</v>
      </c>
      <c r="F27" s="460">
        <v>78.706588960549581</v>
      </c>
      <c r="G27" s="460">
        <v>73.570866315230802</v>
      </c>
      <c r="H27" s="460">
        <v>41.318624441838054</v>
      </c>
      <c r="I27" s="460">
        <v>5.431057754471535</v>
      </c>
      <c r="J27" s="460">
        <v>0</v>
      </c>
    </row>
    <row r="28" spans="1:10" ht="15.75" x14ac:dyDescent="0.25">
      <c r="A28" s="496" t="s">
        <v>1715</v>
      </c>
      <c r="B28" s="496" t="s">
        <v>432</v>
      </c>
      <c r="C28" t="s">
        <v>1745</v>
      </c>
      <c r="D28" t="s">
        <v>1597</v>
      </c>
      <c r="E28" s="460">
        <v>1.1093853663791744</v>
      </c>
      <c r="F28" s="460">
        <v>1.4052148835537817</v>
      </c>
      <c r="G28" s="460">
        <v>1.8489591593156731</v>
      </c>
      <c r="H28" s="460">
        <v>2.5696745314449498</v>
      </c>
      <c r="I28" s="460">
        <v>1.6122202501249738</v>
      </c>
      <c r="J28" s="460">
        <v>0</v>
      </c>
    </row>
    <row r="29" spans="1:10" ht="15.75" x14ac:dyDescent="0.25">
      <c r="A29" s="496" t="s">
        <v>1715</v>
      </c>
      <c r="B29" s="496" t="s">
        <v>432</v>
      </c>
      <c r="C29" t="s">
        <v>1746</v>
      </c>
      <c r="D29" t="s">
        <v>1597</v>
      </c>
      <c r="E29" s="460">
        <v>7.0387031438425316</v>
      </c>
      <c r="F29" s="460">
        <v>7.3998205978447338</v>
      </c>
      <c r="G29" s="460">
        <v>6.7710849385726366</v>
      </c>
      <c r="H29" s="460">
        <v>5.684317431714919</v>
      </c>
      <c r="I29" s="460">
        <v>8.519268285500404</v>
      </c>
      <c r="J29" s="460">
        <v>22.796192433791681</v>
      </c>
    </row>
    <row r="30" spans="1:10" ht="15.75" x14ac:dyDescent="0.25">
      <c r="A30" s="496" t="s">
        <v>1715</v>
      </c>
      <c r="B30" s="496" t="s">
        <v>432</v>
      </c>
      <c r="C30" t="s">
        <v>1747</v>
      </c>
      <c r="D30" t="s">
        <v>1597</v>
      </c>
      <c r="E30" s="460">
        <v>2.6045521691188505</v>
      </c>
      <c r="F30" s="460">
        <v>2.8419574497411118</v>
      </c>
      <c r="G30" s="460">
        <v>2.513046528711659</v>
      </c>
      <c r="H30" s="460">
        <v>3.2912359013860049</v>
      </c>
      <c r="I30" s="460">
        <v>3.6522063143525227</v>
      </c>
      <c r="J30" s="460">
        <v>18.349858424733803</v>
      </c>
    </row>
    <row r="31" spans="1:10" ht="15.75" x14ac:dyDescent="0.25">
      <c r="A31" s="496" t="s">
        <v>1715</v>
      </c>
      <c r="B31" s="496" t="s">
        <v>432</v>
      </c>
      <c r="C31" t="s">
        <v>1748</v>
      </c>
      <c r="D31" t="s">
        <v>1597</v>
      </c>
      <c r="E31" s="460">
        <v>4.4341509747236811</v>
      </c>
      <c r="F31" s="460">
        <v>4.557863148103622</v>
      </c>
      <c r="G31" s="460">
        <v>4.258038409860978</v>
      </c>
      <c r="H31" s="460">
        <v>2.3930815303289141</v>
      </c>
      <c r="I31" s="460">
        <v>4.8670619711478809</v>
      </c>
      <c r="J31" s="460">
        <v>4.44633400905788</v>
      </c>
    </row>
    <row r="32" spans="1:10" ht="15.75" x14ac:dyDescent="0.25">
      <c r="A32" s="496" t="s">
        <v>1715</v>
      </c>
      <c r="B32" s="496" t="s">
        <v>432</v>
      </c>
      <c r="C32" t="s">
        <v>1749</v>
      </c>
      <c r="D32" t="s">
        <v>1597</v>
      </c>
      <c r="E32" s="460">
        <v>7.0387031438425316</v>
      </c>
      <c r="F32" s="460">
        <v>7.3998205978447338</v>
      </c>
      <c r="G32" s="460">
        <v>6.7710849385726366</v>
      </c>
      <c r="H32" s="460">
        <v>5.684317431714919</v>
      </c>
      <c r="I32" s="460">
        <v>7.8490990494896273</v>
      </c>
      <c r="J32" s="460">
        <v>8.0985403234104023</v>
      </c>
    </row>
    <row r="33" spans="1:10" ht="15.75" x14ac:dyDescent="0.25">
      <c r="A33" s="496" t="s">
        <v>1715</v>
      </c>
      <c r="B33" s="496" t="s">
        <v>432</v>
      </c>
      <c r="C33" t="s">
        <v>1750</v>
      </c>
      <c r="D33" t="s">
        <v>1597</v>
      </c>
      <c r="E33" s="460">
        <v>2.6045521691188505</v>
      </c>
      <c r="F33" s="460">
        <v>2.8419574497411118</v>
      </c>
      <c r="G33" s="460">
        <v>2.513046528711659</v>
      </c>
      <c r="H33" s="460">
        <v>3.2912359013860049</v>
      </c>
      <c r="I33" s="460">
        <v>3.2912359013860049</v>
      </c>
      <c r="J33" s="460">
        <v>3.6522063143525227</v>
      </c>
    </row>
    <row r="34" spans="1:10" ht="15.75" x14ac:dyDescent="0.25">
      <c r="A34" s="496" t="s">
        <v>1715</v>
      </c>
      <c r="B34" s="496" t="s">
        <v>432</v>
      </c>
      <c r="C34" t="s">
        <v>1751</v>
      </c>
      <c r="D34" t="s">
        <v>1597</v>
      </c>
      <c r="E34" s="460">
        <v>4.4341509747236811</v>
      </c>
      <c r="F34" s="460">
        <v>4.557863148103622</v>
      </c>
      <c r="G34" s="460">
        <v>4.258038409860978</v>
      </c>
      <c r="H34" s="460">
        <v>2.3930815303289141</v>
      </c>
      <c r="I34" s="460">
        <v>4.557863148103622</v>
      </c>
      <c r="J34" s="460">
        <v>4.44633400905788</v>
      </c>
    </row>
    <row r="35" spans="1:10" ht="15.75" x14ac:dyDescent="0.25">
      <c r="A35" s="496" t="s">
        <v>1715</v>
      </c>
      <c r="B35" s="496" t="s">
        <v>432</v>
      </c>
      <c r="C35" t="s">
        <v>1752</v>
      </c>
      <c r="D35" t="s">
        <v>1597</v>
      </c>
      <c r="E35" s="460">
        <v>0</v>
      </c>
      <c r="F35" s="460">
        <v>0</v>
      </c>
      <c r="G35" s="460">
        <v>0</v>
      </c>
      <c r="H35" s="460">
        <v>0</v>
      </c>
      <c r="I35" s="460">
        <v>0.67016923601077671</v>
      </c>
      <c r="J35" s="460">
        <v>14.697652110381281</v>
      </c>
    </row>
    <row r="36" spans="1:10" ht="15.75" x14ac:dyDescent="0.25">
      <c r="A36" s="496" t="s">
        <v>1715</v>
      </c>
      <c r="B36" s="496" t="s">
        <v>432</v>
      </c>
      <c r="C36" t="s">
        <v>1753</v>
      </c>
      <c r="D36" t="s">
        <v>1597</v>
      </c>
      <c r="E36" s="460">
        <v>0</v>
      </c>
      <c r="F36" s="460">
        <v>0</v>
      </c>
      <c r="G36" s="460">
        <v>0</v>
      </c>
      <c r="H36" s="460">
        <v>0</v>
      </c>
      <c r="I36" s="460">
        <v>0.36097041296651788</v>
      </c>
      <c r="J36" s="460">
        <v>14.697652110381281</v>
      </c>
    </row>
    <row r="37" spans="1:10" ht="15.75" x14ac:dyDescent="0.25">
      <c r="A37" s="496" t="s">
        <v>1715</v>
      </c>
      <c r="B37" s="496" t="s">
        <v>432</v>
      </c>
      <c r="C37" t="s">
        <v>1754</v>
      </c>
      <c r="D37" t="s">
        <v>1597</v>
      </c>
      <c r="E37" s="460">
        <v>0</v>
      </c>
      <c r="F37" s="460">
        <v>0</v>
      </c>
      <c r="G37" s="460">
        <v>0</v>
      </c>
      <c r="H37" s="460">
        <v>0</v>
      </c>
      <c r="I37" s="460">
        <v>0.30919882304425883</v>
      </c>
      <c r="J37" s="460">
        <v>0</v>
      </c>
    </row>
    <row r="38" spans="1:10" ht="15.75" x14ac:dyDescent="0.25">
      <c r="A38" s="496" t="s">
        <v>1715</v>
      </c>
      <c r="B38" s="496" t="s">
        <v>432</v>
      </c>
      <c r="C38" t="s">
        <v>1755</v>
      </c>
      <c r="D38" t="s">
        <v>1597</v>
      </c>
      <c r="E38" s="460">
        <v>0</v>
      </c>
      <c r="F38" s="460">
        <v>0</v>
      </c>
      <c r="G38" s="460">
        <v>0</v>
      </c>
      <c r="H38" s="460">
        <v>0</v>
      </c>
      <c r="I38" s="460">
        <v>0</v>
      </c>
      <c r="J38" s="460">
        <v>0</v>
      </c>
    </row>
    <row r="39" spans="1:10" ht="15.75" x14ac:dyDescent="0.25">
      <c r="A39" s="496" t="s">
        <v>1715</v>
      </c>
      <c r="B39" s="496" t="s">
        <v>432</v>
      </c>
      <c r="C39" t="s">
        <v>1756</v>
      </c>
      <c r="D39" t="s">
        <v>1597</v>
      </c>
      <c r="E39" s="460">
        <v>117.06448250609201</v>
      </c>
      <c r="F39" s="460">
        <v>107.23650231047064</v>
      </c>
      <c r="G39" s="460">
        <v>117.74642189213611</v>
      </c>
      <c r="H39" s="460">
        <v>112.30494803586646</v>
      </c>
      <c r="I39" s="460">
        <v>91.260212651619284</v>
      </c>
      <c r="J39" s="460">
        <v>55.812006616707173</v>
      </c>
    </row>
    <row r="40" spans="1:10" ht="15.75" x14ac:dyDescent="0.25">
      <c r="A40" s="496" t="s">
        <v>1715</v>
      </c>
      <c r="B40" s="496" t="s">
        <v>432</v>
      </c>
      <c r="C40" t="s">
        <v>1757</v>
      </c>
      <c r="D40" t="s">
        <v>1597</v>
      </c>
      <c r="E40" s="460">
        <v>117.06448250609201</v>
      </c>
      <c r="F40" s="460">
        <v>106.72000107787984</v>
      </c>
      <c r="G40" s="460">
        <v>116.57927949841333</v>
      </c>
      <c r="H40" s="460">
        <v>107.93863494560139</v>
      </c>
      <c r="I40" s="460">
        <v>83.032560599989395</v>
      </c>
      <c r="J40" s="460">
        <v>40.006226243918277</v>
      </c>
    </row>
    <row r="41" spans="1:10" ht="15.75" x14ac:dyDescent="0.25">
      <c r="A41" s="496" t="s">
        <v>1715</v>
      </c>
      <c r="B41" s="496" t="s">
        <v>432</v>
      </c>
      <c r="C41" t="s">
        <v>1758</v>
      </c>
      <c r="D41" t="s">
        <v>1597</v>
      </c>
      <c r="E41" s="460">
        <v>117.06448250609201</v>
      </c>
      <c r="F41" s="460">
        <v>106.72000107787984</v>
      </c>
      <c r="G41" s="460">
        <v>116.57927949841333</v>
      </c>
      <c r="H41" s="460">
        <v>107.93783585997606</v>
      </c>
      <c r="I41" s="460">
        <v>83.031650486237041</v>
      </c>
      <c r="J41" s="460">
        <v>40.005785953602242</v>
      </c>
    </row>
    <row r="42" spans="1:10" ht="15.75" x14ac:dyDescent="0.25">
      <c r="A42" s="496" t="s">
        <v>1715</v>
      </c>
      <c r="B42" s="496" t="s">
        <v>432</v>
      </c>
      <c r="C42" t="s">
        <v>1759</v>
      </c>
      <c r="D42" t="s">
        <v>1597</v>
      </c>
      <c r="E42" s="460">
        <v>0</v>
      </c>
      <c r="F42" s="460">
        <v>0</v>
      </c>
      <c r="G42" s="460">
        <v>0</v>
      </c>
      <c r="H42" s="460">
        <v>7.9908562533287071E-4</v>
      </c>
      <c r="I42" s="460">
        <v>9.1011375235952054E-4</v>
      </c>
      <c r="J42" s="460">
        <v>4.4029031603316727E-4</v>
      </c>
    </row>
    <row r="43" spans="1:10" ht="15.75" x14ac:dyDescent="0.25">
      <c r="A43" s="496" t="s">
        <v>1715</v>
      </c>
      <c r="B43" s="496" t="s">
        <v>432</v>
      </c>
      <c r="C43" t="s">
        <v>1760</v>
      </c>
      <c r="D43" t="s">
        <v>1597</v>
      </c>
      <c r="E43" s="460">
        <v>0</v>
      </c>
      <c r="F43" s="460">
        <v>0.51650123259080472</v>
      </c>
      <c r="G43" s="460">
        <v>1.1671423937227832</v>
      </c>
      <c r="H43" s="460">
        <v>4.3663130902650638</v>
      </c>
      <c r="I43" s="460">
        <v>8.227652051629887</v>
      </c>
      <c r="J43" s="460">
        <v>15.805780372788893</v>
      </c>
    </row>
    <row r="44" spans="1:10" ht="15.75" x14ac:dyDescent="0.25">
      <c r="A44" s="496" t="s">
        <v>1715</v>
      </c>
      <c r="B44" s="496" t="s">
        <v>432</v>
      </c>
      <c r="C44" t="s">
        <v>1761</v>
      </c>
      <c r="D44" t="s">
        <v>1597</v>
      </c>
      <c r="E44" s="460">
        <v>0</v>
      </c>
      <c r="F44" s="460">
        <v>0.51650123259080472</v>
      </c>
      <c r="G44" s="460">
        <v>1.1671423937227832</v>
      </c>
      <c r="H44" s="460">
        <v>4.3663130902650638</v>
      </c>
      <c r="I44" s="460">
        <v>4.3663130902650638</v>
      </c>
      <c r="J44" s="460">
        <v>8.227652051629887</v>
      </c>
    </row>
    <row r="45" spans="1:10" ht="15.75" x14ac:dyDescent="0.25">
      <c r="A45" s="496" t="s">
        <v>1715</v>
      </c>
      <c r="B45" s="496" t="s">
        <v>432</v>
      </c>
      <c r="C45" t="s">
        <v>1762</v>
      </c>
      <c r="D45" t="s">
        <v>1597</v>
      </c>
      <c r="E45" s="460">
        <v>0</v>
      </c>
      <c r="F45" s="460">
        <v>0.51650123259080472</v>
      </c>
      <c r="G45" s="460">
        <v>1.1671423937227832</v>
      </c>
      <c r="H45" s="460">
        <v>4.3663130902650638</v>
      </c>
      <c r="I45" s="460">
        <v>4.3663130902650638</v>
      </c>
      <c r="J45" s="460">
        <v>8.227652051629887</v>
      </c>
    </row>
    <row r="46" spans="1:10" ht="15.75" x14ac:dyDescent="0.25">
      <c r="A46" s="496" t="s">
        <v>1715</v>
      </c>
      <c r="B46" s="496" t="s">
        <v>432</v>
      </c>
      <c r="C46" t="s">
        <v>1763</v>
      </c>
      <c r="D46" t="s">
        <v>1597</v>
      </c>
      <c r="E46" s="460">
        <v>0</v>
      </c>
      <c r="F46" s="460">
        <v>0</v>
      </c>
      <c r="G46" s="460">
        <v>0</v>
      </c>
      <c r="H46" s="460">
        <v>0</v>
      </c>
      <c r="I46" s="460">
        <v>3.8613389613648232</v>
      </c>
      <c r="J46" s="460">
        <v>7.5781283211590065</v>
      </c>
    </row>
    <row r="47" spans="1:10" ht="15.75" x14ac:dyDescent="0.25">
      <c r="A47" s="496" t="s">
        <v>1715</v>
      </c>
      <c r="B47" s="496" t="s">
        <v>432</v>
      </c>
      <c r="C47" t="s">
        <v>1764</v>
      </c>
      <c r="D47" t="s">
        <v>1597</v>
      </c>
      <c r="E47" s="460">
        <v>0</v>
      </c>
      <c r="F47" s="460">
        <v>0</v>
      </c>
      <c r="G47" s="460">
        <v>0</v>
      </c>
      <c r="H47" s="460">
        <v>0</v>
      </c>
      <c r="I47" s="460">
        <v>3.8613389613648232</v>
      </c>
      <c r="J47" s="460">
        <v>7.5781283211590065</v>
      </c>
    </row>
    <row r="48" spans="1:10" ht="15.75" x14ac:dyDescent="0.25">
      <c r="A48" s="496" t="s">
        <v>1715</v>
      </c>
      <c r="B48" s="496" t="s">
        <v>432</v>
      </c>
      <c r="C48" t="s">
        <v>1765</v>
      </c>
      <c r="D48" t="s">
        <v>1597</v>
      </c>
      <c r="E48" s="460">
        <v>250.94818270805882</v>
      </c>
      <c r="F48" s="460">
        <v>253.29966796881013</v>
      </c>
      <c r="G48" s="460">
        <v>198.09954926011966</v>
      </c>
      <c r="H48" s="460">
        <v>205.57128715969901</v>
      </c>
      <c r="I48" s="460">
        <v>98.945499727854369</v>
      </c>
      <c r="J48" s="460">
        <v>0</v>
      </c>
    </row>
    <row r="49" spans="1:10" ht="15.75" x14ac:dyDescent="0.25">
      <c r="A49" s="496" t="s">
        <v>1715</v>
      </c>
      <c r="B49" s="496" t="s">
        <v>432</v>
      </c>
      <c r="C49" t="s">
        <v>1766</v>
      </c>
      <c r="D49" t="s">
        <v>1597</v>
      </c>
      <c r="E49" s="460">
        <v>97.160005146672646</v>
      </c>
      <c r="F49" s="460">
        <v>50.274008798879059</v>
      </c>
      <c r="G49" s="460">
        <v>50.451462740323677</v>
      </c>
      <c r="H49" s="460">
        <v>26.11215306846567</v>
      </c>
      <c r="I49" s="460">
        <v>25.41903229715863</v>
      </c>
      <c r="J49" s="460">
        <v>15.775768684140672</v>
      </c>
    </row>
    <row r="50" spans="1:10" ht="15.75" x14ac:dyDescent="0.25">
      <c r="A50" s="496" t="s">
        <v>1715</v>
      </c>
      <c r="B50" s="496" t="s">
        <v>432</v>
      </c>
      <c r="C50" t="s">
        <v>1767</v>
      </c>
      <c r="D50" t="s">
        <v>1597</v>
      </c>
      <c r="E50" s="460">
        <v>15.013806774386504</v>
      </c>
      <c r="F50" s="460">
        <v>8.2652158584592517</v>
      </c>
      <c r="G50" s="460">
        <v>5.8657895626439993</v>
      </c>
      <c r="H50" s="460">
        <v>2.3602455291067317</v>
      </c>
      <c r="I50" s="460">
        <v>4.3905908788049475</v>
      </c>
      <c r="J50" s="460">
        <v>5.0274696152688056</v>
      </c>
    </row>
    <row r="51" spans="1:10" ht="15.75" x14ac:dyDescent="0.25">
      <c r="A51" s="496" t="s">
        <v>1715</v>
      </c>
      <c r="B51" s="496" t="s">
        <v>432</v>
      </c>
      <c r="C51" t="s">
        <v>1768</v>
      </c>
      <c r="D51" t="s">
        <v>1597</v>
      </c>
      <c r="E51" s="460">
        <v>28.948622354007068</v>
      </c>
      <c r="F51" s="460">
        <v>21.494425731381668</v>
      </c>
      <c r="G51" s="460">
        <v>26.970317637446758</v>
      </c>
      <c r="H51" s="460">
        <v>13.4465674989601</v>
      </c>
      <c r="I51" s="460">
        <v>8.6838588652196353</v>
      </c>
      <c r="J51" s="460">
        <v>6.5772682217544256</v>
      </c>
    </row>
    <row r="52" spans="1:10" ht="15.75" x14ac:dyDescent="0.25">
      <c r="A52" s="496" t="s">
        <v>1715</v>
      </c>
      <c r="B52" s="496" t="s">
        <v>432</v>
      </c>
      <c r="C52" t="s">
        <v>1769</v>
      </c>
      <c r="D52" t="s">
        <v>1597</v>
      </c>
      <c r="E52" s="460">
        <v>46.398476841924939</v>
      </c>
      <c r="F52" s="460">
        <v>20.514066566135771</v>
      </c>
      <c r="G52" s="460">
        <v>17.615096773680488</v>
      </c>
      <c r="H52" s="460">
        <v>10.305239019253648</v>
      </c>
      <c r="I52" s="460">
        <v>12.344464708338466</v>
      </c>
      <c r="J52" s="460">
        <v>4.1709506407913306</v>
      </c>
    </row>
    <row r="53" spans="1:10" ht="15.75" x14ac:dyDescent="0.25">
      <c r="A53" s="496" t="s">
        <v>1715</v>
      </c>
      <c r="B53" s="496" t="s">
        <v>432</v>
      </c>
      <c r="C53" t="s">
        <v>1770</v>
      </c>
      <c r="D53" t="s">
        <v>1597</v>
      </c>
      <c r="E53" s="460">
        <v>6.7990991763541277</v>
      </c>
      <c r="F53" s="460">
        <v>3.0064290237038675E-4</v>
      </c>
      <c r="G53" s="460">
        <v>2.5876655243535745E-4</v>
      </c>
      <c r="H53" s="460">
        <v>1.0102114519057591E-4</v>
      </c>
      <c r="I53" s="460">
        <v>1.1784479558263493E-4</v>
      </c>
      <c r="J53" s="460">
        <v>8.0206326110666314E-5</v>
      </c>
    </row>
    <row r="54" spans="1:10" ht="15.75" x14ac:dyDescent="0.25">
      <c r="A54" s="496" t="s">
        <v>1715</v>
      </c>
      <c r="B54" s="496" t="s">
        <v>432</v>
      </c>
      <c r="C54" t="s">
        <v>1771</v>
      </c>
      <c r="D54" t="s">
        <v>1597</v>
      </c>
      <c r="E54" s="460">
        <v>0</v>
      </c>
      <c r="F54" s="460">
        <v>0</v>
      </c>
      <c r="G54" s="460">
        <v>0</v>
      </c>
      <c r="H54" s="460">
        <v>0</v>
      </c>
      <c r="I54" s="460">
        <v>7.1819335068533432</v>
      </c>
      <c r="J54" s="460">
        <v>7.8584975157013881</v>
      </c>
    </row>
    <row r="55" spans="1:10" ht="15.75" x14ac:dyDescent="0.25">
      <c r="A55" s="496" t="s">
        <v>1715</v>
      </c>
      <c r="B55" s="496" t="s">
        <v>432</v>
      </c>
      <c r="C55" t="s">
        <v>1772</v>
      </c>
      <c r="D55" t="s">
        <v>1597</v>
      </c>
      <c r="E55" s="460">
        <v>117.17000514395068</v>
      </c>
      <c r="F55" s="460">
        <v>35.572089657733478</v>
      </c>
      <c r="G55" s="460">
        <v>54.851179181267725</v>
      </c>
      <c r="H55" s="460">
        <v>31.0992088235968</v>
      </c>
      <c r="I55" s="460">
        <v>14.118026144447521</v>
      </c>
      <c r="J55" s="460">
        <v>21.360489497619696</v>
      </c>
    </row>
    <row r="56" spans="1:10" ht="15.75" x14ac:dyDescent="0.25">
      <c r="A56" s="496" t="s">
        <v>1715</v>
      </c>
      <c r="B56" s="496" t="s">
        <v>432</v>
      </c>
      <c r="C56" t="s">
        <v>1773</v>
      </c>
      <c r="D56" t="s">
        <v>1597</v>
      </c>
      <c r="E56" s="460">
        <v>117.17000514395068</v>
      </c>
      <c r="F56" s="460">
        <v>35.572089657733478</v>
      </c>
      <c r="G56" s="460">
        <v>54.851179181267725</v>
      </c>
      <c r="H56" s="460">
        <v>31.0992088235968</v>
      </c>
      <c r="I56" s="460">
        <v>14.118026144447521</v>
      </c>
      <c r="J56" s="460">
        <v>21.360489497619696</v>
      </c>
    </row>
    <row r="57" spans="1:10" ht="15.75" x14ac:dyDescent="0.25">
      <c r="A57" s="496" t="s">
        <v>1715</v>
      </c>
      <c r="B57" s="496" t="s">
        <v>432</v>
      </c>
      <c r="C57" t="s">
        <v>1774</v>
      </c>
      <c r="D57" t="s">
        <v>1597</v>
      </c>
      <c r="E57" s="460">
        <v>6.2295557548344807</v>
      </c>
      <c r="F57" s="460">
        <v>4.7186324970329308E-4</v>
      </c>
      <c r="G57" s="460">
        <v>5.0914369366940988E-4</v>
      </c>
      <c r="H57" s="460">
        <v>9.0184204018766849E-5</v>
      </c>
      <c r="I57" s="460">
        <v>8.6343679313903194E-5</v>
      </c>
      <c r="J57" s="460">
        <v>6.6742965459689346E-5</v>
      </c>
    </row>
    <row r="58" spans="1:10" ht="15.75" x14ac:dyDescent="0.25">
      <c r="A58" s="496" t="s">
        <v>1715</v>
      </c>
      <c r="B58" s="496" t="s">
        <v>432</v>
      </c>
      <c r="C58" t="s">
        <v>1775</v>
      </c>
      <c r="D58" t="s">
        <v>1597</v>
      </c>
      <c r="E58" s="460">
        <v>12.753359830308236</v>
      </c>
      <c r="F58" s="460">
        <v>3.4992908974997765E-4</v>
      </c>
      <c r="G58" s="460">
        <v>3.3034012519584142E-4</v>
      </c>
      <c r="H58" s="460">
        <v>1.4831045216185618E-4</v>
      </c>
      <c r="I58" s="460">
        <v>3.5636646093858791E-4</v>
      </c>
      <c r="J58" s="460">
        <v>2.6621448892288972E-4</v>
      </c>
    </row>
    <row r="59" spans="1:10" ht="15.75" x14ac:dyDescent="0.25">
      <c r="A59" s="496" t="s">
        <v>1715</v>
      </c>
      <c r="B59" s="496" t="s">
        <v>432</v>
      </c>
      <c r="C59" t="s">
        <v>1776</v>
      </c>
      <c r="D59" t="s">
        <v>1597</v>
      </c>
      <c r="E59" s="460">
        <v>26.492980540755646</v>
      </c>
      <c r="F59" s="460">
        <v>2.7614484119482108E-4</v>
      </c>
      <c r="G59" s="460">
        <v>2.9660680743120473E-4</v>
      </c>
      <c r="H59" s="460">
        <v>1.7905697319030379E-4</v>
      </c>
      <c r="I59" s="460">
        <v>5.2335369991851025E-4</v>
      </c>
      <c r="J59" s="460">
        <v>1.7473874183297967E-4</v>
      </c>
    </row>
    <row r="60" spans="1:10" ht="15.75" x14ac:dyDescent="0.25">
      <c r="A60" s="496" t="s">
        <v>1715</v>
      </c>
      <c r="B60" s="496" t="s">
        <v>432</v>
      </c>
      <c r="C60" t="s">
        <v>1777</v>
      </c>
      <c r="D60" t="s">
        <v>1597</v>
      </c>
      <c r="E60" s="460">
        <v>71.694109018052316</v>
      </c>
      <c r="F60" s="460">
        <v>35.570991720552833</v>
      </c>
      <c r="G60" s="460">
        <v>54.850043090641428</v>
      </c>
      <c r="H60" s="460">
        <v>31.098791271967428</v>
      </c>
      <c r="I60" s="460">
        <v>14.117060080607351</v>
      </c>
      <c r="J60" s="460">
        <v>21.35998180142348</v>
      </c>
    </row>
    <row r="61" spans="1:10" ht="15.75" x14ac:dyDescent="0.25">
      <c r="A61" s="496" t="s">
        <v>1715</v>
      </c>
      <c r="B61" s="496" t="s">
        <v>432</v>
      </c>
      <c r="C61" t="s">
        <v>1596</v>
      </c>
      <c r="D61" t="s">
        <v>1597</v>
      </c>
      <c r="E61" s="460">
        <v>251.15974913531713</v>
      </c>
      <c r="F61" s="460">
        <v>229.28859458410537</v>
      </c>
      <c r="G61" s="460">
        <v>249.15450565989127</v>
      </c>
      <c r="H61" s="460">
        <v>272.11694390398208</v>
      </c>
      <c r="I61" s="460">
        <v>285.36130417483457</v>
      </c>
      <c r="J61" s="460">
        <v>349.81258430225506</v>
      </c>
    </row>
    <row r="62" spans="1:10" ht="15.75" x14ac:dyDescent="0.25">
      <c r="A62" s="496" t="s">
        <v>1715</v>
      </c>
      <c r="B62" s="496" t="s">
        <v>432</v>
      </c>
      <c r="C62" t="s">
        <v>1598</v>
      </c>
      <c r="D62" t="s">
        <v>1597</v>
      </c>
      <c r="E62" s="460">
        <v>82.760003858631563</v>
      </c>
      <c r="F62" s="460">
        <v>82.759959009598447</v>
      </c>
      <c r="G62" s="460">
        <v>64.4498411087731</v>
      </c>
      <c r="H62" s="460">
        <v>67.854316798941682</v>
      </c>
      <c r="I62" s="460">
        <v>32.820800106541007</v>
      </c>
      <c r="J62" s="460">
        <v>0</v>
      </c>
    </row>
    <row r="63" spans="1:10" ht="15.75" x14ac:dyDescent="0.25">
      <c r="A63" s="496" t="s">
        <v>1715</v>
      </c>
      <c r="B63" s="496" t="s">
        <v>432</v>
      </c>
      <c r="C63" t="s">
        <v>1599</v>
      </c>
      <c r="D63" t="s">
        <v>1597</v>
      </c>
      <c r="E63" s="460">
        <v>82.760003858631563</v>
      </c>
      <c r="F63" s="460">
        <v>82.759959009598447</v>
      </c>
      <c r="G63" s="460">
        <v>64.4498411087731</v>
      </c>
      <c r="H63" s="460">
        <v>67.854316798941682</v>
      </c>
      <c r="I63" s="460">
        <v>32.820800106541007</v>
      </c>
      <c r="J63" s="460">
        <v>0</v>
      </c>
    </row>
    <row r="64" spans="1:10" ht="15.75" x14ac:dyDescent="0.25">
      <c r="A64" s="496" t="s">
        <v>1715</v>
      </c>
      <c r="B64" s="496" t="s">
        <v>432</v>
      </c>
      <c r="C64" t="s">
        <v>1600</v>
      </c>
      <c r="D64" t="s">
        <v>1597</v>
      </c>
      <c r="E64" s="460">
        <v>146.22000453808073</v>
      </c>
      <c r="F64" s="460">
        <v>121.59735526170277</v>
      </c>
      <c r="G64" s="460">
        <v>140.99340083658058</v>
      </c>
      <c r="H64" s="460">
        <v>147.3198666981406</v>
      </c>
      <c r="I64" s="460">
        <v>148.39946397944206</v>
      </c>
      <c r="J64" s="460">
        <v>148.73874444854897</v>
      </c>
    </row>
    <row r="65" spans="1:10" ht="15.75" x14ac:dyDescent="0.25">
      <c r="A65" s="496" t="s">
        <v>1715</v>
      </c>
      <c r="B65" s="496" t="s">
        <v>432</v>
      </c>
      <c r="C65" t="s">
        <v>1601</v>
      </c>
      <c r="D65" t="s">
        <v>1597</v>
      </c>
      <c r="E65" s="460">
        <v>66.74568128063629</v>
      </c>
      <c r="F65" s="460">
        <v>49.798802941485853</v>
      </c>
      <c r="G65" s="460">
        <v>68.536306506015123</v>
      </c>
      <c r="H65" s="460">
        <v>70.235035818362235</v>
      </c>
      <c r="I65" s="460">
        <v>71.243451239702637</v>
      </c>
      <c r="J65" s="460">
        <v>73.413124314346135</v>
      </c>
    </row>
    <row r="66" spans="1:10" ht="15.75" x14ac:dyDescent="0.25">
      <c r="A66" s="496" t="s">
        <v>1715</v>
      </c>
      <c r="B66" s="496" t="s">
        <v>432</v>
      </c>
      <c r="C66" t="s">
        <v>1602</v>
      </c>
      <c r="D66" t="s">
        <v>1597</v>
      </c>
      <c r="E66" s="460">
        <v>66.632402571207876</v>
      </c>
      <c r="F66" s="460">
        <v>55.764006875311573</v>
      </c>
      <c r="G66" s="460">
        <v>65.549042971187433</v>
      </c>
      <c r="H66" s="460">
        <v>64.464244215414354</v>
      </c>
      <c r="I66" s="460">
        <v>64.069756235671434</v>
      </c>
      <c r="J66" s="460">
        <v>61.900084483674064</v>
      </c>
    </row>
    <row r="67" spans="1:10" ht="15.75" x14ac:dyDescent="0.25">
      <c r="A67" s="496" t="s">
        <v>1715</v>
      </c>
      <c r="B67" s="496" t="s">
        <v>432</v>
      </c>
      <c r="C67" t="s">
        <v>1603</v>
      </c>
      <c r="D67" t="s">
        <v>1597</v>
      </c>
      <c r="E67" s="460">
        <v>12.84192068623655</v>
      </c>
      <c r="F67" s="460">
        <v>16.034545444905348</v>
      </c>
      <c r="G67" s="460">
        <v>6.9080513593780326</v>
      </c>
      <c r="H67" s="460">
        <v>12.620586664364021</v>
      </c>
      <c r="I67" s="460">
        <v>13.086256504067995</v>
      </c>
      <c r="J67" s="460">
        <v>13.425535650528778</v>
      </c>
    </row>
    <row r="68" spans="1:10" ht="15.75" x14ac:dyDescent="0.25">
      <c r="A68" s="496" t="s">
        <v>1715</v>
      </c>
      <c r="B68" s="496" t="s">
        <v>432</v>
      </c>
      <c r="C68" t="s">
        <v>1604</v>
      </c>
      <c r="D68" t="s">
        <v>1597</v>
      </c>
      <c r="E68" s="460">
        <v>0.11190514491468914</v>
      </c>
      <c r="F68" s="460">
        <v>0.17153283724677335</v>
      </c>
      <c r="G68" s="460">
        <v>5.7074084152636366E-3</v>
      </c>
      <c r="H68" s="460">
        <v>0.17153273680105602</v>
      </c>
      <c r="I68" s="460">
        <v>6.1065392863539122E-3</v>
      </c>
      <c r="J68" s="460">
        <v>9.376396756929251E-4</v>
      </c>
    </row>
    <row r="69" spans="1:10" ht="15.75" x14ac:dyDescent="0.25">
      <c r="A69" s="496" t="s">
        <v>1715</v>
      </c>
      <c r="B69" s="496" t="s">
        <v>432</v>
      </c>
      <c r="C69" t="s">
        <v>1605</v>
      </c>
      <c r="D69" t="s">
        <v>1597</v>
      </c>
      <c r="E69" s="460">
        <v>3.9601290114625959E-2</v>
      </c>
      <c r="F69" s="460">
        <v>8.1665383957241067E-5</v>
      </c>
      <c r="G69" s="460">
        <v>1.7700108026130811E-3</v>
      </c>
      <c r="H69" s="460">
        <v>3.3659382579824754E-4</v>
      </c>
      <c r="I69" s="460">
        <v>8.5400593118091831E-4</v>
      </c>
      <c r="J69" s="460">
        <v>2.4917661985917893E-6</v>
      </c>
    </row>
    <row r="70" spans="1:10" ht="15.75" x14ac:dyDescent="0.25">
      <c r="A70" s="496" t="s">
        <v>1715</v>
      </c>
      <c r="B70" s="496" t="s">
        <v>432</v>
      </c>
      <c r="C70" t="s">
        <v>1606</v>
      </c>
      <c r="D70" t="s">
        <v>1597</v>
      </c>
      <c r="E70" s="460">
        <v>1.8012901199942629E-3</v>
      </c>
      <c r="F70" s="460">
        <v>5.2452175735991187E-5</v>
      </c>
      <c r="G70" s="460">
        <v>5.8961872897474871E-4</v>
      </c>
      <c r="H70" s="460">
        <v>1.5255767469008453E-4</v>
      </c>
      <c r="I70" s="460">
        <v>1.7376802257830921E-4</v>
      </c>
      <c r="J70" s="460">
        <v>0</v>
      </c>
    </row>
    <row r="71" spans="1:10" ht="15.75" x14ac:dyDescent="0.25">
      <c r="A71" s="496" t="s">
        <v>1715</v>
      </c>
      <c r="B71" s="496" t="s">
        <v>432</v>
      </c>
      <c r="C71" t="s">
        <v>1607</v>
      </c>
      <c r="D71" t="s">
        <v>1597</v>
      </c>
      <c r="E71" s="460">
        <v>7.0502564680068922E-2</v>
      </c>
      <c r="F71" s="460">
        <v>0.17139871968708012</v>
      </c>
      <c r="G71" s="460">
        <v>3.3477788836758066E-3</v>
      </c>
      <c r="H71" s="460">
        <v>0.17104358530056768</v>
      </c>
      <c r="I71" s="460">
        <v>5.0787653325946851E-3</v>
      </c>
      <c r="J71" s="460">
        <v>9.3514790949433336E-4</v>
      </c>
    </row>
    <row r="72" spans="1:10" ht="15.75" x14ac:dyDescent="0.25">
      <c r="A72" s="496" t="s">
        <v>1715</v>
      </c>
      <c r="B72" s="496" t="s">
        <v>432</v>
      </c>
      <c r="C72" t="s">
        <v>1608</v>
      </c>
      <c r="D72" t="s">
        <v>1597</v>
      </c>
      <c r="E72" s="460">
        <v>0.11190514491468914</v>
      </c>
      <c r="F72" s="460">
        <v>0.17153283724677335</v>
      </c>
      <c r="G72" s="460">
        <v>5.7074084152636366E-3</v>
      </c>
      <c r="H72" s="460">
        <v>0.17153273680105602</v>
      </c>
      <c r="I72" s="460">
        <v>6.1065392863539122E-3</v>
      </c>
      <c r="J72" s="460">
        <v>9.376396756929251E-4</v>
      </c>
    </row>
    <row r="73" spans="1:10" ht="15.75" x14ac:dyDescent="0.25">
      <c r="A73" s="496" t="s">
        <v>1715</v>
      </c>
      <c r="B73" s="496" t="s">
        <v>432</v>
      </c>
      <c r="C73" t="s">
        <v>1609</v>
      </c>
      <c r="D73" t="s">
        <v>1597</v>
      </c>
      <c r="E73" s="460">
        <v>3.9601290114625959E-2</v>
      </c>
      <c r="F73" s="460">
        <v>8.1665383957241067E-5</v>
      </c>
      <c r="G73" s="460">
        <v>1.7700108026130811E-3</v>
      </c>
      <c r="H73" s="460">
        <v>3.3659382579824754E-4</v>
      </c>
      <c r="I73" s="460">
        <v>8.5400593118091831E-4</v>
      </c>
      <c r="J73" s="460">
        <v>2.4917661985917893E-6</v>
      </c>
    </row>
    <row r="74" spans="1:10" ht="15.75" x14ac:dyDescent="0.25">
      <c r="A74" s="496" t="s">
        <v>1715</v>
      </c>
      <c r="B74" s="496" t="s">
        <v>432</v>
      </c>
      <c r="C74" t="s">
        <v>1610</v>
      </c>
      <c r="D74" t="s">
        <v>1597</v>
      </c>
      <c r="E74" s="460">
        <v>1.8012901199942629E-3</v>
      </c>
      <c r="F74" s="460">
        <v>5.2452175735991187E-5</v>
      </c>
      <c r="G74" s="460">
        <v>5.8961872897474871E-4</v>
      </c>
      <c r="H74" s="460">
        <v>1.5255767469008453E-4</v>
      </c>
      <c r="I74" s="460">
        <v>1.7376802257830921E-4</v>
      </c>
      <c r="J74" s="460">
        <v>0</v>
      </c>
    </row>
    <row r="75" spans="1:10" ht="15.75" x14ac:dyDescent="0.25">
      <c r="A75" s="496" t="s">
        <v>1715</v>
      </c>
      <c r="B75" s="496" t="s">
        <v>432</v>
      </c>
      <c r="C75" t="s">
        <v>1611</v>
      </c>
      <c r="D75" t="s">
        <v>1597</v>
      </c>
      <c r="E75" s="460">
        <v>7.0502564680068922E-2</v>
      </c>
      <c r="F75" s="460">
        <v>0.17139871968708012</v>
      </c>
      <c r="G75" s="460">
        <v>3.3477788836758066E-3</v>
      </c>
      <c r="H75" s="460">
        <v>0.17104358530056768</v>
      </c>
      <c r="I75" s="460">
        <v>5.0787653325946851E-3</v>
      </c>
      <c r="J75" s="460">
        <v>9.3514790949433336E-4</v>
      </c>
    </row>
    <row r="76" spans="1:10" ht="15.75" x14ac:dyDescent="0.25">
      <c r="A76" s="496" t="s">
        <v>1715</v>
      </c>
      <c r="B76" s="496" t="s">
        <v>432</v>
      </c>
      <c r="C76" t="s">
        <v>1612</v>
      </c>
      <c r="D76" t="s">
        <v>1597</v>
      </c>
      <c r="E76" s="460">
        <v>0</v>
      </c>
      <c r="F76" s="460">
        <v>0</v>
      </c>
      <c r="G76" s="460">
        <v>0</v>
      </c>
      <c r="H76" s="460">
        <v>0</v>
      </c>
      <c r="I76" s="460">
        <v>0</v>
      </c>
      <c r="J76" s="460">
        <v>0</v>
      </c>
    </row>
    <row r="77" spans="1:10" ht="15.75" x14ac:dyDescent="0.25">
      <c r="A77" s="496" t="s">
        <v>1715</v>
      </c>
      <c r="B77" s="496" t="s">
        <v>432</v>
      </c>
      <c r="C77" t="s">
        <v>1613</v>
      </c>
      <c r="D77" t="s">
        <v>1597</v>
      </c>
      <c r="E77" s="460">
        <v>0</v>
      </c>
      <c r="F77" s="460">
        <v>0</v>
      </c>
      <c r="G77" s="460">
        <v>0</v>
      </c>
      <c r="H77" s="460">
        <v>0</v>
      </c>
      <c r="I77" s="460">
        <v>0</v>
      </c>
      <c r="J77" s="460">
        <v>0</v>
      </c>
    </row>
    <row r="78" spans="1:10" ht="15.75" x14ac:dyDescent="0.25">
      <c r="A78" s="496" t="s">
        <v>1715</v>
      </c>
      <c r="B78" s="496" t="s">
        <v>432</v>
      </c>
      <c r="C78" t="s">
        <v>1614</v>
      </c>
      <c r="D78" t="s">
        <v>1597</v>
      </c>
      <c r="E78" s="460">
        <v>0</v>
      </c>
      <c r="F78" s="460">
        <v>0</v>
      </c>
      <c r="G78" s="460">
        <v>0</v>
      </c>
      <c r="H78" s="460">
        <v>0</v>
      </c>
      <c r="I78" s="460">
        <v>0</v>
      </c>
      <c r="J78" s="460">
        <v>0</v>
      </c>
    </row>
    <row r="79" spans="1:10" ht="15.75" x14ac:dyDescent="0.25">
      <c r="A79" s="496" t="s">
        <v>1715</v>
      </c>
      <c r="B79" s="496" t="s">
        <v>432</v>
      </c>
      <c r="C79" t="s">
        <v>1615</v>
      </c>
      <c r="D79" t="s">
        <v>1597</v>
      </c>
      <c r="E79" s="460">
        <v>0</v>
      </c>
      <c r="F79" s="460">
        <v>0</v>
      </c>
      <c r="G79" s="460">
        <v>0</v>
      </c>
      <c r="H79" s="460">
        <v>0</v>
      </c>
      <c r="I79" s="460">
        <v>0</v>
      </c>
      <c r="J79" s="460">
        <v>0</v>
      </c>
    </row>
    <row r="80" spans="1:10" ht="15.75" x14ac:dyDescent="0.25">
      <c r="A80" s="496" t="s">
        <v>1715</v>
      </c>
      <c r="B80" s="496" t="s">
        <v>432</v>
      </c>
      <c r="C80" t="s">
        <v>1616</v>
      </c>
      <c r="D80" t="s">
        <v>1597</v>
      </c>
      <c r="E80" s="460">
        <v>3.2312430135625525</v>
      </c>
      <c r="F80" s="460">
        <v>1.8295654582089824</v>
      </c>
      <c r="G80" s="460">
        <v>2.1529453558913785</v>
      </c>
      <c r="H80" s="460">
        <v>3.8457368461112069</v>
      </c>
      <c r="I80" s="460">
        <v>4.8206198563481966</v>
      </c>
      <c r="J80" s="460">
        <v>3.9584336925833981</v>
      </c>
    </row>
    <row r="81" spans="1:10" ht="15.75" x14ac:dyDescent="0.25">
      <c r="A81" s="496" t="s">
        <v>1715</v>
      </c>
      <c r="B81" s="496" t="s">
        <v>432</v>
      </c>
      <c r="C81" t="s">
        <v>1617</v>
      </c>
      <c r="D81" t="s">
        <v>1597</v>
      </c>
      <c r="E81" s="460">
        <v>0</v>
      </c>
      <c r="F81" s="460">
        <v>0</v>
      </c>
      <c r="G81" s="460">
        <v>0</v>
      </c>
      <c r="H81" s="460">
        <v>0</v>
      </c>
      <c r="I81" s="460">
        <v>0.11447421873467692</v>
      </c>
      <c r="J81" s="460">
        <v>8.7379003912983863E-4</v>
      </c>
    </row>
    <row r="82" spans="1:10" ht="15.75" x14ac:dyDescent="0.25">
      <c r="A82" s="496" t="s">
        <v>1715</v>
      </c>
      <c r="B82" s="496" t="s">
        <v>432</v>
      </c>
      <c r="C82" t="s">
        <v>1618</v>
      </c>
      <c r="D82" t="s">
        <v>1597</v>
      </c>
      <c r="E82" s="460">
        <v>0</v>
      </c>
      <c r="F82" s="460">
        <v>3.3420197663263729E-4</v>
      </c>
      <c r="G82" s="460">
        <v>3.4869897619521288E-3</v>
      </c>
      <c r="H82" s="460">
        <v>2.0026174466740774E-3</v>
      </c>
      <c r="I82" s="460">
        <v>0.11043091934175965</v>
      </c>
      <c r="J82" s="460">
        <v>5.5357971546224419E-3</v>
      </c>
    </row>
    <row r="83" spans="1:10" ht="15.75" x14ac:dyDescent="0.25">
      <c r="A83" s="496" t="s">
        <v>1715</v>
      </c>
      <c r="B83" s="496" t="s">
        <v>432</v>
      </c>
      <c r="C83" t="s">
        <v>1619</v>
      </c>
      <c r="D83" t="s">
        <v>1597</v>
      </c>
      <c r="E83" s="460">
        <v>0</v>
      </c>
      <c r="F83" s="460">
        <v>0</v>
      </c>
      <c r="G83" s="460">
        <v>0</v>
      </c>
      <c r="H83" s="460">
        <v>0</v>
      </c>
      <c r="I83" s="460">
        <v>5.1278830306387352E-3</v>
      </c>
      <c r="J83" s="460">
        <v>4.5019336386489866E-3</v>
      </c>
    </row>
    <row r="84" spans="1:10" ht="15.75" x14ac:dyDescent="0.25">
      <c r="A84" s="496" t="s">
        <v>1715</v>
      </c>
      <c r="B84" s="496" t="s">
        <v>432</v>
      </c>
      <c r="C84" t="s">
        <v>1620</v>
      </c>
      <c r="D84" t="s">
        <v>1597</v>
      </c>
      <c r="E84" s="460">
        <v>0.96588128998204181</v>
      </c>
      <c r="F84" s="460">
        <v>3.3072367241833732E-4</v>
      </c>
      <c r="G84" s="460">
        <v>3.5713555461828138E-3</v>
      </c>
      <c r="H84" s="460">
        <v>9.8300055315384618E-3</v>
      </c>
      <c r="I84" s="460">
        <v>3.0595071416524107E-3</v>
      </c>
      <c r="J84" s="460">
        <v>2.4360538496409281E-4</v>
      </c>
    </row>
    <row r="85" spans="1:10" ht="15.75" x14ac:dyDescent="0.25">
      <c r="A85" s="496" t="s">
        <v>1715</v>
      </c>
      <c r="B85" s="496" t="s">
        <v>432</v>
      </c>
      <c r="C85" t="s">
        <v>1621</v>
      </c>
      <c r="D85" t="s">
        <v>1597</v>
      </c>
      <c r="E85" s="460">
        <v>0</v>
      </c>
      <c r="F85" s="460">
        <v>0</v>
      </c>
      <c r="G85" s="460">
        <v>0</v>
      </c>
      <c r="H85" s="460">
        <v>0</v>
      </c>
      <c r="I85" s="460">
        <v>7.9598370858577731E-3</v>
      </c>
      <c r="J85" s="460">
        <v>6.5533576675761362E-4</v>
      </c>
    </row>
    <row r="86" spans="1:10" ht="15.75" x14ac:dyDescent="0.25">
      <c r="A86" s="496" t="s">
        <v>1715</v>
      </c>
      <c r="B86" s="496" t="s">
        <v>432</v>
      </c>
      <c r="C86" t="s">
        <v>1622</v>
      </c>
      <c r="D86" t="s">
        <v>1597</v>
      </c>
      <c r="E86" s="460">
        <v>0.66996258014531263</v>
      </c>
      <c r="F86" s="460">
        <v>9.0209884490108971E-2</v>
      </c>
      <c r="G86" s="460">
        <v>4.9848721060392218E-2</v>
      </c>
      <c r="H86" s="460">
        <v>3.9708549414057888E-2</v>
      </c>
      <c r="I86" s="460">
        <v>0.2725124221630274</v>
      </c>
      <c r="J86" s="460">
        <v>9.5822450199570752E-2</v>
      </c>
    </row>
    <row r="87" spans="1:10" ht="15.75" x14ac:dyDescent="0.25">
      <c r="A87" s="496" t="s">
        <v>1715</v>
      </c>
      <c r="B87" s="496" t="s">
        <v>432</v>
      </c>
      <c r="C87" t="s">
        <v>1623</v>
      </c>
      <c r="D87" t="s">
        <v>1597</v>
      </c>
      <c r="E87" s="460">
        <v>0</v>
      </c>
      <c r="F87" s="460">
        <v>0</v>
      </c>
      <c r="G87" s="460">
        <v>0</v>
      </c>
      <c r="H87" s="460">
        <v>0</v>
      </c>
      <c r="I87" s="460">
        <v>7.4009043741240205E-2</v>
      </c>
      <c r="J87" s="460">
        <v>5.540967002716285E-2</v>
      </c>
    </row>
    <row r="88" spans="1:10" ht="15.75" x14ac:dyDescent="0.25">
      <c r="A88" s="496" t="s">
        <v>1715</v>
      </c>
      <c r="B88" s="496" t="s">
        <v>432</v>
      </c>
      <c r="C88" t="s">
        <v>1624</v>
      </c>
      <c r="D88" t="s">
        <v>1597</v>
      </c>
      <c r="E88" s="460">
        <v>0</v>
      </c>
      <c r="F88" s="460">
        <v>0</v>
      </c>
      <c r="G88" s="460">
        <v>0</v>
      </c>
      <c r="H88" s="460">
        <v>4.084450253403584E-4</v>
      </c>
      <c r="I88" s="460">
        <v>3.8537762105343631E-3</v>
      </c>
      <c r="J88" s="460">
        <v>5.4474160153970678E-4</v>
      </c>
    </row>
    <row r="89" spans="1:10" ht="15.75" x14ac:dyDescent="0.25">
      <c r="A89" s="496" t="s">
        <v>1715</v>
      </c>
      <c r="B89" s="496" t="s">
        <v>432</v>
      </c>
      <c r="C89" t="s">
        <v>1625</v>
      </c>
      <c r="D89" t="s">
        <v>1597</v>
      </c>
      <c r="E89" s="460">
        <v>1.3782691518325792E-2</v>
      </c>
      <c r="F89" s="460">
        <v>3.5822364155824807E-3</v>
      </c>
      <c r="G89" s="460">
        <v>1.1247129813524603E-2</v>
      </c>
      <c r="H89" s="460">
        <v>1.0582349774177298E-2</v>
      </c>
      <c r="I89" s="460">
        <v>1.9242032508663832E-2</v>
      </c>
      <c r="J89" s="460">
        <v>3.9317042033922306E-2</v>
      </c>
    </row>
    <row r="90" spans="1:10" ht="15.75" x14ac:dyDescent="0.25">
      <c r="A90" s="496" t="s">
        <v>1715</v>
      </c>
      <c r="B90" s="496" t="s">
        <v>432</v>
      </c>
      <c r="C90" t="s">
        <v>1626</v>
      </c>
      <c r="D90" t="s">
        <v>1597</v>
      </c>
      <c r="E90" s="460">
        <v>0</v>
      </c>
      <c r="F90" s="460">
        <v>0</v>
      </c>
      <c r="G90" s="460">
        <v>0</v>
      </c>
      <c r="H90" s="460">
        <v>1.7381073005706042E-4</v>
      </c>
      <c r="I90" s="460">
        <v>5.6026507537151405E-4</v>
      </c>
      <c r="J90" s="460">
        <v>3.7377116183807512E-4</v>
      </c>
    </row>
    <row r="91" spans="1:10" ht="15.75" x14ac:dyDescent="0.25">
      <c r="A91" s="496" t="s">
        <v>1715</v>
      </c>
      <c r="B91" s="496" t="s">
        <v>432</v>
      </c>
      <c r="C91" t="s">
        <v>1627</v>
      </c>
      <c r="D91" t="s">
        <v>1597</v>
      </c>
      <c r="E91" s="460">
        <v>2.7851287636193458E-2</v>
      </c>
      <c r="F91" s="460">
        <v>3.2295297100463013E-3</v>
      </c>
      <c r="G91" s="460">
        <v>1.2645189387647693E-2</v>
      </c>
      <c r="H91" s="460">
        <v>0.24892786147562715</v>
      </c>
      <c r="I91" s="460">
        <v>0.55679249026155619</v>
      </c>
      <c r="J91" s="460">
        <v>0.54045017147007901</v>
      </c>
    </row>
    <row r="92" spans="1:10" ht="15.75" x14ac:dyDescent="0.25">
      <c r="A92" s="496" t="s">
        <v>1715</v>
      </c>
      <c r="B92" s="496" t="s">
        <v>432</v>
      </c>
      <c r="C92" t="s">
        <v>1628</v>
      </c>
      <c r="D92" t="s">
        <v>1597</v>
      </c>
      <c r="E92" s="460">
        <v>0</v>
      </c>
      <c r="F92" s="460">
        <v>0</v>
      </c>
      <c r="G92" s="460">
        <v>0</v>
      </c>
      <c r="H92" s="460">
        <v>7.428362323896728E-4</v>
      </c>
      <c r="I92" s="460">
        <v>2.90181417040037E-3</v>
      </c>
      <c r="J92" s="460">
        <v>1.9196719409987917E-3</v>
      </c>
    </row>
    <row r="93" spans="1:10" ht="15.75" x14ac:dyDescent="0.25">
      <c r="A93" s="496" t="s">
        <v>1715</v>
      </c>
      <c r="B93" s="496" t="s">
        <v>432</v>
      </c>
      <c r="C93" t="s">
        <v>1629</v>
      </c>
      <c r="D93" t="s">
        <v>1597</v>
      </c>
      <c r="E93" s="460">
        <v>0.95936658411303422</v>
      </c>
      <c r="F93" s="460">
        <v>1.1059936321453565</v>
      </c>
      <c r="G93" s="460">
        <v>1.6310840657776589</v>
      </c>
      <c r="H93" s="460">
        <v>1.6310950157819053</v>
      </c>
      <c r="I93" s="460">
        <v>1.8036856829952284</v>
      </c>
      <c r="J93" s="460">
        <v>3.2097072696099178</v>
      </c>
    </row>
    <row r="94" spans="1:10" ht="15.75" x14ac:dyDescent="0.25">
      <c r="A94" s="496" t="s">
        <v>1715</v>
      </c>
      <c r="B94" s="496" t="s">
        <v>432</v>
      </c>
      <c r="C94" t="s">
        <v>1630</v>
      </c>
      <c r="D94" t="s">
        <v>1597</v>
      </c>
      <c r="E94" s="460">
        <v>0.59439858016764446</v>
      </c>
      <c r="F94" s="460">
        <v>0.6258852497988372</v>
      </c>
      <c r="G94" s="460">
        <v>0.44106190454402011</v>
      </c>
      <c r="H94" s="460">
        <v>1.9017457071818735</v>
      </c>
      <c r="I94" s="460">
        <v>1.8434833434400679</v>
      </c>
      <c r="J94" s="460">
        <v>2.6996409495379202E-3</v>
      </c>
    </row>
    <row r="95" spans="1:10" ht="15.75" x14ac:dyDescent="0.25">
      <c r="A95" s="496" t="s">
        <v>1715</v>
      </c>
      <c r="B95" s="496" t="s">
        <v>432</v>
      </c>
      <c r="C95" t="s">
        <v>1631</v>
      </c>
      <c r="D95" t="s">
        <v>1597</v>
      </c>
      <c r="E95" s="460">
        <v>0</v>
      </c>
      <c r="F95" s="460">
        <v>0</v>
      </c>
      <c r="G95" s="460">
        <v>0</v>
      </c>
      <c r="H95" s="460">
        <v>5.1964751756613473E-4</v>
      </c>
      <c r="I95" s="460">
        <v>2.526620447520929E-3</v>
      </c>
      <c r="J95" s="460">
        <v>3.7880160470742287E-4</v>
      </c>
    </row>
    <row r="96" spans="1:10" ht="15.75" x14ac:dyDescent="0.25">
      <c r="A96" s="496" t="s">
        <v>1715</v>
      </c>
      <c r="B96" s="496" t="s">
        <v>432</v>
      </c>
      <c r="C96" t="s">
        <v>1632</v>
      </c>
      <c r="D96" t="s">
        <v>1597</v>
      </c>
      <c r="E96" s="460">
        <v>2.2133281696425584</v>
      </c>
      <c r="F96" s="460">
        <v>0.67109604474284068</v>
      </c>
      <c r="G96" s="460">
        <v>0.45208055885523502</v>
      </c>
      <c r="H96" s="460">
        <v>2.2107255077754377</v>
      </c>
      <c r="I96" s="460">
        <v>2.9048073109366905</v>
      </c>
      <c r="J96" s="460">
        <v>0.61223603425155559</v>
      </c>
    </row>
    <row r="97" spans="1:10" ht="15.75" x14ac:dyDescent="0.25">
      <c r="A97" s="496" t="s">
        <v>1715</v>
      </c>
      <c r="B97" s="496" t="s">
        <v>432</v>
      </c>
      <c r="C97" t="s">
        <v>1633</v>
      </c>
      <c r="D97" t="s">
        <v>1597</v>
      </c>
      <c r="E97" s="460">
        <v>0</v>
      </c>
      <c r="F97" s="460">
        <v>0</v>
      </c>
      <c r="G97" s="460">
        <v>0</v>
      </c>
      <c r="H97" s="460">
        <v>0</v>
      </c>
      <c r="I97" s="460">
        <v>0.11021968938907681</v>
      </c>
      <c r="J97" s="460">
        <v>7.1450096044535115E-4</v>
      </c>
    </row>
    <row r="98" spans="1:10" ht="15.75" x14ac:dyDescent="0.25">
      <c r="A98" s="496" t="s">
        <v>1715</v>
      </c>
      <c r="B98" s="496" t="s">
        <v>432</v>
      </c>
      <c r="C98" t="s">
        <v>1634</v>
      </c>
      <c r="D98" t="s">
        <v>1597</v>
      </c>
      <c r="E98" s="460">
        <v>0</v>
      </c>
      <c r="F98" s="460">
        <v>3.0996456272149037E-4</v>
      </c>
      <c r="G98" s="460">
        <v>3.0207265995189736E-3</v>
      </c>
      <c r="H98" s="460">
        <v>1.9990760632477536E-3</v>
      </c>
      <c r="I98" s="460">
        <v>0.10632666257377882</v>
      </c>
      <c r="J98" s="460">
        <v>4.5266393603516962E-3</v>
      </c>
    </row>
    <row r="99" spans="1:10" ht="15.75" x14ac:dyDescent="0.25">
      <c r="A99" s="496" t="s">
        <v>1715</v>
      </c>
      <c r="B99" s="496" t="s">
        <v>432</v>
      </c>
      <c r="C99" t="s">
        <v>1635</v>
      </c>
      <c r="D99" t="s">
        <v>1597</v>
      </c>
      <c r="E99" s="460">
        <v>0</v>
      </c>
      <c r="F99" s="460">
        <v>0</v>
      </c>
      <c r="G99" s="460">
        <v>0</v>
      </c>
      <c r="H99" s="460">
        <v>0</v>
      </c>
      <c r="I99" s="460">
        <v>4.9373010019880467E-3</v>
      </c>
      <c r="J99" s="460">
        <v>3.6812457966209056E-3</v>
      </c>
    </row>
    <row r="100" spans="1:10" ht="15.75" x14ac:dyDescent="0.25">
      <c r="A100" s="496" t="s">
        <v>1715</v>
      </c>
      <c r="B100" s="496" t="s">
        <v>432</v>
      </c>
      <c r="C100" t="s">
        <v>1636</v>
      </c>
      <c r="D100" t="s">
        <v>1597</v>
      </c>
      <c r="E100" s="460">
        <v>0.94098967705120451</v>
      </c>
      <c r="F100" s="460">
        <v>3.0673851643756028E-4</v>
      </c>
      <c r="G100" s="460">
        <v>3.0938114050138533E-3</v>
      </c>
      <c r="H100" s="460">
        <v>9.8126223719500558E-3</v>
      </c>
      <c r="I100" s="460">
        <v>2.9457980195364262E-3</v>
      </c>
      <c r="J100" s="460">
        <v>1.9919691657258677E-4</v>
      </c>
    </row>
    <row r="101" spans="1:10" ht="15.75" x14ac:dyDescent="0.25">
      <c r="A101" s="496" t="s">
        <v>1715</v>
      </c>
      <c r="B101" s="496" t="s">
        <v>432</v>
      </c>
      <c r="C101" t="s">
        <v>1637</v>
      </c>
      <c r="D101" t="s">
        <v>1597</v>
      </c>
      <c r="E101" s="460">
        <v>0</v>
      </c>
      <c r="F101" s="460">
        <v>0</v>
      </c>
      <c r="G101" s="460">
        <v>0</v>
      </c>
      <c r="H101" s="460">
        <v>0</v>
      </c>
      <c r="I101" s="460">
        <v>7.6640031344029956E-3</v>
      </c>
      <c r="J101" s="460">
        <v>5.3587019054234018E-4</v>
      </c>
    </row>
    <row r="102" spans="1:10" ht="15.75" x14ac:dyDescent="0.25">
      <c r="A102" s="496" t="s">
        <v>1715</v>
      </c>
      <c r="B102" s="496" t="s">
        <v>432</v>
      </c>
      <c r="C102" t="s">
        <v>1638</v>
      </c>
      <c r="D102" t="s">
        <v>1597</v>
      </c>
      <c r="E102" s="460">
        <v>0.65269705342263196</v>
      </c>
      <c r="F102" s="460">
        <v>8.3667570374274386E-2</v>
      </c>
      <c r="G102" s="460">
        <v>4.3183194657511491E-2</v>
      </c>
      <c r="H102" s="460">
        <v>3.9638329712830454E-2</v>
      </c>
      <c r="I102" s="460">
        <v>0.26238427182534829</v>
      </c>
      <c r="J102" s="460">
        <v>7.8354329568692538E-2</v>
      </c>
    </row>
    <row r="103" spans="1:10" ht="15.75" x14ac:dyDescent="0.25">
      <c r="A103" s="496" t="s">
        <v>1715</v>
      </c>
      <c r="B103" s="496" t="s">
        <v>432</v>
      </c>
      <c r="C103" t="s">
        <v>1639</v>
      </c>
      <c r="D103" t="s">
        <v>1597</v>
      </c>
      <c r="E103" s="460">
        <v>0</v>
      </c>
      <c r="F103" s="460">
        <v>0</v>
      </c>
      <c r="G103" s="460">
        <v>0</v>
      </c>
      <c r="H103" s="460">
        <v>0</v>
      </c>
      <c r="I103" s="460">
        <v>7.125843620779454E-2</v>
      </c>
      <c r="J103" s="460">
        <v>4.530866761973356E-2</v>
      </c>
    </row>
    <row r="104" spans="1:10" ht="15.75" x14ac:dyDescent="0.25">
      <c r="A104" s="496" t="s">
        <v>1715</v>
      </c>
      <c r="B104" s="496" t="s">
        <v>432</v>
      </c>
      <c r="C104" t="s">
        <v>1640</v>
      </c>
      <c r="D104" t="s">
        <v>1597</v>
      </c>
      <c r="E104" s="460">
        <v>0</v>
      </c>
      <c r="F104" s="460">
        <v>0</v>
      </c>
      <c r="G104" s="460">
        <v>0</v>
      </c>
      <c r="H104" s="460">
        <v>4.077227403898767E-4</v>
      </c>
      <c r="I104" s="460">
        <v>3.7105474192805354E-3</v>
      </c>
      <c r="J104" s="460">
        <v>4.4543698149988219E-4</v>
      </c>
    </row>
    <row r="105" spans="1:10" ht="15.75" x14ac:dyDescent="0.25">
      <c r="A105" s="496" t="s">
        <v>1715</v>
      </c>
      <c r="B105" s="496" t="s">
        <v>432</v>
      </c>
      <c r="C105" t="s">
        <v>1641</v>
      </c>
      <c r="D105" t="s">
        <v>1597</v>
      </c>
      <c r="E105" s="460">
        <v>1.3427499398986076E-2</v>
      </c>
      <c r="F105" s="460">
        <v>3.3224409840686359E-3</v>
      </c>
      <c r="G105" s="460">
        <v>9.7432187976762581E-3</v>
      </c>
      <c r="H105" s="460">
        <v>1.0563636186035901E-2</v>
      </c>
      <c r="I105" s="460">
        <v>1.8526886400815335E-2</v>
      </c>
      <c r="J105" s="460">
        <v>3.2149673304908734E-2</v>
      </c>
    </row>
    <row r="106" spans="1:10" ht="15.75" x14ac:dyDescent="0.25">
      <c r="A106" s="496" t="s">
        <v>1715</v>
      </c>
      <c r="B106" s="496" t="s">
        <v>432</v>
      </c>
      <c r="C106" t="s">
        <v>1642</v>
      </c>
      <c r="D106" t="s">
        <v>1597</v>
      </c>
      <c r="E106" s="460">
        <v>0</v>
      </c>
      <c r="F106" s="460">
        <v>0</v>
      </c>
      <c r="G106" s="460">
        <v>0</v>
      </c>
      <c r="H106" s="460">
        <v>1.7350336709077668E-4</v>
      </c>
      <c r="I106" s="460">
        <v>5.3944235886092828E-4</v>
      </c>
      <c r="J106" s="460">
        <v>3.0563389620008743E-4</v>
      </c>
    </row>
    <row r="107" spans="1:10" ht="15.75" x14ac:dyDescent="0.25">
      <c r="A107" s="496" t="s">
        <v>1715</v>
      </c>
      <c r="B107" s="496" t="s">
        <v>432</v>
      </c>
      <c r="C107" t="s">
        <v>1643</v>
      </c>
      <c r="D107" t="s">
        <v>1597</v>
      </c>
      <c r="E107" s="460">
        <v>2.7133535383762487E-2</v>
      </c>
      <c r="F107" s="460">
        <v>2.9953137155467216E-3</v>
      </c>
      <c r="G107" s="460">
        <v>1.095433670497448E-2</v>
      </c>
      <c r="H107" s="460">
        <v>0.2484876630720608</v>
      </c>
      <c r="I107" s="460">
        <v>0.53609883525860691</v>
      </c>
      <c r="J107" s="460">
        <v>0.44192786515714311</v>
      </c>
    </row>
    <row r="108" spans="1:10" ht="15.75" x14ac:dyDescent="0.25">
      <c r="A108" s="496" t="s">
        <v>1715</v>
      </c>
      <c r="B108" s="496" t="s">
        <v>432</v>
      </c>
      <c r="C108" t="s">
        <v>1644</v>
      </c>
      <c r="D108" t="s">
        <v>1597</v>
      </c>
      <c r="E108" s="460">
        <v>0</v>
      </c>
      <c r="F108" s="460">
        <v>0</v>
      </c>
      <c r="G108" s="460">
        <v>0</v>
      </c>
      <c r="H108" s="460">
        <v>7.4152261758709203E-4</v>
      </c>
      <c r="I108" s="460">
        <v>2.7939658384361112E-3</v>
      </c>
      <c r="J108" s="460">
        <v>1.5697219974600985E-3</v>
      </c>
    </row>
    <row r="109" spans="1:10" ht="15.75" x14ac:dyDescent="0.25">
      <c r="A109" s="496" t="s">
        <v>1715</v>
      </c>
      <c r="B109" s="496" t="s">
        <v>432</v>
      </c>
      <c r="C109" t="s">
        <v>1645</v>
      </c>
      <c r="D109" t="s">
        <v>1597</v>
      </c>
      <c r="E109" s="460">
        <v>0</v>
      </c>
      <c r="F109" s="460">
        <v>0</v>
      </c>
      <c r="G109" s="460">
        <v>0</v>
      </c>
      <c r="H109" s="460">
        <v>0</v>
      </c>
      <c r="I109" s="460">
        <v>0</v>
      </c>
      <c r="J109" s="460">
        <v>0</v>
      </c>
    </row>
    <row r="110" spans="1:10" ht="15.75" x14ac:dyDescent="0.25">
      <c r="A110" s="496" t="s">
        <v>1715</v>
      </c>
      <c r="B110" s="496" t="s">
        <v>432</v>
      </c>
      <c r="C110" t="s">
        <v>1646</v>
      </c>
      <c r="D110" t="s">
        <v>1597</v>
      </c>
      <c r="E110" s="460">
        <v>0.57908040438597319</v>
      </c>
      <c r="F110" s="460">
        <v>0.58049401658979172</v>
      </c>
      <c r="G110" s="460">
        <v>0.38208527069053977</v>
      </c>
      <c r="H110" s="460">
        <v>1.8983827030596028</v>
      </c>
      <c r="I110" s="460">
        <v>1.77496875500711</v>
      </c>
      <c r="J110" s="460">
        <v>2.2075051956684348E-3</v>
      </c>
    </row>
    <row r="111" spans="1:10" ht="15.75" x14ac:dyDescent="0.25">
      <c r="A111" s="496" t="s">
        <v>1715</v>
      </c>
      <c r="B111" s="496" t="s">
        <v>432</v>
      </c>
      <c r="C111" t="s">
        <v>1647</v>
      </c>
      <c r="D111" t="s">
        <v>1597</v>
      </c>
      <c r="E111" s="460">
        <v>0</v>
      </c>
      <c r="F111" s="460">
        <v>0</v>
      </c>
      <c r="G111" s="460">
        <v>0</v>
      </c>
      <c r="H111" s="460">
        <v>5.1872858464197826E-4</v>
      </c>
      <c r="I111" s="460">
        <v>2.4327165016544282E-3</v>
      </c>
      <c r="J111" s="460">
        <v>3.0974730571571178E-4</v>
      </c>
    </row>
    <row r="112" spans="1:10" ht="15.75" x14ac:dyDescent="0.25">
      <c r="A112" s="496" t="s">
        <v>1715</v>
      </c>
      <c r="B112" s="496" t="s">
        <v>432</v>
      </c>
      <c r="C112" t="s">
        <v>1648</v>
      </c>
      <c r="D112" t="s">
        <v>1597</v>
      </c>
      <c r="E112" s="460">
        <v>1.0179148439199941</v>
      </c>
      <c r="F112" s="460">
        <v>1.1584694134661417</v>
      </c>
      <c r="G112" s="460">
        <v>1.7008647970361435</v>
      </c>
      <c r="H112" s="460">
        <v>1.6350113383357694</v>
      </c>
      <c r="I112" s="460">
        <v>1.9158125454115063</v>
      </c>
      <c r="J112" s="460">
        <v>3.3461976583318425</v>
      </c>
    </row>
    <row r="113" spans="1:10" ht="15.75" x14ac:dyDescent="0.25">
      <c r="A113" s="496" t="s">
        <v>1715</v>
      </c>
      <c r="B113" s="496" t="s">
        <v>432</v>
      </c>
      <c r="C113" t="s">
        <v>1649</v>
      </c>
      <c r="D113" t="s">
        <v>1597</v>
      </c>
      <c r="E113" s="460">
        <v>0</v>
      </c>
      <c r="F113" s="460">
        <v>0</v>
      </c>
      <c r="G113" s="460">
        <v>0</v>
      </c>
      <c r="H113" s="460">
        <v>0</v>
      </c>
      <c r="I113" s="460">
        <v>4.2545293456001144E-3</v>
      </c>
      <c r="J113" s="460">
        <v>1.5928907868448751E-4</v>
      </c>
    </row>
    <row r="114" spans="1:10" ht="15.75" x14ac:dyDescent="0.25">
      <c r="A114" s="496" t="s">
        <v>1715</v>
      </c>
      <c r="B114" s="496" t="s">
        <v>432</v>
      </c>
      <c r="C114" t="s">
        <v>1650</v>
      </c>
      <c r="D114" t="s">
        <v>1597</v>
      </c>
      <c r="E114" s="460">
        <v>0</v>
      </c>
      <c r="F114" s="460">
        <v>2.4237413911146919E-5</v>
      </c>
      <c r="G114" s="460">
        <v>4.6626316243315516E-4</v>
      </c>
      <c r="H114" s="460">
        <v>3.5413834263238409E-6</v>
      </c>
      <c r="I114" s="460">
        <v>4.1042567679808297E-3</v>
      </c>
      <c r="J114" s="460">
        <v>1.0091577942707454E-3</v>
      </c>
    </row>
    <row r="115" spans="1:10" ht="15.75" x14ac:dyDescent="0.25">
      <c r="A115" s="496" t="s">
        <v>1715</v>
      </c>
      <c r="B115" s="496" t="s">
        <v>432</v>
      </c>
      <c r="C115" t="s">
        <v>1651</v>
      </c>
      <c r="D115" t="s">
        <v>1597</v>
      </c>
      <c r="E115" s="460">
        <v>0</v>
      </c>
      <c r="F115" s="460">
        <v>0</v>
      </c>
      <c r="G115" s="460">
        <v>0</v>
      </c>
      <c r="H115" s="460">
        <v>0</v>
      </c>
      <c r="I115" s="460">
        <v>1.9058202865068823E-4</v>
      </c>
      <c r="J115" s="460">
        <v>8.206878420280809E-4</v>
      </c>
    </row>
    <row r="116" spans="1:10" ht="15.75" x14ac:dyDescent="0.25">
      <c r="A116" s="496" t="s">
        <v>1715</v>
      </c>
      <c r="B116" s="496" t="s">
        <v>432</v>
      </c>
      <c r="C116" t="s">
        <v>1652</v>
      </c>
      <c r="D116" t="s">
        <v>1597</v>
      </c>
      <c r="E116" s="460">
        <v>2.48916129308373E-2</v>
      </c>
      <c r="F116" s="460">
        <v>2.3985155980777029E-5</v>
      </c>
      <c r="G116" s="460">
        <v>4.7754414116896036E-4</v>
      </c>
      <c r="H116" s="460">
        <v>1.738315958840618E-5</v>
      </c>
      <c r="I116" s="460">
        <v>1.1370912211598457E-4</v>
      </c>
      <c r="J116" s="460">
        <v>4.4408468391506027E-5</v>
      </c>
    </row>
    <row r="117" spans="1:10" ht="15.75" x14ac:dyDescent="0.25">
      <c r="A117" s="496" t="s">
        <v>1715</v>
      </c>
      <c r="B117" s="496" t="s">
        <v>432</v>
      </c>
      <c r="C117" t="s">
        <v>1653</v>
      </c>
      <c r="D117" t="s">
        <v>1597</v>
      </c>
      <c r="E117" s="460">
        <v>0</v>
      </c>
      <c r="F117" s="460">
        <v>0</v>
      </c>
      <c r="G117" s="460">
        <v>0</v>
      </c>
      <c r="H117" s="460">
        <v>0</v>
      </c>
      <c r="I117" s="460">
        <v>2.958339514547775E-4</v>
      </c>
      <c r="J117" s="460">
        <v>1.1946557621527341E-4</v>
      </c>
    </row>
    <row r="118" spans="1:10" ht="15.75" x14ac:dyDescent="0.25">
      <c r="A118" s="496" t="s">
        <v>1715</v>
      </c>
      <c r="B118" s="496" t="s">
        <v>432</v>
      </c>
      <c r="C118" t="s">
        <v>1654</v>
      </c>
      <c r="D118" t="s">
        <v>1597</v>
      </c>
      <c r="E118" s="460">
        <v>1.7265526722680634E-2</v>
      </c>
      <c r="F118" s="460">
        <v>6.5423141158345872E-3</v>
      </c>
      <c r="G118" s="460">
        <v>6.6655264028807277E-3</v>
      </c>
      <c r="H118" s="460">
        <v>7.0219701227436699E-5</v>
      </c>
      <c r="I118" s="460">
        <v>1.0128150337679082E-2</v>
      </c>
      <c r="J118" s="460">
        <v>1.7468120630878207E-2</v>
      </c>
    </row>
    <row r="119" spans="1:10" x14ac:dyDescent="0.25">
      <c r="A119" t="s">
        <v>1715</v>
      </c>
      <c r="B119" t="s">
        <v>432</v>
      </c>
      <c r="C119" t="s">
        <v>1655</v>
      </c>
      <c r="D119" t="s">
        <v>1597</v>
      </c>
      <c r="E119">
        <v>0</v>
      </c>
      <c r="F119">
        <v>0</v>
      </c>
      <c r="G119">
        <v>0</v>
      </c>
      <c r="H119">
        <v>0</v>
      </c>
      <c r="I119">
        <v>2.7506075334456622E-3</v>
      </c>
      <c r="J119">
        <v>1.010100240742929E-2</v>
      </c>
    </row>
    <row r="120" spans="1:10" x14ac:dyDescent="0.25">
      <c r="A120" t="s">
        <v>1715</v>
      </c>
      <c r="B120" t="s">
        <v>432</v>
      </c>
      <c r="C120" t="s">
        <v>1656</v>
      </c>
      <c r="D120" t="s">
        <v>1597</v>
      </c>
      <c r="E120">
        <v>0</v>
      </c>
      <c r="F120">
        <v>0</v>
      </c>
      <c r="G120">
        <v>0</v>
      </c>
      <c r="H120">
        <v>7.2228495048169598E-7</v>
      </c>
      <c r="I120">
        <v>1.432287912538277E-4</v>
      </c>
      <c r="J120">
        <v>9.9304620039824602E-5</v>
      </c>
    </row>
    <row r="121" spans="1:10" x14ac:dyDescent="0.25">
      <c r="A121" t="s">
        <v>1715</v>
      </c>
      <c r="B121" t="s">
        <v>432</v>
      </c>
      <c r="C121" t="s">
        <v>1657</v>
      </c>
      <c r="D121" t="s">
        <v>1597</v>
      </c>
      <c r="E121">
        <v>3.5519211933971562E-4</v>
      </c>
      <c r="F121">
        <v>2.5979543151384484E-4</v>
      </c>
      <c r="G121">
        <v>1.5039110158483447E-3</v>
      </c>
      <c r="H121">
        <v>1.8713588141396288E-5</v>
      </c>
      <c r="I121">
        <v>7.1514610784849668E-4</v>
      </c>
      <c r="J121">
        <v>7.1673687290135747E-3</v>
      </c>
    </row>
    <row r="122" spans="1:10" x14ac:dyDescent="0.25">
      <c r="A122" t="s">
        <v>1715</v>
      </c>
      <c r="B122" t="s">
        <v>432</v>
      </c>
      <c r="C122" t="s">
        <v>1658</v>
      </c>
      <c r="D122" t="s">
        <v>1597</v>
      </c>
      <c r="E122">
        <v>0</v>
      </c>
      <c r="F122">
        <v>0</v>
      </c>
      <c r="G122">
        <v>0</v>
      </c>
      <c r="H122">
        <v>3.0736296628374347E-7</v>
      </c>
      <c r="I122">
        <v>2.0822716510585789E-5</v>
      </c>
      <c r="J122">
        <v>6.8137265637987682E-5</v>
      </c>
    </row>
    <row r="123" spans="1:10" x14ac:dyDescent="0.25">
      <c r="A123" t="s">
        <v>1715</v>
      </c>
      <c r="B123" t="s">
        <v>432</v>
      </c>
      <c r="C123" t="s">
        <v>1659</v>
      </c>
      <c r="D123" t="s">
        <v>1597</v>
      </c>
      <c r="E123">
        <v>7.1775225243097076E-4</v>
      </c>
      <c r="F123">
        <v>2.342159944995799E-4</v>
      </c>
      <c r="G123">
        <v>1.6908526826732132E-3</v>
      </c>
      <c r="H123">
        <v>4.4019840356633702E-4</v>
      </c>
      <c r="I123">
        <v>2.0693655002949275E-2</v>
      </c>
      <c r="J123">
        <v>9.8522306312935876E-2</v>
      </c>
    </row>
    <row r="124" spans="1:10" x14ac:dyDescent="0.25">
      <c r="A124" t="s">
        <v>1715</v>
      </c>
      <c r="B124" t="s">
        <v>432</v>
      </c>
      <c r="C124" t="s">
        <v>1660</v>
      </c>
      <c r="D124" t="s">
        <v>1597</v>
      </c>
      <c r="E124">
        <v>0</v>
      </c>
      <c r="F124">
        <v>0</v>
      </c>
      <c r="G124">
        <v>0</v>
      </c>
      <c r="H124">
        <v>1.3136148025807992E-6</v>
      </c>
      <c r="I124">
        <v>1.0784833196425893E-4</v>
      </c>
      <c r="J124">
        <v>3.4994994353869304E-4</v>
      </c>
    </row>
    <row r="125" spans="1:10" x14ac:dyDescent="0.25">
      <c r="A125" t="s">
        <v>1715</v>
      </c>
      <c r="B125" t="s">
        <v>432</v>
      </c>
      <c r="C125" t="s">
        <v>1661</v>
      </c>
      <c r="D125" t="s">
        <v>1597</v>
      </c>
      <c r="E125">
        <v>0.95936658411303422</v>
      </c>
      <c r="F125">
        <v>1.1059936321453565</v>
      </c>
      <c r="G125">
        <v>1.6310840657776589</v>
      </c>
      <c r="H125">
        <v>1.6310950157819053</v>
      </c>
      <c r="I125">
        <v>1.8036856829952284</v>
      </c>
      <c r="J125">
        <v>3.2097072696099178</v>
      </c>
    </row>
    <row r="126" spans="1:10" x14ac:dyDescent="0.25">
      <c r="A126" t="s">
        <v>1715</v>
      </c>
      <c r="B126" t="s">
        <v>432</v>
      </c>
      <c r="C126" t="s">
        <v>1662</v>
      </c>
      <c r="D126" t="s">
        <v>1597</v>
      </c>
      <c r="E126">
        <v>1.5318175781671221E-2</v>
      </c>
      <c r="F126">
        <v>4.5391233209045465E-2</v>
      </c>
      <c r="G126">
        <v>5.8976633853480322E-2</v>
      </c>
      <c r="H126">
        <v>3.3630041222708264E-3</v>
      </c>
      <c r="I126">
        <v>6.8514588432957851E-2</v>
      </c>
      <c r="J126">
        <v>4.9213575386948549E-4</v>
      </c>
    </row>
    <row r="127" spans="1:10" x14ac:dyDescent="0.25">
      <c r="A127" t="s">
        <v>1715</v>
      </c>
      <c r="B127" t="s">
        <v>432</v>
      </c>
      <c r="C127" t="s">
        <v>1663</v>
      </c>
      <c r="D127" t="s">
        <v>1597</v>
      </c>
      <c r="E127">
        <v>0</v>
      </c>
      <c r="F127">
        <v>0</v>
      </c>
      <c r="G127">
        <v>0</v>
      </c>
      <c r="H127">
        <v>9.1893292415650141E-7</v>
      </c>
      <c r="I127">
        <v>9.3903945866500912E-5</v>
      </c>
      <c r="J127">
        <v>6.9054298991711103E-5</v>
      </c>
    </row>
    <row r="128" spans="1:10" x14ac:dyDescent="0.25">
      <c r="A128" t="s">
        <v>1715</v>
      </c>
      <c r="B128" t="s">
        <v>432</v>
      </c>
      <c r="C128" t="s">
        <v>1664</v>
      </c>
      <c r="D128" t="s">
        <v>1597</v>
      </c>
      <c r="E128">
        <v>8.2546819702244516</v>
      </c>
      <c r="F128">
        <v>8.9452091982509856</v>
      </c>
      <c r="G128">
        <v>9.1760245741264814</v>
      </c>
      <c r="H128">
        <v>9.1336196536930334</v>
      </c>
      <c r="I128">
        <v>9.4182297036245117</v>
      </c>
      <c r="J128">
        <v>11.007171999738443</v>
      </c>
    </row>
    <row r="129" spans="1:10" x14ac:dyDescent="0.25">
      <c r="A129" t="s">
        <v>1715</v>
      </c>
      <c r="B129" t="s">
        <v>432</v>
      </c>
      <c r="C129" t="s">
        <v>1665</v>
      </c>
      <c r="D129" t="s">
        <v>1597</v>
      </c>
      <c r="E129">
        <v>6.5070012892224369</v>
      </c>
      <c r="F129">
        <v>7.3027698209302345</v>
      </c>
      <c r="G129">
        <v>7.411816224978411</v>
      </c>
      <c r="H129">
        <v>7.3981404360062761</v>
      </c>
      <c r="I129">
        <v>4.7085711134121109</v>
      </c>
      <c r="J129">
        <v>4.6534330152754277</v>
      </c>
    </row>
    <row r="130" spans="1:10" x14ac:dyDescent="0.25">
      <c r="A130" t="s">
        <v>1715</v>
      </c>
      <c r="B130" t="s">
        <v>432</v>
      </c>
      <c r="C130" t="s">
        <v>1666</v>
      </c>
      <c r="D130" t="s">
        <v>1597</v>
      </c>
      <c r="E130">
        <v>0</v>
      </c>
      <c r="F130">
        <v>0</v>
      </c>
      <c r="G130">
        <v>0</v>
      </c>
      <c r="H130">
        <v>0</v>
      </c>
      <c r="I130">
        <v>3.0409750152451385</v>
      </c>
      <c r="J130">
        <v>4.4441322979279914</v>
      </c>
    </row>
    <row r="131" spans="1:10" x14ac:dyDescent="0.25">
      <c r="A131" t="s">
        <v>1715</v>
      </c>
      <c r="B131" t="s">
        <v>432</v>
      </c>
      <c r="C131" t="s">
        <v>1667</v>
      </c>
      <c r="D131" t="s">
        <v>1597</v>
      </c>
      <c r="E131">
        <v>1.5176381007931332</v>
      </c>
      <c r="F131">
        <v>1.4122798921444084</v>
      </c>
      <c r="G131">
        <v>1.4275001503801901</v>
      </c>
      <c r="H131">
        <v>1.4025313649844888</v>
      </c>
      <c r="I131">
        <v>0.8599728483608966</v>
      </c>
      <c r="J131">
        <v>0.60490005591248908</v>
      </c>
    </row>
    <row r="132" spans="1:10" x14ac:dyDescent="0.25">
      <c r="A132" t="s">
        <v>1715</v>
      </c>
      <c r="B132" t="s">
        <v>432</v>
      </c>
      <c r="C132" t="s">
        <v>1668</v>
      </c>
      <c r="D132" t="s">
        <v>1597</v>
      </c>
      <c r="E132">
        <v>0</v>
      </c>
      <c r="F132">
        <v>0</v>
      </c>
      <c r="G132">
        <v>0</v>
      </c>
      <c r="H132">
        <v>0</v>
      </c>
      <c r="I132">
        <v>0.50867954438510921</v>
      </c>
      <c r="J132">
        <v>0.71175648183616158</v>
      </c>
    </row>
    <row r="133" spans="1:10" x14ac:dyDescent="0.25">
      <c r="A133" t="s">
        <v>1715</v>
      </c>
      <c r="B133" t="s">
        <v>432</v>
      </c>
      <c r="C133" t="s">
        <v>1669</v>
      </c>
      <c r="D133" t="s">
        <v>1597</v>
      </c>
      <c r="E133">
        <v>0.2300425802088806</v>
      </c>
      <c r="F133">
        <v>0.23015948517634197</v>
      </c>
      <c r="G133">
        <v>0.33670819876787977</v>
      </c>
      <c r="H133">
        <v>0.33294785270226868</v>
      </c>
      <c r="I133">
        <v>5.2544008692530585E-2</v>
      </c>
      <c r="J133">
        <v>4.5055412333587462E-5</v>
      </c>
    </row>
    <row r="134" spans="1:10" x14ac:dyDescent="0.25">
      <c r="A134" t="s">
        <v>1715</v>
      </c>
      <c r="B134" t="s">
        <v>432</v>
      </c>
      <c r="C134" t="s">
        <v>1670</v>
      </c>
      <c r="D134" t="s">
        <v>1597</v>
      </c>
      <c r="E134">
        <v>0</v>
      </c>
      <c r="F134">
        <v>0</v>
      </c>
      <c r="G134">
        <v>0</v>
      </c>
      <c r="H134">
        <v>0</v>
      </c>
      <c r="I134">
        <v>0.2474871735287269</v>
      </c>
      <c r="J134">
        <v>0.59290509337403996</v>
      </c>
    </row>
    <row r="135" spans="1:10" x14ac:dyDescent="0.25">
      <c r="A135" t="s">
        <v>1715</v>
      </c>
      <c r="B135" t="s">
        <v>432</v>
      </c>
      <c r="C135" t="s">
        <v>1671</v>
      </c>
      <c r="D135" t="s">
        <v>1597</v>
      </c>
      <c r="E135">
        <v>4.0123196950077853</v>
      </c>
      <c r="F135">
        <v>4.3575248565373217</v>
      </c>
      <c r="G135">
        <v>4.4196581876793006</v>
      </c>
      <c r="H135">
        <v>4.4003359004953824</v>
      </c>
      <c r="I135">
        <v>4.5590992607016272</v>
      </c>
      <c r="J135">
        <v>5.2071109254760346</v>
      </c>
    </row>
    <row r="136" spans="1:10" x14ac:dyDescent="0.25">
      <c r="A136" t="s">
        <v>1715</v>
      </c>
      <c r="B136" t="s">
        <v>432</v>
      </c>
      <c r="C136" t="s">
        <v>1672</v>
      </c>
      <c r="D136" t="s">
        <v>1597</v>
      </c>
      <c r="E136">
        <v>3.2535006446112185</v>
      </c>
      <c r="F136">
        <v>3.6513849104651177</v>
      </c>
      <c r="G136">
        <v>3.7059081124892055</v>
      </c>
      <c r="H136">
        <v>3.6990702180031381</v>
      </c>
      <c r="I136">
        <v>2.3542855567060554</v>
      </c>
      <c r="J136">
        <v>2.3267165076377139</v>
      </c>
    </row>
    <row r="137" spans="1:10" x14ac:dyDescent="0.25">
      <c r="A137" t="s">
        <v>1715</v>
      </c>
      <c r="B137" t="s">
        <v>432</v>
      </c>
      <c r="C137" t="s">
        <v>1673</v>
      </c>
      <c r="D137" t="s">
        <v>1597</v>
      </c>
      <c r="E137">
        <v>0</v>
      </c>
      <c r="F137">
        <v>0</v>
      </c>
      <c r="G137">
        <v>0</v>
      </c>
      <c r="H137">
        <v>0</v>
      </c>
      <c r="I137">
        <v>1.5204875076225692</v>
      </c>
      <c r="J137">
        <v>2.2220661489639957</v>
      </c>
    </row>
    <row r="138" spans="1:10" x14ac:dyDescent="0.25">
      <c r="A138" t="s">
        <v>1715</v>
      </c>
      <c r="B138" t="s">
        <v>432</v>
      </c>
      <c r="C138" t="s">
        <v>1674</v>
      </c>
      <c r="D138" t="s">
        <v>1597</v>
      </c>
      <c r="E138">
        <v>0.75881905039656661</v>
      </c>
      <c r="F138">
        <v>0.70613994607220409</v>
      </c>
      <c r="G138">
        <v>0.71375007519009503</v>
      </c>
      <c r="H138">
        <v>0.70126568249224441</v>
      </c>
      <c r="I138">
        <v>0.42998642418044836</v>
      </c>
      <c r="J138">
        <v>0.30245002795624454</v>
      </c>
    </row>
    <row r="139" spans="1:10" x14ac:dyDescent="0.25">
      <c r="A139" t="s">
        <v>1715</v>
      </c>
      <c r="B139" t="s">
        <v>432</v>
      </c>
      <c r="C139" t="s">
        <v>1675</v>
      </c>
      <c r="D139" t="s">
        <v>1597</v>
      </c>
      <c r="E139">
        <v>0</v>
      </c>
      <c r="F139">
        <v>0</v>
      </c>
      <c r="G139">
        <v>0</v>
      </c>
      <c r="H139">
        <v>0</v>
      </c>
      <c r="I139">
        <v>0.2543397721925546</v>
      </c>
      <c r="J139">
        <v>0.35587824091808079</v>
      </c>
    </row>
    <row r="140" spans="1:10" x14ac:dyDescent="0.25">
      <c r="A140" t="s">
        <v>1715</v>
      </c>
      <c r="B140" t="s">
        <v>432</v>
      </c>
      <c r="C140" t="s">
        <v>1676</v>
      </c>
      <c r="D140" t="s">
        <v>1597</v>
      </c>
      <c r="E140">
        <v>0</v>
      </c>
      <c r="F140">
        <v>0</v>
      </c>
      <c r="G140">
        <v>0</v>
      </c>
      <c r="H140">
        <v>0</v>
      </c>
      <c r="I140">
        <v>0</v>
      </c>
      <c r="J140">
        <v>0</v>
      </c>
    </row>
    <row r="141" spans="1:10" x14ac:dyDescent="0.25">
      <c r="A141" t="s">
        <v>1715</v>
      </c>
      <c r="B141" t="s">
        <v>432</v>
      </c>
      <c r="C141" t="s">
        <v>1677</v>
      </c>
      <c r="D141" t="s">
        <v>1597</v>
      </c>
      <c r="E141">
        <v>0</v>
      </c>
      <c r="F141">
        <v>0</v>
      </c>
      <c r="G141">
        <v>0</v>
      </c>
      <c r="H141">
        <v>0</v>
      </c>
      <c r="I141">
        <v>0</v>
      </c>
      <c r="J141">
        <v>0</v>
      </c>
    </row>
    <row r="142" spans="1:10" x14ac:dyDescent="0.25">
      <c r="A142" t="s">
        <v>1715</v>
      </c>
      <c r="B142" t="s">
        <v>432</v>
      </c>
      <c r="C142" t="s">
        <v>1678</v>
      </c>
      <c r="D142" t="s">
        <v>1597</v>
      </c>
      <c r="E142">
        <v>4.2423622752166663</v>
      </c>
      <c r="F142">
        <v>4.587684341713663</v>
      </c>
      <c r="G142">
        <v>4.7563663864471808</v>
      </c>
      <c r="H142">
        <v>4.733283753197651</v>
      </c>
      <c r="I142">
        <v>4.8591304429228845</v>
      </c>
      <c r="J142">
        <v>5.8000610742624081</v>
      </c>
    </row>
    <row r="143" spans="1:10" x14ac:dyDescent="0.25">
      <c r="A143" t="s">
        <v>1715</v>
      </c>
      <c r="B143" t="s">
        <v>432</v>
      </c>
      <c r="C143" t="s">
        <v>1679</v>
      </c>
      <c r="D143" t="s">
        <v>1597</v>
      </c>
      <c r="E143">
        <v>3.2535006446112185</v>
      </c>
      <c r="F143">
        <v>3.6513849104651168</v>
      </c>
      <c r="G143">
        <v>3.7059081124892055</v>
      </c>
      <c r="H143">
        <v>3.6990702180031381</v>
      </c>
      <c r="I143">
        <v>2.3542855567060554</v>
      </c>
      <c r="J143">
        <v>2.3267165076377139</v>
      </c>
    </row>
    <row r="144" spans="1:10" x14ac:dyDescent="0.25">
      <c r="A144" t="s">
        <v>1715</v>
      </c>
      <c r="B144" t="s">
        <v>432</v>
      </c>
      <c r="C144" t="s">
        <v>1680</v>
      </c>
      <c r="D144" t="s">
        <v>1597</v>
      </c>
      <c r="E144">
        <v>0</v>
      </c>
      <c r="F144">
        <v>0</v>
      </c>
      <c r="G144">
        <v>0</v>
      </c>
      <c r="H144">
        <v>0</v>
      </c>
      <c r="I144">
        <v>1.5204875076225692</v>
      </c>
      <c r="J144">
        <v>2.2220661489639957</v>
      </c>
    </row>
    <row r="145" spans="1:10" x14ac:dyDescent="0.25">
      <c r="A145" t="s">
        <v>1715</v>
      </c>
      <c r="B145" t="s">
        <v>432</v>
      </c>
      <c r="C145" t="s">
        <v>1681</v>
      </c>
      <c r="D145" t="s">
        <v>1597</v>
      </c>
      <c r="E145">
        <v>0.75881905039656661</v>
      </c>
      <c r="F145">
        <v>0.70613994607220432</v>
      </c>
      <c r="G145">
        <v>0.71375007519009503</v>
      </c>
      <c r="H145">
        <v>0.70126568249224441</v>
      </c>
      <c r="I145">
        <v>0.42998642418044825</v>
      </c>
      <c r="J145">
        <v>0.30245002795624454</v>
      </c>
    </row>
    <row r="146" spans="1:10" x14ac:dyDescent="0.25">
      <c r="A146" t="s">
        <v>1715</v>
      </c>
      <c r="B146" t="s">
        <v>432</v>
      </c>
      <c r="C146" t="s">
        <v>1682</v>
      </c>
      <c r="D146" t="s">
        <v>1597</v>
      </c>
      <c r="E146">
        <v>0</v>
      </c>
      <c r="F146">
        <v>0</v>
      </c>
      <c r="G146">
        <v>0</v>
      </c>
      <c r="H146">
        <v>0</v>
      </c>
      <c r="I146">
        <v>0.2543397721925546</v>
      </c>
      <c r="J146">
        <v>0.35587824091808079</v>
      </c>
    </row>
    <row r="147" spans="1:10" x14ac:dyDescent="0.25">
      <c r="A147" t="s">
        <v>1715</v>
      </c>
      <c r="B147" t="s">
        <v>432</v>
      </c>
      <c r="C147" t="s">
        <v>1683</v>
      </c>
      <c r="D147" t="s">
        <v>1597</v>
      </c>
      <c r="E147">
        <v>0.2300425802088806</v>
      </c>
      <c r="F147">
        <v>0.23015948517634197</v>
      </c>
      <c r="G147">
        <v>0.33670819876787977</v>
      </c>
      <c r="H147">
        <v>0.33294785270226868</v>
      </c>
      <c r="I147">
        <v>5.2544008692530585E-2</v>
      </c>
      <c r="J147">
        <v>4.5055412333587462E-5</v>
      </c>
    </row>
    <row r="148" spans="1:10" x14ac:dyDescent="0.25">
      <c r="A148" t="s">
        <v>1715</v>
      </c>
      <c r="B148" t="s">
        <v>432</v>
      </c>
      <c r="C148" t="s">
        <v>1684</v>
      </c>
      <c r="D148" t="s">
        <v>1597</v>
      </c>
      <c r="E148">
        <v>0</v>
      </c>
      <c r="F148">
        <v>0</v>
      </c>
      <c r="G148">
        <v>0</v>
      </c>
      <c r="H148">
        <v>0</v>
      </c>
      <c r="I148">
        <v>0.2474871735287269</v>
      </c>
      <c r="J148">
        <v>0.59290509337403996</v>
      </c>
    </row>
    <row r="149" spans="1:10" x14ac:dyDescent="0.25">
      <c r="A149" t="s">
        <v>1715</v>
      </c>
      <c r="B149" t="s">
        <v>432</v>
      </c>
      <c r="C149" t="s">
        <v>1685</v>
      </c>
      <c r="D149" t="s">
        <v>1597</v>
      </c>
      <c r="E149">
        <v>0.59860878019359354</v>
      </c>
      <c r="F149">
        <v>0.59861757293945583</v>
      </c>
      <c r="G149">
        <v>1.5088819404471878</v>
      </c>
      <c r="H149">
        <v>2.6403516334509831</v>
      </c>
      <c r="I149">
        <v>4.5432931148577902</v>
      </c>
      <c r="J149">
        <v>11.845295921923908</v>
      </c>
    </row>
    <row r="150" spans="1:10" x14ac:dyDescent="0.25">
      <c r="A150" t="s">
        <v>1715</v>
      </c>
      <c r="B150" t="s">
        <v>432</v>
      </c>
      <c r="C150" t="s">
        <v>1686</v>
      </c>
      <c r="D150" t="s">
        <v>1597</v>
      </c>
      <c r="E150">
        <v>0.42612125981555971</v>
      </c>
      <c r="F150">
        <v>7.6980790703185489E-2</v>
      </c>
      <c r="G150">
        <v>0.3781311709012446</v>
      </c>
      <c r="H150">
        <v>1.3961625967138769E-3</v>
      </c>
      <c r="I150">
        <v>0.7317185665221364</v>
      </c>
      <c r="J150">
        <v>1.6276010909702787E-4</v>
      </c>
    </row>
    <row r="151" spans="1:10" x14ac:dyDescent="0.25">
      <c r="A151" t="s">
        <v>1715</v>
      </c>
      <c r="B151" t="s">
        <v>432</v>
      </c>
      <c r="C151" t="s">
        <v>1687</v>
      </c>
      <c r="D151" t="s">
        <v>1597</v>
      </c>
      <c r="E151">
        <v>0</v>
      </c>
      <c r="F151">
        <v>0</v>
      </c>
      <c r="G151">
        <v>0</v>
      </c>
      <c r="H151">
        <v>0</v>
      </c>
      <c r="I151">
        <v>1.0262439518317849E-3</v>
      </c>
      <c r="J151">
        <v>5.9585426028433677</v>
      </c>
    </row>
    <row r="152" spans="1:10" x14ac:dyDescent="0.25">
      <c r="A152" t="s">
        <v>1715</v>
      </c>
      <c r="B152" t="s">
        <v>432</v>
      </c>
      <c r="C152" t="s">
        <v>1688</v>
      </c>
      <c r="D152" t="s">
        <v>1597</v>
      </c>
      <c r="E152">
        <v>0.17248752037803386</v>
      </c>
      <c r="F152">
        <v>0.5216367822362703</v>
      </c>
      <c r="G152">
        <v>1.1307507695459433</v>
      </c>
      <c r="H152">
        <v>2.6357048529571521</v>
      </c>
      <c r="I152">
        <v>3.4206701157463955</v>
      </c>
      <c r="J152">
        <v>3.2779391749357308E-4</v>
      </c>
    </row>
    <row r="153" spans="1:10" x14ac:dyDescent="0.25">
      <c r="A153" t="s">
        <v>1715</v>
      </c>
      <c r="B153" t="s">
        <v>432</v>
      </c>
      <c r="C153" t="s">
        <v>1689</v>
      </c>
      <c r="D153" t="s">
        <v>1597</v>
      </c>
      <c r="E153">
        <v>0</v>
      </c>
      <c r="F153">
        <v>0</v>
      </c>
      <c r="G153">
        <v>0</v>
      </c>
      <c r="H153">
        <v>0</v>
      </c>
      <c r="I153">
        <v>0.38500978794072338</v>
      </c>
      <c r="J153">
        <v>5.884746505581008</v>
      </c>
    </row>
    <row r="154" spans="1:10" x14ac:dyDescent="0.25">
      <c r="A154" t="s">
        <v>1715</v>
      </c>
      <c r="B154" t="s">
        <v>432</v>
      </c>
      <c r="C154" t="s">
        <v>1690</v>
      </c>
      <c r="D154" t="s">
        <v>1597</v>
      </c>
      <c r="E154">
        <v>0</v>
      </c>
      <c r="F154">
        <v>0</v>
      </c>
      <c r="G154">
        <v>0</v>
      </c>
      <c r="H154">
        <v>6.7805609820607892E-4</v>
      </c>
      <c r="I154">
        <v>1.1470229326627918E-3</v>
      </c>
      <c r="J154">
        <v>4.2646124887695463E-4</v>
      </c>
    </row>
    <row r="155" spans="1:10" x14ac:dyDescent="0.25">
      <c r="A155" t="s">
        <v>1715</v>
      </c>
      <c r="B155" t="s">
        <v>432</v>
      </c>
      <c r="C155" t="s">
        <v>1691</v>
      </c>
      <c r="D155" t="s">
        <v>1597</v>
      </c>
      <c r="E155">
        <v>0</v>
      </c>
      <c r="F155">
        <v>0</v>
      </c>
      <c r="G155">
        <v>0</v>
      </c>
      <c r="H155">
        <v>1.4575268698712111E-3</v>
      </c>
      <c r="I155">
        <v>2.3227627542111804E-3</v>
      </c>
      <c r="J155">
        <v>7.8361325304896184E-4</v>
      </c>
    </row>
    <row r="156" spans="1:10" x14ac:dyDescent="0.25">
      <c r="A156" t="s">
        <v>1715</v>
      </c>
      <c r="B156" t="s">
        <v>432</v>
      </c>
      <c r="C156" t="s">
        <v>1692</v>
      </c>
      <c r="D156" t="s">
        <v>1597</v>
      </c>
      <c r="E156">
        <v>0</v>
      </c>
      <c r="F156">
        <v>0</v>
      </c>
      <c r="G156">
        <v>0</v>
      </c>
      <c r="H156">
        <v>1.1150349290395363E-3</v>
      </c>
      <c r="I156">
        <v>1.3986150098288519E-3</v>
      </c>
      <c r="J156">
        <v>3.0618497101687735E-4</v>
      </c>
    </row>
    <row r="157" spans="1:10" x14ac:dyDescent="0.25">
      <c r="A157" t="s">
        <v>1715</v>
      </c>
      <c r="B157" t="s">
        <v>432</v>
      </c>
      <c r="C157" t="s">
        <v>1693</v>
      </c>
      <c r="D157" t="s">
        <v>1597</v>
      </c>
      <c r="E157">
        <v>0.52400000000000047</v>
      </c>
      <c r="F157">
        <v>0.54529209545280533</v>
      </c>
      <c r="G157">
        <v>1.963409871303385</v>
      </c>
      <c r="H157">
        <v>4.1991829220895429</v>
      </c>
      <c r="I157">
        <v>9.5041869305416729</v>
      </c>
      <c r="J157">
        <v>15.481320376376782</v>
      </c>
    </row>
    <row r="158" spans="1:10" x14ac:dyDescent="0.25">
      <c r="A158" t="s">
        <v>1715</v>
      </c>
      <c r="B158" t="s">
        <v>432</v>
      </c>
      <c r="C158" t="s">
        <v>1694</v>
      </c>
      <c r="D158" t="s">
        <v>1597</v>
      </c>
      <c r="E158">
        <v>0.52400000000000047</v>
      </c>
      <c r="F158">
        <v>0.54529209545280533</v>
      </c>
      <c r="G158">
        <v>1.963409871303385</v>
      </c>
      <c r="H158">
        <v>4.1991829220895429</v>
      </c>
      <c r="I158">
        <v>9.5041869305416729</v>
      </c>
      <c r="J158">
        <v>15.481320376376782</v>
      </c>
    </row>
    <row r="159" spans="1:10" x14ac:dyDescent="0.25">
      <c r="A159" t="s">
        <v>1715</v>
      </c>
      <c r="B159" t="s">
        <v>432</v>
      </c>
      <c r="C159" t="s">
        <v>1695</v>
      </c>
      <c r="D159" t="s">
        <v>1597</v>
      </c>
      <c r="E159">
        <v>9.3550000000000111</v>
      </c>
      <c r="F159">
        <v>12.822569682153377</v>
      </c>
      <c r="G159">
        <v>28.800009159490667</v>
      </c>
      <c r="H159">
        <v>36.924111431417643</v>
      </c>
      <c r="I159">
        <v>75.143079700901481</v>
      </c>
      <c r="J159">
        <v>99.603612731387983</v>
      </c>
    </row>
    <row r="160" spans="1:10" x14ac:dyDescent="0.25">
      <c r="A160" t="s">
        <v>1715</v>
      </c>
      <c r="B160" t="s">
        <v>432</v>
      </c>
      <c r="C160" t="s">
        <v>1696</v>
      </c>
      <c r="D160" t="s">
        <v>1597</v>
      </c>
      <c r="E160">
        <v>0</v>
      </c>
      <c r="F160">
        <v>0</v>
      </c>
      <c r="G160">
        <v>0.14080527985430918</v>
      </c>
      <c r="H160">
        <v>0.1558534190557774</v>
      </c>
      <c r="I160">
        <v>3.1685256146232597</v>
      </c>
      <c r="J160">
        <v>2.8758225666608106</v>
      </c>
    </row>
    <row r="161" spans="1:10" x14ac:dyDescent="0.25">
      <c r="A161" t="s">
        <v>1715</v>
      </c>
      <c r="B161" t="s">
        <v>432</v>
      </c>
      <c r="C161" t="s">
        <v>1697</v>
      </c>
      <c r="D161" t="s">
        <v>1597</v>
      </c>
      <c r="E161">
        <v>3.517953999707534</v>
      </c>
      <c r="F161">
        <v>4.8498357919886148</v>
      </c>
      <c r="G161">
        <v>9.5945037908403155</v>
      </c>
      <c r="H161">
        <v>12.306496483838252</v>
      </c>
      <c r="I161">
        <v>39.099974596129343</v>
      </c>
      <c r="J161">
        <v>52.547098794916501</v>
      </c>
    </row>
    <row r="162" spans="1:10" x14ac:dyDescent="0.25">
      <c r="A162" t="s">
        <v>1715</v>
      </c>
      <c r="B162" t="s">
        <v>432</v>
      </c>
      <c r="C162" t="s">
        <v>1698</v>
      </c>
      <c r="D162" t="s">
        <v>1597</v>
      </c>
      <c r="E162">
        <v>2.1349390887346629</v>
      </c>
      <c r="F162">
        <v>3.3906800092982587</v>
      </c>
      <c r="G162">
        <v>8.0481951905324891</v>
      </c>
      <c r="H162">
        <v>10.326573320982483</v>
      </c>
      <c r="I162">
        <v>13.87805509594568</v>
      </c>
      <c r="J162">
        <v>18.650947005109451</v>
      </c>
    </row>
    <row r="163" spans="1:10" x14ac:dyDescent="0.25">
      <c r="A163" t="s">
        <v>1715</v>
      </c>
      <c r="B163" t="s">
        <v>432</v>
      </c>
      <c r="C163" t="s">
        <v>1699</v>
      </c>
      <c r="D163" t="s">
        <v>1597</v>
      </c>
      <c r="E163">
        <v>0.86248322578584768</v>
      </c>
      <c r="F163">
        <v>1.2875987807153944</v>
      </c>
      <c r="G163">
        <v>4.1841045952308091</v>
      </c>
      <c r="H163">
        <v>5.3685911088919003</v>
      </c>
      <c r="I163">
        <v>7.2149470928692132</v>
      </c>
      <c r="J163">
        <v>9.6962886084712814</v>
      </c>
    </row>
    <row r="164" spans="1:10" x14ac:dyDescent="0.25">
      <c r="A164" t="s">
        <v>1715</v>
      </c>
      <c r="B164" t="s">
        <v>432</v>
      </c>
      <c r="C164" t="s">
        <v>1700</v>
      </c>
      <c r="D164" t="s">
        <v>1597</v>
      </c>
      <c r="E164">
        <v>2.8396236857719668</v>
      </c>
      <c r="F164">
        <v>3.2944551001511098</v>
      </c>
      <c r="G164">
        <v>6.8324003030327418</v>
      </c>
      <c r="H164">
        <v>8.7665970986492265</v>
      </c>
      <c r="I164">
        <v>11.781577301333982</v>
      </c>
      <c r="J164">
        <v>15.833455756229947</v>
      </c>
    </row>
    <row r="165" spans="1:10" x14ac:dyDescent="0.25">
      <c r="A165" t="s">
        <v>1715</v>
      </c>
      <c r="B165" t="s">
        <v>432</v>
      </c>
      <c r="C165" t="s">
        <v>1701</v>
      </c>
      <c r="D165" t="s">
        <v>1597</v>
      </c>
      <c r="E165">
        <v>0</v>
      </c>
      <c r="F165">
        <v>0</v>
      </c>
      <c r="G165">
        <v>0</v>
      </c>
      <c r="H165">
        <v>5.7079319915365441E-3</v>
      </c>
      <c r="I165">
        <v>1.0472310742358701E-2</v>
      </c>
      <c r="J165">
        <v>56.994757072240468</v>
      </c>
    </row>
    <row r="166" spans="1:10" x14ac:dyDescent="0.25">
      <c r="A166" t="s">
        <v>1715</v>
      </c>
      <c r="B166" t="s">
        <v>432</v>
      </c>
      <c r="C166" t="s">
        <v>1702</v>
      </c>
      <c r="D166" t="s">
        <v>1597</v>
      </c>
      <c r="E166">
        <v>0</v>
      </c>
      <c r="F166">
        <v>0</v>
      </c>
      <c r="G166">
        <v>0</v>
      </c>
      <c r="H166">
        <v>5.7079319915365441E-3</v>
      </c>
      <c r="I166">
        <v>1.0472310742358701E-2</v>
      </c>
      <c r="J166">
        <v>56.994757072240468</v>
      </c>
    </row>
    <row r="167" spans="1:10" x14ac:dyDescent="0.25">
      <c r="A167" t="s">
        <v>1715</v>
      </c>
      <c r="B167" t="s">
        <v>432</v>
      </c>
      <c r="C167" t="s">
        <v>1703</v>
      </c>
      <c r="D167" t="s">
        <v>1597</v>
      </c>
      <c r="E167">
        <v>0</v>
      </c>
      <c r="F167">
        <v>0</v>
      </c>
      <c r="G167">
        <v>0</v>
      </c>
      <c r="H167">
        <v>1.0035574747552004E-3</v>
      </c>
      <c r="I167">
        <v>0.23459822397844884</v>
      </c>
      <c r="J167">
        <v>0.17091185080660531</v>
      </c>
    </row>
    <row r="168" spans="1:10" x14ac:dyDescent="0.25">
      <c r="A168" t="s">
        <v>1715</v>
      </c>
      <c r="B168" t="s">
        <v>432</v>
      </c>
      <c r="C168" t="s">
        <v>1704</v>
      </c>
      <c r="D168" t="s">
        <v>1597</v>
      </c>
      <c r="E168">
        <v>0</v>
      </c>
      <c r="F168">
        <v>0</v>
      </c>
      <c r="G168">
        <v>0</v>
      </c>
      <c r="H168">
        <v>0</v>
      </c>
      <c r="I168">
        <v>1.7429656729512806E-2</v>
      </c>
      <c r="J168">
        <v>2.0754012396449893E-2</v>
      </c>
    </row>
    <row r="169" spans="1:10" x14ac:dyDescent="0.25">
      <c r="A169" t="s">
        <v>1715</v>
      </c>
      <c r="B169" t="s">
        <v>432</v>
      </c>
      <c r="C169" t="s">
        <v>1705</v>
      </c>
      <c r="D169" t="s">
        <v>1597</v>
      </c>
      <c r="E169">
        <v>0</v>
      </c>
      <c r="F169">
        <v>0</v>
      </c>
      <c r="G169">
        <v>0</v>
      </c>
      <c r="H169">
        <v>5.9753915951831751E-4</v>
      </c>
      <c r="I169">
        <v>0.2160392022248829</v>
      </c>
      <c r="J169">
        <v>0.14927575017645422</v>
      </c>
    </row>
    <row r="170" spans="1:10" x14ac:dyDescent="0.25">
      <c r="A170" t="s">
        <v>1715</v>
      </c>
      <c r="B170" t="s">
        <v>432</v>
      </c>
      <c r="C170" t="s">
        <v>1706</v>
      </c>
      <c r="D170" t="s">
        <v>1597</v>
      </c>
      <c r="E170">
        <v>0</v>
      </c>
      <c r="F170">
        <v>0</v>
      </c>
      <c r="G170">
        <v>0</v>
      </c>
      <c r="H170">
        <v>4.0601831523688294E-4</v>
      </c>
      <c r="I170">
        <v>1.1293650240531518E-3</v>
      </c>
      <c r="J170">
        <v>8.8208823370120688E-4</v>
      </c>
    </row>
    <row r="171" spans="1:10" x14ac:dyDescent="0.25">
      <c r="A171" t="s">
        <v>1715</v>
      </c>
      <c r="B171" t="s">
        <v>432</v>
      </c>
      <c r="C171" t="s">
        <v>1707</v>
      </c>
      <c r="D171" t="s">
        <v>1597</v>
      </c>
      <c r="E171">
        <v>0.10430182970953257</v>
      </c>
      <c r="F171">
        <v>1.8493468551786515E-2</v>
      </c>
      <c r="G171">
        <v>0.10428540486321679</v>
      </c>
      <c r="H171">
        <v>2.1513693870032338E-2</v>
      </c>
      <c r="I171">
        <v>0.46045370857068002</v>
      </c>
      <c r="J171">
        <v>2.0113985689728571</v>
      </c>
    </row>
    <row r="172" spans="1:10" x14ac:dyDescent="0.25">
      <c r="A172" t="s">
        <v>1715</v>
      </c>
      <c r="B172" t="s">
        <v>432</v>
      </c>
      <c r="C172" t="s">
        <v>1708</v>
      </c>
      <c r="D172" t="s">
        <v>1597</v>
      </c>
      <c r="E172">
        <v>9.4521675360640448E-2</v>
      </c>
      <c r="F172">
        <v>9.637233255787905E-3</v>
      </c>
      <c r="G172">
        <v>9.4489607019068694E-2</v>
      </c>
      <c r="H172">
        <v>9.4153700315958522E-4</v>
      </c>
      <c r="I172">
        <v>1.3897648317041653E-3</v>
      </c>
      <c r="J172">
        <v>9.4481730246256987E-2</v>
      </c>
    </row>
    <row r="173" spans="1:10" x14ac:dyDescent="0.25">
      <c r="A173" t="s">
        <v>1715</v>
      </c>
      <c r="B173" t="s">
        <v>432</v>
      </c>
      <c r="C173" t="s">
        <v>1709</v>
      </c>
      <c r="D173" t="s">
        <v>1597</v>
      </c>
      <c r="E173">
        <v>2.3596811789791407E-3</v>
      </c>
      <c r="F173">
        <v>1.8973951826477811E-3</v>
      </c>
      <c r="G173">
        <v>2.3599625944222195E-3</v>
      </c>
      <c r="H173">
        <v>1.237370461234147E-3</v>
      </c>
      <c r="I173">
        <v>6.2093458556514693E-2</v>
      </c>
      <c r="J173">
        <v>1.4922194217153237</v>
      </c>
    </row>
    <row r="174" spans="1:10" x14ac:dyDescent="0.25">
      <c r="A174" t="s">
        <v>1715</v>
      </c>
      <c r="B174" t="s">
        <v>432</v>
      </c>
      <c r="C174" t="s">
        <v>1710</v>
      </c>
      <c r="D174" t="s">
        <v>1597</v>
      </c>
      <c r="E174">
        <v>2.1761811746618888E-3</v>
      </c>
      <c r="F174">
        <v>1.7181719362585016E-3</v>
      </c>
      <c r="G174">
        <v>2.1590134014265964E-3</v>
      </c>
      <c r="H174">
        <v>1.1778935678587014E-3</v>
      </c>
      <c r="I174">
        <v>3.1245412637573109E-3</v>
      </c>
      <c r="J174">
        <v>1.1232083473169964E-2</v>
      </c>
    </row>
    <row r="175" spans="1:10" x14ac:dyDescent="0.25">
      <c r="A175" t="s">
        <v>1715</v>
      </c>
      <c r="B175" t="s">
        <v>432</v>
      </c>
      <c r="C175" t="s">
        <v>1711</v>
      </c>
      <c r="D175" t="s">
        <v>1597</v>
      </c>
      <c r="E175">
        <v>7.8263452999095839E-4</v>
      </c>
      <c r="F175">
        <v>7.8187167347718294E-4</v>
      </c>
      <c r="G175">
        <v>7.8657417672854256E-4</v>
      </c>
      <c r="H175">
        <v>1.3990617194545041E-3</v>
      </c>
      <c r="I175">
        <v>2.6675895275400552E-3</v>
      </c>
      <c r="J175">
        <v>1.9700700360559334E-3</v>
      </c>
    </row>
    <row r="176" spans="1:10" x14ac:dyDescent="0.25">
      <c r="A176" t="s">
        <v>1715</v>
      </c>
      <c r="B176" t="s">
        <v>432</v>
      </c>
      <c r="C176" t="s">
        <v>1712</v>
      </c>
      <c r="D176" t="s">
        <v>1597</v>
      </c>
      <c r="E176">
        <v>1.8380785786464306E-3</v>
      </c>
      <c r="F176">
        <v>1.8370137372108741E-3</v>
      </c>
      <c r="G176">
        <v>1.8503957638467123E-3</v>
      </c>
      <c r="H176">
        <v>7.6593621419898759E-3</v>
      </c>
      <c r="I176">
        <v>0.19441444745680708</v>
      </c>
      <c r="J176">
        <v>0.20491731021965531</v>
      </c>
    </row>
    <row r="177" spans="1:10" x14ac:dyDescent="0.25">
      <c r="A177" t="s">
        <v>1715</v>
      </c>
      <c r="B177" t="s">
        <v>432</v>
      </c>
      <c r="C177" t="s">
        <v>1713</v>
      </c>
      <c r="D177" t="s">
        <v>1597</v>
      </c>
      <c r="E177">
        <v>1.8380539052019556E-3</v>
      </c>
      <c r="F177">
        <v>1.8369878385852162E-3</v>
      </c>
      <c r="G177">
        <v>1.8503701296280024E-3</v>
      </c>
      <c r="H177">
        <v>7.6582984892942605E-3</v>
      </c>
      <c r="I177">
        <v>0.19441032849334469</v>
      </c>
      <c r="J177">
        <v>0.2049332015024245</v>
      </c>
    </row>
    <row r="178" spans="1:10" x14ac:dyDescent="0.25">
      <c r="A178" t="s">
        <v>1715</v>
      </c>
      <c r="B178" t="s">
        <v>432</v>
      </c>
      <c r="C178" t="s">
        <v>1714</v>
      </c>
      <c r="D178" t="s">
        <v>1597</v>
      </c>
      <c r="E178">
        <v>7.8552498141174138E-4</v>
      </c>
      <c r="F178">
        <v>7.8479492781905109E-4</v>
      </c>
      <c r="G178">
        <v>7.8948177809600633E-4</v>
      </c>
      <c r="H178">
        <v>1.440170487041266E-3</v>
      </c>
      <c r="I178">
        <v>2.353578441012021E-3</v>
      </c>
      <c r="J178">
        <v>1.6447517799704344E-3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0299-CD8E-46FE-8182-8202C49CA977}">
  <sheetPr>
    <tabColor rgb="FFFFFF00"/>
  </sheetPr>
  <dimension ref="A4:BA216"/>
  <sheetViews>
    <sheetView zoomScale="70" zoomScaleNormal="70" workbookViewId="0">
      <selection activeCell="L27" sqref="L27"/>
    </sheetView>
  </sheetViews>
  <sheetFormatPr defaultRowHeight="15" x14ac:dyDescent="0.25"/>
  <cols>
    <col min="3" max="3" width="20.85546875" customWidth="1"/>
    <col min="4" max="4" width="41.140625" customWidth="1"/>
    <col min="5" max="10" width="10.5703125" bestFit="1" customWidth="1"/>
    <col min="11" max="11" width="9.7109375" bestFit="1" customWidth="1"/>
    <col min="12" max="12" width="10.5703125" bestFit="1" customWidth="1"/>
    <col min="13" max="13" width="12" bestFit="1" customWidth="1"/>
    <col min="14" max="14" width="10" bestFit="1" customWidth="1"/>
    <col min="15" max="16" width="11" bestFit="1" customWidth="1"/>
    <col min="17" max="17" width="10.5703125" customWidth="1"/>
    <col min="18" max="18" width="12.28515625" customWidth="1"/>
    <col min="19" max="19" width="12" bestFit="1" customWidth="1"/>
    <col min="23" max="23" width="12" bestFit="1" customWidth="1"/>
    <col min="29" max="30" width="12" bestFit="1" customWidth="1"/>
    <col min="39" max="39" width="12" bestFit="1" customWidth="1"/>
    <col min="41" max="41" width="12" bestFit="1" customWidth="1"/>
    <col min="43" max="43" width="12" bestFit="1" customWidth="1"/>
  </cols>
  <sheetData>
    <row r="4" spans="2:53" x14ac:dyDescent="0.25">
      <c r="D4" s="417" t="s">
        <v>2088</v>
      </c>
      <c r="AA4" s="9" t="s">
        <v>847</v>
      </c>
    </row>
    <row r="5" spans="2:53" x14ac:dyDescent="0.25">
      <c r="D5" s="9"/>
      <c r="E5" s="9"/>
      <c r="F5" s="9"/>
      <c r="G5" s="9"/>
      <c r="H5" s="9"/>
      <c r="J5" s="9"/>
      <c r="K5" s="9"/>
      <c r="AF5" s="65"/>
    </row>
    <row r="6" spans="2:53" x14ac:dyDescent="0.25">
      <c r="D6" s="301" t="s">
        <v>1173</v>
      </c>
      <c r="E6" s="301"/>
      <c r="F6" s="301"/>
      <c r="G6" s="55"/>
      <c r="H6" s="55"/>
      <c r="I6" s="22" t="s">
        <v>1275</v>
      </c>
      <c r="J6" s="22"/>
      <c r="K6" s="22"/>
      <c r="L6" s="24"/>
      <c r="M6" s="357" t="s">
        <v>1557</v>
      </c>
      <c r="N6" s="357"/>
      <c r="O6" s="357"/>
      <c r="P6" s="357"/>
      <c r="Q6" s="351" t="s">
        <v>1385</v>
      </c>
      <c r="R6" s="50"/>
      <c r="S6" s="9" t="s">
        <v>2219</v>
      </c>
      <c r="U6" s="9" t="s">
        <v>1496</v>
      </c>
      <c r="AA6" s="423" t="str">
        <f>D6</f>
        <v>BAU</v>
      </c>
      <c r="AB6" s="423"/>
      <c r="AC6" s="423"/>
      <c r="AD6" s="423"/>
      <c r="AE6" s="423"/>
      <c r="AF6" s="407" t="str">
        <f>I6</f>
        <v>LOW</v>
      </c>
      <c r="AG6" s="407"/>
      <c r="AH6" s="407"/>
      <c r="AI6" s="407"/>
      <c r="AJ6" s="357" t="str">
        <f>M6</f>
        <v>Well depth variation, 2030</v>
      </c>
      <c r="AK6" s="357"/>
      <c r="AL6" s="357"/>
      <c r="AM6" s="357"/>
      <c r="AN6" s="351" t="s">
        <v>1385</v>
      </c>
      <c r="AO6" s="351"/>
      <c r="AP6" s="50"/>
      <c r="AQ6" s="50"/>
      <c r="AR6" s="50"/>
      <c r="AS6" s="50"/>
      <c r="AT6" s="9" t="str">
        <f>S6</f>
        <v>Capacity factor, 2030 LOW</v>
      </c>
      <c r="AV6" s="351" t="str">
        <f>U6</f>
        <v>Rotary drilling</v>
      </c>
    </row>
    <row r="7" spans="2:53" x14ac:dyDescent="0.25">
      <c r="D7" s="301">
        <v>2020</v>
      </c>
      <c r="E7" s="301">
        <v>2030</v>
      </c>
      <c r="F7" s="301">
        <v>2040</v>
      </c>
      <c r="G7" s="301">
        <v>2050</v>
      </c>
      <c r="H7" s="301" t="s">
        <v>1428</v>
      </c>
      <c r="I7" s="22">
        <v>2030</v>
      </c>
      <c r="J7" s="22">
        <v>2040</v>
      </c>
      <c r="K7" s="22">
        <v>2050</v>
      </c>
      <c r="L7" s="22" t="s">
        <v>1428</v>
      </c>
      <c r="M7" s="357" t="s">
        <v>1527</v>
      </c>
      <c r="N7" s="357" t="s">
        <v>1528</v>
      </c>
      <c r="O7" s="357" t="s">
        <v>1529</v>
      </c>
      <c r="P7" s="357" t="s">
        <v>1530</v>
      </c>
      <c r="Q7" s="351" t="s">
        <v>1380</v>
      </c>
      <c r="R7" s="351" t="s">
        <v>1379</v>
      </c>
      <c r="S7" s="9">
        <v>0.7</v>
      </c>
      <c r="T7" s="9">
        <v>0.8</v>
      </c>
      <c r="U7" s="357" t="s">
        <v>1293</v>
      </c>
      <c r="V7" s="357" t="s">
        <v>1294</v>
      </c>
      <c r="W7" s="357" t="s">
        <v>1295</v>
      </c>
      <c r="X7" s="357" t="s">
        <v>1502</v>
      </c>
      <c r="Y7" s="357" t="s">
        <v>1503</v>
      </c>
      <c r="Z7" s="357" t="s">
        <v>1504</v>
      </c>
      <c r="AA7" s="423">
        <f>D7</f>
        <v>2020</v>
      </c>
      <c r="AB7" s="423">
        <f>E7</f>
        <v>2030</v>
      </c>
      <c r="AC7" s="423">
        <f>F7</f>
        <v>2040</v>
      </c>
      <c r="AD7" s="423">
        <f>G7</f>
        <v>2050</v>
      </c>
      <c r="AE7" s="423" t="str">
        <f>H7</f>
        <v>Hydro drilling, 2030</v>
      </c>
      <c r="AF7" s="407">
        <f>I7</f>
        <v>2030</v>
      </c>
      <c r="AG7" s="407">
        <f>J7</f>
        <v>2040</v>
      </c>
      <c r="AH7" s="407">
        <f>K7</f>
        <v>2050</v>
      </c>
      <c r="AI7" s="407" t="str">
        <f>L7</f>
        <v>Hydro drilling, 2030</v>
      </c>
      <c r="AJ7" s="357" t="str">
        <f>M7</f>
        <v>BAU, 4.5 km</v>
      </c>
      <c r="AK7" s="357" t="str">
        <f>N7</f>
        <v>BAU, 8 km</v>
      </c>
      <c r="AL7" s="357" t="str">
        <f>O7</f>
        <v>LOW, 4.5 km</v>
      </c>
      <c r="AM7" s="357" t="str">
        <f>P7</f>
        <v>LOW, 8 km</v>
      </c>
      <c r="AN7" s="351" t="s">
        <v>1429</v>
      </c>
      <c r="AO7" s="351" t="s">
        <v>1430</v>
      </c>
      <c r="AP7" s="50" t="s">
        <v>1431</v>
      </c>
      <c r="AQ7" s="50" t="s">
        <v>1432</v>
      </c>
      <c r="AR7" s="351" t="s">
        <v>1433</v>
      </c>
      <c r="AS7" s="351" t="s">
        <v>1434</v>
      </c>
      <c r="AV7" s="351" t="str">
        <f>U7</f>
        <v>BAU 2030</v>
      </c>
      <c r="AW7" s="351" t="str">
        <f>V7</f>
        <v>BAU 2040</v>
      </c>
      <c r="AX7" s="351" t="str">
        <f>W7</f>
        <v>BAU 2050</v>
      </c>
      <c r="AY7" s="351" t="str">
        <f>X7</f>
        <v>LOW 2030</v>
      </c>
      <c r="AZ7" s="351" t="str">
        <f>Y7</f>
        <v>LOW 2040</v>
      </c>
      <c r="BA7" s="351" t="str">
        <f>Z7</f>
        <v>LOW 2050</v>
      </c>
    </row>
    <row r="8" spans="2:53" x14ac:dyDescent="0.25">
      <c r="B8" s="9" t="s">
        <v>816</v>
      </c>
      <c r="C8" s="9" t="s">
        <v>827</v>
      </c>
      <c r="D8" s="56">
        <f>(H27*MJ_per_kWh*diesel)/0.4*LCIA_CC_dieselgen+(H27*(1-diesel)*LCIA_CC_ch_el_ev_mediumv)</f>
        <v>64560.568515885534</v>
      </c>
      <c r="E8" s="56">
        <f>$H$27*LCIA_CC_ch_el_BAU_2030</f>
        <v>78243.662729673131</v>
      </c>
      <c r="F8" s="56">
        <f>$H$27*LCIA_CC_ch_el_BAU_2040</f>
        <v>136556.04559829112</v>
      </c>
      <c r="G8" s="56">
        <f>$H$27*LCIA_CC_ch_el_BAU_2050</f>
        <v>182442.54809306245</v>
      </c>
      <c r="H8" s="56">
        <f>$H$27*LCIA_CC_el_hydro_run</f>
        <v>6053.5560218045594</v>
      </c>
      <c r="I8" s="23">
        <f>$H$27*LCIA_CC_ch_el_LOW_2030</f>
        <v>42283.221107096564</v>
      </c>
      <c r="J8" s="23">
        <f>H27*LCIA_CC_ch_el_LOW_2040</f>
        <v>49515.976977595456</v>
      </c>
      <c r="K8" s="23">
        <f>H27*LCIA_CC_ch_el_LOW_2050</f>
        <v>52925.266401281529</v>
      </c>
      <c r="L8" s="23">
        <f>H27*LCIA_CC_el_hydro_run</f>
        <v>6053.5560218045594</v>
      </c>
      <c r="M8" s="412">
        <f>$I$27*LCIA_CC_ch_el_BAU_2030</f>
        <v>77350.638404720972</v>
      </c>
      <c r="N8" s="412">
        <f>J27*LCIA_CC_ch_el_BAU_2030</f>
        <v>211856.48328185728</v>
      </c>
      <c r="O8" s="412">
        <f>I27*LCIA_CC_ch_el_LOW_2030</f>
        <v>41800.626815512514</v>
      </c>
      <c r="P8" s="412">
        <f>J27*LCIA_CC_ch_el_LOW_2030</f>
        <v>114488.17978432207</v>
      </c>
      <c r="Q8" s="361">
        <f>I8</f>
        <v>42283.221107096564</v>
      </c>
      <c r="R8" s="361">
        <f>I8</f>
        <v>42283.221107096564</v>
      </c>
      <c r="S8" s="53">
        <f>I8</f>
        <v>42283.221107096564</v>
      </c>
      <c r="T8" s="53">
        <f>I8</f>
        <v>42283.221107096564</v>
      </c>
      <c r="U8" s="53">
        <f>$M$27*LCIA_CC_ch_el_BAU_2030</f>
        <v>743398.70680596563</v>
      </c>
      <c r="V8" s="53">
        <f>$M$27*LCIA_CC_ch_el_BAU_2040</f>
        <v>1297428.8800236257</v>
      </c>
      <c r="W8" s="53">
        <f>$M$27*LCIA_CC_ch_el_BAU_2050</f>
        <v>1733399.8637992239</v>
      </c>
      <c r="X8" s="53">
        <f>$M$27*LCIA_CC_ch_el_LOW_2030</f>
        <v>401735.94632457726</v>
      </c>
      <c r="Y8" s="53">
        <f>$M$27*LCIA_CC_ch_el_LOW_2040</f>
        <v>470454.88372080721</v>
      </c>
      <c r="Z8" s="53">
        <f>$M$27*LCIA_CC_ch_el_LOW_2050</f>
        <v>502846.78947107715</v>
      </c>
      <c r="AA8" s="307">
        <f>D8/lifetime_60a_elprod</f>
        <v>7.2373228401919427E-5</v>
      </c>
      <c r="AB8" s="307">
        <f>E8/lifetime_60a_elprod</f>
        <v>8.7712153159618319E-5</v>
      </c>
      <c r="AC8" s="307">
        <f>F8/lifetime_60a_elprod</f>
        <v>1.5308108501733956E-4</v>
      </c>
      <c r="AD8" s="307">
        <f>G8/lifetime_60a_elprod</f>
        <v>2.0452044501619379E-4</v>
      </c>
      <c r="AE8" s="307">
        <f>H8/lifetime_60a_elprod</f>
        <v>6.7861142285646869E-6</v>
      </c>
      <c r="AF8" s="308">
        <f>I8/lifetime_60a_elprod</f>
        <v>4.7400035177815779E-5</v>
      </c>
      <c r="AG8" s="308">
        <f>J8/lifetime_60a_elprod</f>
        <v>5.5508047616741866E-5</v>
      </c>
      <c r="AH8" s="308">
        <f>K8/lifetime_60a_elprod</f>
        <v>5.9329904948868188E-5</v>
      </c>
      <c r="AI8" s="308">
        <f>L8/lifetime_60a_elprod</f>
        <v>6.7861142285646869E-6</v>
      </c>
      <c r="AJ8" s="309">
        <f>M8/lifetime_60a_elprod</f>
        <v>8.6711061395342278E-5</v>
      </c>
      <c r="AK8" s="309">
        <f>N8/lifetime_60a_elprod</f>
        <v>2.3749384501179797E-4</v>
      </c>
      <c r="AL8" s="309">
        <f>O8/lifetime_60a_elprod</f>
        <v>4.685904076445833E-5</v>
      </c>
      <c r="AM8" s="309">
        <f>P8/lifetime_60a_elprod</f>
        <v>1.2834272335770965E-4</v>
      </c>
      <c r="AN8" s="50">
        <f>I8/lifetime_30a_elprod</f>
        <v>9.4800070355631559E-5</v>
      </c>
      <c r="AO8" s="50">
        <f>I8/lifetime_100a_elprod</f>
        <v>2.8440021106689471E-5</v>
      </c>
      <c r="AP8" s="50">
        <f>O8/lifetime_30a_elprod</f>
        <v>9.371808152891666E-5</v>
      </c>
      <c r="AQ8" s="50">
        <f>O8/lifetime_100a_elprod</f>
        <v>2.8115424458674999E-5</v>
      </c>
      <c r="AR8" s="50">
        <f>P8/lifetime_30a_elprod</f>
        <v>2.5668544671541931E-4</v>
      </c>
      <c r="AS8" s="50">
        <f>P8/lifetime_100a_elprod</f>
        <v>7.7005634014625792E-5</v>
      </c>
      <c r="AV8" s="50">
        <f>U8/lifetime_60a_elprod</f>
        <v>8.3335952018640186E-4</v>
      </c>
      <c r="AW8" s="50">
        <f>V8/lifetime_60a_elprod</f>
        <v>1.4544344764574357E-3</v>
      </c>
      <c r="AX8" s="50">
        <f>W8/lifetime_60a_elprod</f>
        <v>1.9431635615744164E-3</v>
      </c>
      <c r="AY8" s="50">
        <f>X8/lifetime_60a_elprod</f>
        <v>4.5035116742281794E-4</v>
      </c>
      <c r="AZ8" s="50">
        <f>Y8/lifetime_60a_elprod</f>
        <v>5.2738598087076352E-4</v>
      </c>
      <c r="BA8" s="50">
        <f>Z8/lifetime_60a_elprod</f>
        <v>5.636977242015383E-4</v>
      </c>
    </row>
    <row r="9" spans="2:53" x14ac:dyDescent="0.25">
      <c r="B9" s="9"/>
      <c r="C9" s="9" t="s">
        <v>826</v>
      </c>
      <c r="D9" s="56">
        <f>H28*LCIA_CC_ch_el_ev_mediumv</f>
        <v>251821.4242357433</v>
      </c>
      <c r="E9" s="56">
        <f>H28*LCIA_CC_ch_el_BAU_2030</f>
        <v>522829.29228704202</v>
      </c>
      <c r="F9" s="56">
        <f>H28*LCIA_CC_ch_el_BAU_2040</f>
        <v>912476.46374043729</v>
      </c>
      <c r="G9" s="56">
        <f>H28*LCIA_CC_ch_el_BAU_2050</f>
        <v>1219093.0865812621</v>
      </c>
      <c r="H9" s="56">
        <f>H28*LCIA_CC_el_hydro_run</f>
        <v>40450.258848883786</v>
      </c>
      <c r="I9" s="23">
        <f>$H$28*LCIA_CC_ch_el_LOW_2030</f>
        <v>282539.25999627297</v>
      </c>
      <c r="J9" s="23">
        <f>H28*LCIA_CC_ch_el_LOW_2040</f>
        <v>330869.00966715324</v>
      </c>
      <c r="K9" s="23">
        <f>H28*LCIA_CC_ch_el_LOW_2050</f>
        <v>353650.10546970827</v>
      </c>
      <c r="L9" s="23">
        <f>H28*LCIA_CC_el_hydro_run</f>
        <v>40450.258848883786</v>
      </c>
      <c r="M9" s="412">
        <f>$I$28*LCIA_CC_ch_el_BAU_2030</f>
        <v>522829.29228704202</v>
      </c>
      <c r="N9" s="412">
        <f>J28*LCIA_CC_ch_el_BAU_2030</f>
        <v>522829.29228704202</v>
      </c>
      <c r="O9" s="412">
        <f>I28*LCIA_CC_ch_el_LOW_2030</f>
        <v>282539.25999627297</v>
      </c>
      <c r="P9" s="412">
        <f>J28*LCIA_CC_ch_el_LOW_2030</f>
        <v>282539.25999627297</v>
      </c>
      <c r="Q9" s="361">
        <f t="shared" ref="Q9:Q21" si="0">I9</f>
        <v>282539.25999627297</v>
      </c>
      <c r="R9" s="361">
        <f t="shared" ref="R9:R21" si="1">I9</f>
        <v>282539.25999627297</v>
      </c>
      <c r="S9" s="53">
        <f t="shared" ref="S9:S21" si="2">I9</f>
        <v>282539.25999627297</v>
      </c>
      <c r="T9" s="53">
        <f t="shared" ref="T9:T21" si="3">I9</f>
        <v>282539.25999627297</v>
      </c>
      <c r="U9" s="53">
        <f>$M$28*LCIA_CC_ch_el_BAU_2030</f>
        <v>5228292.9228704209</v>
      </c>
      <c r="V9" s="53">
        <f>$M$28*LCIA_CC_ch_el_BAU_2040</f>
        <v>9124764.6374043729</v>
      </c>
      <c r="W9" s="53">
        <f>$M$28*LCIA_CC_ch_el_BAU_2050</f>
        <v>12190930.86581262</v>
      </c>
      <c r="X9" s="53">
        <f>$M$28*LCIA_CC_ch_el_LOW_2030</f>
        <v>2825392.59996273</v>
      </c>
      <c r="Y9" s="53">
        <f>$M$28*LCIA_CC_ch_el_LOW_2040</f>
        <v>3308690.0966715324</v>
      </c>
      <c r="Z9" s="53">
        <f>$M$28*LCIA_CC_ch_el_LOW_2050</f>
        <v>3536501.0546970828</v>
      </c>
      <c r="AA9" s="307">
        <f>D9/lifetime_60a_elprod</f>
        <v>2.8229505829437812E-4</v>
      </c>
      <c r="AB9" s="307">
        <f>E9/lifetime_60a_elprod</f>
        <v>5.8609836709528826E-4</v>
      </c>
      <c r="AC9" s="307">
        <f>F9/lifetime_60a_elprod</f>
        <v>1.0228978622673242E-3</v>
      </c>
      <c r="AD9" s="307">
        <f>G9/lifetime_60a_elprod</f>
        <v>1.3666190435828822E-3</v>
      </c>
      <c r="AE9" s="307">
        <f>H9/lifetime_60a_elprod</f>
        <v>4.5345260890425637E-5</v>
      </c>
      <c r="AF9" s="308">
        <f>I9/lifetime_60a_elprod</f>
        <v>3.1673014761615886E-4</v>
      </c>
      <c r="AG9" s="308">
        <f>J9/lifetime_60a_elprod</f>
        <v>3.7090841915163265E-4</v>
      </c>
      <c r="AH9" s="308">
        <f>K9/lifetime_60a_elprod</f>
        <v>3.9644632080995901E-4</v>
      </c>
      <c r="AI9" s="308">
        <f>L9/lifetime_60a_elprod</f>
        <v>4.5345260890425637E-5</v>
      </c>
      <c r="AJ9" s="309">
        <f>M9/lifetime_60a_elprod</f>
        <v>5.8609836709528826E-4</v>
      </c>
      <c r="AK9" s="309">
        <f>N9/lifetime_60a_elprod</f>
        <v>5.8609836709528826E-4</v>
      </c>
      <c r="AL9" s="309">
        <f>O9/lifetime_60a_elprod</f>
        <v>3.1673014761615886E-4</v>
      </c>
      <c r="AM9" s="309">
        <f>P9/lifetime_60a_elprod</f>
        <v>3.1673014761615886E-4</v>
      </c>
      <c r="AN9" s="50">
        <f>I9/lifetime_30a_elprod</f>
        <v>6.3346029523231773E-4</v>
      </c>
      <c r="AO9" s="50">
        <f>I9/lifetime_100a_elprod</f>
        <v>1.9003808856969532E-4</v>
      </c>
      <c r="AP9" s="50">
        <f>O9/lifetime_30a_elprod</f>
        <v>6.3346029523231773E-4</v>
      </c>
      <c r="AQ9" s="50">
        <f>O9/lifetime_100a_elprod</f>
        <v>1.9003808856969532E-4</v>
      </c>
      <c r="AR9" s="50">
        <f>P9/lifetime_30a_elprod</f>
        <v>6.3346029523231773E-4</v>
      </c>
      <c r="AS9" s="50">
        <f>P9/lifetime_100a_elprod</f>
        <v>1.9003808856969532E-4</v>
      </c>
      <c r="AV9" s="50">
        <f>U9/lifetime_60a_elprod</f>
        <v>5.8609836709528828E-3</v>
      </c>
      <c r="AW9" s="50">
        <f>V9/lifetime_60a_elprod</f>
        <v>1.0228978622673241E-2</v>
      </c>
      <c r="AX9" s="50">
        <f>W9/lifetime_60a_elprod</f>
        <v>1.3666190435828821E-2</v>
      </c>
      <c r="AY9" s="50">
        <f>X9/lifetime_60a_elprod</f>
        <v>3.1673014761615889E-3</v>
      </c>
      <c r="AZ9" s="50">
        <f>Y9/lifetime_60a_elprod</f>
        <v>3.7090841915163267E-3</v>
      </c>
      <c r="BA9" s="50">
        <f>Z9/lifetime_60a_elprod</f>
        <v>3.9644632080995902E-3</v>
      </c>
    </row>
    <row r="10" spans="2:53" x14ac:dyDescent="0.25">
      <c r="B10" s="9"/>
      <c r="C10" s="9" t="s">
        <v>824</v>
      </c>
      <c r="D10" s="56">
        <f>$H$29*LCIA_CC_steel_ev_2020</f>
        <v>4100626.3983987928</v>
      </c>
      <c r="E10" s="56">
        <f>$H$29*LCIA_CC_steel_BAU_2030</f>
        <v>3302299.3575830385</v>
      </c>
      <c r="F10" s="56">
        <f>$H$29*LCIA_CC_steel_BAU_2040</f>
        <v>2998053.2090665149</v>
      </c>
      <c r="G10" s="56">
        <f>$H$29*LCIA_CC_steel_BAU_2050</f>
        <v>2680131.3635865152</v>
      </c>
      <c r="H10" s="56">
        <f t="shared" ref="H10:H19" si="4">E10</f>
        <v>3302299.3575830385</v>
      </c>
      <c r="I10" s="23">
        <f>$H$29*LCIA_CC_steel_LOW_2030</f>
        <v>3168038.7049720376</v>
      </c>
      <c r="J10" s="23">
        <f>$H$29*LCIA_CC_steel_LOW_2040</f>
        <v>2482538.430938263</v>
      </c>
      <c r="K10" s="23">
        <f>$H$29*LCIA_CC_steel_LOW_2050</f>
        <v>2167730.6567426631</v>
      </c>
      <c r="L10" s="23">
        <f t="shared" ref="L10:L19" si="5">I10</f>
        <v>3168038.7049720376</v>
      </c>
      <c r="M10" s="412">
        <f>$I$29*LCIA_CC_steel_BAU_2030</f>
        <v>2694555.5422320296</v>
      </c>
      <c r="N10" s="412">
        <f>$J$29*LCIA_CC_steel_BAU_2030</f>
        <v>4929931.2727119345</v>
      </c>
      <c r="O10" s="412">
        <f>$I$29*LCIA_CC_steel_LOW_2030</f>
        <v>2585003.7583315405</v>
      </c>
      <c r="P10" s="412">
        <f>$J$29*LCIA_CC_steel_LOW_2030</f>
        <v>4729496.4488726659</v>
      </c>
      <c r="Q10" s="361">
        <f t="shared" si="0"/>
        <v>3168038.7049720376</v>
      </c>
      <c r="R10" s="361">
        <f t="shared" si="1"/>
        <v>3168038.7049720376</v>
      </c>
      <c r="S10" s="53">
        <f t="shared" si="2"/>
        <v>3168038.7049720376</v>
      </c>
      <c r="T10" s="53">
        <f t="shared" si="3"/>
        <v>3168038.7049720376</v>
      </c>
      <c r="U10" s="53">
        <f>E10</f>
        <v>3302299.3575830385</v>
      </c>
      <c r="V10" s="53">
        <f>F10</f>
        <v>2998053.2090665149</v>
      </c>
      <c r="W10" s="53">
        <f>G10</f>
        <v>2680131.3635865152</v>
      </c>
      <c r="X10" s="53">
        <f>I10</f>
        <v>3168038.7049720376</v>
      </c>
      <c r="Y10" s="53">
        <f>J10</f>
        <v>2482538.430938263</v>
      </c>
      <c r="Z10" s="53">
        <f>K10</f>
        <v>2167730.6567426631</v>
      </c>
      <c r="AA10" s="307">
        <f>D10/lifetime_60a_elprod</f>
        <v>4.5968549804395326E-3</v>
      </c>
      <c r="AB10" s="307">
        <f>E10/lifetime_60a_elprod</f>
        <v>3.7019200907294067E-3</v>
      </c>
      <c r="AC10" s="307">
        <f>F10/lifetime_60a_elprod</f>
        <v>3.3608562416467787E-3</v>
      </c>
      <c r="AD10" s="307">
        <f>G10/lifetime_60a_elprod</f>
        <v>3.0044617602192764E-3</v>
      </c>
      <c r="AE10" s="307">
        <f>H10/lifetime_60a_elprod</f>
        <v>3.7019200907294067E-3</v>
      </c>
      <c r="AF10" s="308">
        <f>I10/lifetime_60a_elprod</f>
        <v>3.5514121707996772E-3</v>
      </c>
      <c r="AG10" s="308">
        <f>J10/lifetime_60a_elprod</f>
        <v>2.7829575390840747E-3</v>
      </c>
      <c r="AH10" s="308">
        <f>K10/lifetime_60a_elprod</f>
        <v>2.4300539716541818E-3</v>
      </c>
      <c r="AI10" s="308">
        <f>L10/lifetime_60a_elprod</f>
        <v>3.5514121707996772E-3</v>
      </c>
      <c r="AJ10" s="309">
        <f>M10/lifetime_60a_elprod</f>
        <v>3.0206314501650057E-3</v>
      </c>
      <c r="AK10" s="309">
        <f>N10/lifetime_60a_elprod</f>
        <v>5.5265164202814377E-3</v>
      </c>
      <c r="AL10" s="309">
        <f>O10/lifetime_60a_elprod</f>
        <v>2.897822490139864E-3</v>
      </c>
      <c r="AM10" s="309">
        <f>P10/lifetime_60a_elprod</f>
        <v>5.3018264025371147E-3</v>
      </c>
      <c r="AN10" s="50">
        <f>I10/lifetime_30a_elprod</f>
        <v>7.1028243415993545E-3</v>
      </c>
      <c r="AO10" s="50">
        <f>I10/lifetime_100a_elprod</f>
        <v>2.1308473024798063E-3</v>
      </c>
      <c r="AP10" s="50">
        <f>O10/lifetime_30a_elprod</f>
        <v>5.795644980279728E-3</v>
      </c>
      <c r="AQ10" s="50">
        <f>O10/lifetime_100a_elprod</f>
        <v>1.7386934940839184E-3</v>
      </c>
      <c r="AR10" s="50">
        <f>P10/lifetime_30a_elprod</f>
        <v>1.0603652805074229E-2</v>
      </c>
      <c r="AS10" s="50">
        <f>P10/lifetime_100a_elprod</f>
        <v>3.1810958415222691E-3</v>
      </c>
      <c r="AV10" s="50">
        <f>U10/lifetime_60a_elprod</f>
        <v>3.7019200907294067E-3</v>
      </c>
      <c r="AW10" s="50">
        <f>V10/lifetime_60a_elprod</f>
        <v>3.3608562416467787E-3</v>
      </c>
      <c r="AX10" s="50">
        <f>W10/lifetime_60a_elprod</f>
        <v>3.0044617602192764E-3</v>
      </c>
      <c r="AY10" s="50">
        <f>X10/lifetime_60a_elprod</f>
        <v>3.5514121707996772E-3</v>
      </c>
      <c r="AZ10" s="50">
        <f>Y10/lifetime_60a_elprod</f>
        <v>2.7829575390840747E-3</v>
      </c>
      <c r="BA10" s="50">
        <f>Z10/lifetime_60a_elprod</f>
        <v>2.4300539716541818E-3</v>
      </c>
    </row>
    <row r="11" spans="2:53" x14ac:dyDescent="0.25">
      <c r="B11" s="9"/>
      <c r="C11" s="9" t="s">
        <v>825</v>
      </c>
      <c r="D11" s="56">
        <f>$H$30*LCIA_CC_cement_ev_2020</f>
        <v>744766.78613994806</v>
      </c>
      <c r="E11" s="56">
        <f>$H$30*LCIA_CC_cement_BAU_2030</f>
        <v>741069.1163394067</v>
      </c>
      <c r="F11" s="56">
        <f>$H$30*LCIA_CC_cement_BAU_2040</f>
        <v>727218.5783692532</v>
      </c>
      <c r="G11" s="56">
        <f>$H$30*LCIA_CC_cement_BAU_2050</f>
        <v>719368.0489693071</v>
      </c>
      <c r="H11" s="56">
        <f t="shared" si="4"/>
        <v>741069.1163394067</v>
      </c>
      <c r="I11" s="23">
        <f>$H$30*LCIA_CC_cement_LOW_2030</f>
        <v>738163.55483256583</v>
      </c>
      <c r="J11" s="23">
        <f>$H$30*LCIA_CC_cement_LOW_2040</f>
        <v>602049.91975939635</v>
      </c>
      <c r="K11" s="23">
        <f>$H$30*LCIA_CC_cement_LOW_2050</f>
        <v>441069.33280385047</v>
      </c>
      <c r="L11" s="23">
        <f t="shared" si="5"/>
        <v>738163.55483256583</v>
      </c>
      <c r="M11" s="412">
        <f>$I$30*LCIA_CC_cement_BAU_2030</f>
        <v>545610.08830275072</v>
      </c>
      <c r="N11" s="412">
        <f>$J$30*LCIA_CC_cement_BAU_2030</f>
        <v>2025615.5551440469</v>
      </c>
      <c r="O11" s="412">
        <f>$I$30*LCIA_CC_cement_LOW_2030</f>
        <v>543470.87667543686</v>
      </c>
      <c r="P11" s="412">
        <f>$J$30*LCIA_CC_cement_LOW_2030</f>
        <v>2017673.5825872135</v>
      </c>
      <c r="Q11" s="361">
        <f t="shared" si="0"/>
        <v>738163.55483256583</v>
      </c>
      <c r="R11" s="361">
        <f t="shared" si="1"/>
        <v>738163.55483256583</v>
      </c>
      <c r="S11" s="53">
        <f t="shared" si="2"/>
        <v>738163.55483256583</v>
      </c>
      <c r="T11" s="53">
        <f t="shared" si="3"/>
        <v>738163.55483256583</v>
      </c>
      <c r="U11" s="53">
        <f>E11</f>
        <v>741069.1163394067</v>
      </c>
      <c r="V11" s="53">
        <f>F11</f>
        <v>727218.5783692532</v>
      </c>
      <c r="W11" s="53">
        <f>G11</f>
        <v>719368.0489693071</v>
      </c>
      <c r="X11" s="53">
        <f>I11</f>
        <v>738163.55483256583</v>
      </c>
      <c r="Y11" s="53">
        <f>J11</f>
        <v>602049.91975939635</v>
      </c>
      <c r="Z11" s="53">
        <f>K11</f>
        <v>441069.33280385047</v>
      </c>
      <c r="AA11" s="307">
        <f>D11/lifetime_60a_elprod</f>
        <v>8.3489315473123853E-4</v>
      </c>
      <c r="AB11" s="307">
        <f>E11/lifetime_60a_elprod</f>
        <v>8.3074801928430372E-4</v>
      </c>
      <c r="AC11" s="307">
        <f>F11/lifetime_60a_elprod</f>
        <v>8.1522138792019595E-4</v>
      </c>
      <c r="AD11" s="307">
        <f>G11/lifetime_60a_elprod</f>
        <v>8.0642084340208989E-4</v>
      </c>
      <c r="AE11" s="307">
        <f>H11/lifetime_60a_elprod</f>
        <v>8.3074801928430372E-4</v>
      </c>
      <c r="AF11" s="308">
        <f>I11/lifetime_60a_elprod</f>
        <v>8.2749084743150817E-4</v>
      </c>
      <c r="AG11" s="308">
        <f>J11/lifetime_60a_elprod</f>
        <v>6.7490571030803142E-4</v>
      </c>
      <c r="AH11" s="308">
        <f>K11/lifetime_60a_elprod</f>
        <v>4.9444440000928386E-4</v>
      </c>
      <c r="AI11" s="308">
        <f>L11/lifetime_60a_elprod</f>
        <v>8.2749084743150817E-4</v>
      </c>
      <c r="AJ11" s="309">
        <f>M11/lifetime_60a_elprod</f>
        <v>6.116359326887006E-4</v>
      </c>
      <c r="AK11" s="309">
        <f>N11/lifetime_60a_elprod</f>
        <v>2.2707411132981115E-3</v>
      </c>
      <c r="AL11" s="309">
        <f>O11/lifetime_60a_elprod</f>
        <v>6.092378489161649E-4</v>
      </c>
      <c r="AM11" s="309">
        <f>P11/lifetime_60a_elprod</f>
        <v>2.2618380598239769E-3</v>
      </c>
      <c r="AN11" s="50">
        <f>I11/lifetime_30a_elprod</f>
        <v>1.6549816948630163E-3</v>
      </c>
      <c r="AO11" s="50">
        <f>I11/lifetime_100a_elprod</f>
        <v>4.9649450845890496E-4</v>
      </c>
      <c r="AP11" s="50">
        <f>O11/lifetime_30a_elprod</f>
        <v>1.2184756978323298E-3</v>
      </c>
      <c r="AQ11" s="50">
        <f>O11/lifetime_100a_elprod</f>
        <v>3.6554270934969894E-4</v>
      </c>
      <c r="AR11" s="50">
        <f>P11/lifetime_30a_elprod</f>
        <v>4.5236761196479538E-3</v>
      </c>
      <c r="AS11" s="50">
        <f>P11/lifetime_100a_elprod</f>
        <v>1.357102835894386E-3</v>
      </c>
      <c r="AV11" s="50">
        <f>U11/lifetime_60a_elprod</f>
        <v>8.3074801928430372E-4</v>
      </c>
      <c r="AW11" s="50">
        <f>V11/lifetime_60a_elprod</f>
        <v>8.1522138792019595E-4</v>
      </c>
      <c r="AX11" s="50">
        <f>W11/lifetime_60a_elprod</f>
        <v>8.0642084340208989E-4</v>
      </c>
      <c r="AY11" s="50">
        <f>X11/lifetime_60a_elprod</f>
        <v>8.2749084743150817E-4</v>
      </c>
      <c r="AZ11" s="50">
        <f>Y11/lifetime_60a_elprod</f>
        <v>6.7490571030803142E-4</v>
      </c>
      <c r="BA11" s="50">
        <f>Z11/lifetime_60a_elprod</f>
        <v>4.9444440000928386E-4</v>
      </c>
    </row>
    <row r="12" spans="2:53" x14ac:dyDescent="0.25">
      <c r="B12" s="9"/>
      <c r="C12" s="9" t="s">
        <v>1280</v>
      </c>
      <c r="D12" s="56">
        <f>$H$31*LCIA_CC_water_ev_2020</f>
        <v>25.394265697640119</v>
      </c>
      <c r="E12" s="56">
        <f>$H$31*LCIA_CC_water_BAU_2030</f>
        <v>56.064954157528923</v>
      </c>
      <c r="F12" s="56">
        <f>$H$31*LCIA_CC_water_BAU_2040</f>
        <v>44.919303560295724</v>
      </c>
      <c r="G12" s="56">
        <f>$H$31*LCIA_CC_water_BAU_2050</f>
        <v>33.500413364394753</v>
      </c>
      <c r="H12" s="56">
        <f t="shared" si="4"/>
        <v>56.064954157528923</v>
      </c>
      <c r="I12" s="23">
        <f>$H$31*LCIA_CC_water_LOW_2030</f>
        <v>52.430432695423377</v>
      </c>
      <c r="J12" s="23">
        <f>$H$31*LCIA_CC_water_LOW_2040</f>
        <v>23.401125793179602</v>
      </c>
      <c r="K12" s="23">
        <f>$H$31*LCIA_CC_water_LOW_2050</f>
        <v>15.149204965064078</v>
      </c>
      <c r="L12" s="23">
        <f t="shared" si="5"/>
        <v>52.430432695423377</v>
      </c>
      <c r="M12" s="412">
        <f>$I$31*LCIA_CC_water_BAU_2030</f>
        <v>41.277667513227094</v>
      </c>
      <c r="N12" s="412">
        <f>$J$31*LCIA_CC_water_BAU_2030</f>
        <v>153.2462232414982</v>
      </c>
      <c r="O12" s="412">
        <f>$I$31*LCIA_CC_water_LOW_2030</f>
        <v>38.60176113397727</v>
      </c>
      <c r="P12" s="412">
        <f>$J$31*LCIA_CC_water_LOW_2030</f>
        <v>143.31173393837895</v>
      </c>
      <c r="Q12" s="361">
        <f t="shared" si="0"/>
        <v>52.430432695423377</v>
      </c>
      <c r="R12" s="361">
        <f t="shared" si="1"/>
        <v>52.430432695423377</v>
      </c>
      <c r="S12" s="53">
        <f t="shared" si="2"/>
        <v>52.430432695423377</v>
      </c>
      <c r="T12" s="53">
        <f t="shared" si="3"/>
        <v>52.430432695423377</v>
      </c>
      <c r="U12" s="53">
        <f>E12</f>
        <v>56.064954157528923</v>
      </c>
      <c r="V12" s="53">
        <f>F12</f>
        <v>44.919303560295724</v>
      </c>
      <c r="W12" s="53">
        <f>G12</f>
        <v>33.500413364394753</v>
      </c>
      <c r="X12" s="53">
        <f>I12</f>
        <v>52.430432695423377</v>
      </c>
      <c r="Y12" s="53">
        <f>J12</f>
        <v>23.401125793179602</v>
      </c>
      <c r="Z12" s="53">
        <f>K12</f>
        <v>15.149204965064078</v>
      </c>
      <c r="AA12" s="307">
        <f>D12/lifetime_60a_elprod</f>
        <v>2.8467298750352827E-8</v>
      </c>
      <c r="AB12" s="307">
        <f>E12/lifetime_60a_elprod</f>
        <v>6.284953534118252E-8</v>
      </c>
      <c r="AC12" s="307">
        <f>F12/lifetime_60a_elprod</f>
        <v>5.0355117542444152E-8</v>
      </c>
      <c r="AD12" s="307">
        <f>G12/lifetime_60a_elprod</f>
        <v>3.755439463615448E-8</v>
      </c>
      <c r="AE12" s="307">
        <f>H12/lifetime_60a_elprod</f>
        <v>6.284953534118252E-8</v>
      </c>
      <c r="AF12" s="308">
        <f>I12/lifetime_60a_elprod</f>
        <v>5.877518999455008E-8</v>
      </c>
      <c r="AG12" s="308">
        <f>J12/lifetime_60a_elprod</f>
        <v>2.6232963259533733E-8</v>
      </c>
      <c r="AH12" s="308">
        <f>K12/lifetime_60a_elprod</f>
        <v>1.6982453783291873E-8</v>
      </c>
      <c r="AI12" s="308">
        <f>L12/lifetime_60a_elprod</f>
        <v>5.877518999455008E-8</v>
      </c>
      <c r="AJ12" s="309">
        <f>M12/lifetime_60a_elprod</f>
        <v>4.627279665448123E-8</v>
      </c>
      <c r="AK12" s="309">
        <f>N12/lifetime_60a_elprod</f>
        <v>1.7179098900994794E-7</v>
      </c>
      <c r="AL12" s="309">
        <f>O12/lifetime_60a_elprod</f>
        <v>4.3273071156092091E-8</v>
      </c>
      <c r="AM12" s="309">
        <f>P12/lifetime_60a_elprod</f>
        <v>1.6065429861332973E-7</v>
      </c>
      <c r="AN12" s="50">
        <f>I12/lifetime_30a_elprod</f>
        <v>1.1755037998910016E-7</v>
      </c>
      <c r="AO12" s="50">
        <f>I12/lifetime_100a_elprod</f>
        <v>3.5265113996730051E-8</v>
      </c>
      <c r="AP12" s="50">
        <f>O12/lifetime_30a_elprod</f>
        <v>8.6546142312184182E-8</v>
      </c>
      <c r="AQ12" s="50">
        <f>O12/lifetime_100a_elprod</f>
        <v>2.5963842693655255E-8</v>
      </c>
      <c r="AR12" s="50">
        <f>P12/lifetime_30a_elprod</f>
        <v>3.2130859722665945E-7</v>
      </c>
      <c r="AS12" s="50">
        <f>P12/lifetime_100a_elprod</f>
        <v>9.6392579167997844E-8</v>
      </c>
      <c r="AV12" s="50">
        <f>U12/lifetime_60a_elprod</f>
        <v>6.284953534118252E-8</v>
      </c>
      <c r="AW12" s="50">
        <f>V12/lifetime_60a_elprod</f>
        <v>5.0355117542444152E-8</v>
      </c>
      <c r="AX12" s="50">
        <f>W12/lifetime_60a_elprod</f>
        <v>3.755439463615448E-8</v>
      </c>
      <c r="AY12" s="50">
        <f>X12/lifetime_60a_elprod</f>
        <v>5.877518999455008E-8</v>
      </c>
      <c r="AZ12" s="50">
        <f>Y12/lifetime_60a_elprod</f>
        <v>2.6232963259533733E-8</v>
      </c>
      <c r="BA12" s="50">
        <f>Z12/lifetime_60a_elprod</f>
        <v>1.6982453783291873E-8</v>
      </c>
    </row>
    <row r="13" spans="2:53" x14ac:dyDescent="0.25">
      <c r="B13" s="9"/>
      <c r="C13" s="9" t="s">
        <v>817</v>
      </c>
      <c r="D13" s="56">
        <f>$E$32*P71</f>
        <v>1794039.9715909101</v>
      </c>
      <c r="E13" s="56">
        <f>$E$32*Q71</f>
        <v>1659994.0797162501</v>
      </c>
      <c r="F13" s="56">
        <f>$E$32*R71</f>
        <v>1558780.85591546</v>
      </c>
      <c r="G13" s="56">
        <f>$E$32*S71</f>
        <v>1501880.7688502001</v>
      </c>
      <c r="H13" s="56">
        <f t="shared" si="4"/>
        <v>1659994.0797162501</v>
      </c>
      <c r="I13" s="23">
        <f>$E$32*T71</f>
        <v>1501485.7975568201</v>
      </c>
      <c r="J13" s="23">
        <f>$E$32*U71</f>
        <v>1169593.9558528501</v>
      </c>
      <c r="K13" s="23">
        <f>$E$32*V71</f>
        <v>973872.61671132396</v>
      </c>
      <c r="L13" s="23">
        <f t="shared" si="5"/>
        <v>1501485.7975568201</v>
      </c>
      <c r="M13" s="412">
        <f>$E$13</f>
        <v>1659994.0797162501</v>
      </c>
      <c r="N13" s="412">
        <f>$E$13</f>
        <v>1659994.0797162501</v>
      </c>
      <c r="O13" s="412">
        <f>$I$13</f>
        <v>1501485.7975568201</v>
      </c>
      <c r="P13" s="412">
        <f>$I$13</f>
        <v>1501485.7975568201</v>
      </c>
      <c r="Q13" s="361">
        <f t="shared" si="0"/>
        <v>1501485.7975568201</v>
      </c>
      <c r="R13" s="361">
        <f t="shared" si="1"/>
        <v>1501485.7975568201</v>
      </c>
      <c r="S13" s="53">
        <f t="shared" si="2"/>
        <v>1501485.7975568201</v>
      </c>
      <c r="T13" s="53">
        <f t="shared" si="3"/>
        <v>1501485.7975568201</v>
      </c>
      <c r="U13" s="53">
        <f>E13</f>
        <v>1659994.0797162501</v>
      </c>
      <c r="V13" s="53">
        <f>F13</f>
        <v>1558780.85591546</v>
      </c>
      <c r="W13" s="53">
        <f>G13</f>
        <v>1501880.7688502001</v>
      </c>
      <c r="X13" s="53">
        <f>I13</f>
        <v>1501485.7975568201</v>
      </c>
      <c r="Y13" s="53">
        <f>J13</f>
        <v>1169593.9558528501</v>
      </c>
      <c r="Z13" s="53">
        <f>K13</f>
        <v>973872.61671132396</v>
      </c>
      <c r="AA13" s="307">
        <f>D13/lifetime_60a_elprod</f>
        <v>2.0111419030359673E-3</v>
      </c>
      <c r="AB13" s="307">
        <f>E13/lifetime_60a_elprod</f>
        <v>1.8608747326563154E-3</v>
      </c>
      <c r="AC13" s="307">
        <f>F13/lifetime_60a_elprod</f>
        <v>1.7474134058461778E-3</v>
      </c>
      <c r="AD13" s="307">
        <f>G13/lifetime_60a_elprod</f>
        <v>1.6836276757646669E-3</v>
      </c>
      <c r="AE13" s="307">
        <f>H13/lifetime_60a_elprod</f>
        <v>1.8608747326563154E-3</v>
      </c>
      <c r="AF13" s="308">
        <f>I13/lifetime_60a_elprod</f>
        <v>1.6831849078602771E-3</v>
      </c>
      <c r="AG13" s="308">
        <f>J13/lifetime_60a_elprod</f>
        <v>1.3111298808283387E-3</v>
      </c>
      <c r="AH13" s="308">
        <f>K13/lifetime_60a_elprod</f>
        <v>1.0917237401074152E-3</v>
      </c>
      <c r="AI13" s="308">
        <f>L13/lifetime_60a_elprod</f>
        <v>1.6831849078602771E-3</v>
      </c>
      <c r="AJ13" s="309">
        <f>M13/lifetime_60a_elprod</f>
        <v>1.8608747326563154E-3</v>
      </c>
      <c r="AK13" s="309">
        <f>N13/lifetime_60a_elprod</f>
        <v>1.8608747326563154E-3</v>
      </c>
      <c r="AL13" s="309">
        <f>O13/lifetime_60a_elprod</f>
        <v>1.6831849078602771E-3</v>
      </c>
      <c r="AM13" s="309">
        <f>P13/lifetime_60a_elprod</f>
        <v>1.6831849078602771E-3</v>
      </c>
      <c r="AN13" s="50">
        <f>I13/lifetime_30a_elprod</f>
        <v>3.3663698157205542E-3</v>
      </c>
      <c r="AO13" s="50">
        <f>I13/lifetime_100a_elprod</f>
        <v>1.0099109447161663E-3</v>
      </c>
      <c r="AP13" s="50">
        <f>O13/lifetime_30a_elprod</f>
        <v>3.3663698157205542E-3</v>
      </c>
      <c r="AQ13" s="351">
        <f>O13/lifetime_100a_elprod</f>
        <v>1.0099109447161663E-3</v>
      </c>
      <c r="AR13" s="50">
        <f>P13/lifetime_30a_elprod</f>
        <v>3.3663698157205542E-3</v>
      </c>
      <c r="AS13" s="50">
        <f>P13/lifetime_100a_elprod</f>
        <v>1.0099109447161663E-3</v>
      </c>
      <c r="AV13" s="50">
        <f>U13/lifetime_60a_elprod</f>
        <v>1.8608747326563154E-3</v>
      </c>
      <c r="AW13" s="50">
        <f>V13/lifetime_60a_elprod</f>
        <v>1.7474134058461778E-3</v>
      </c>
      <c r="AX13" s="50">
        <f>W13/lifetime_60a_elprod</f>
        <v>1.6836276757646669E-3</v>
      </c>
      <c r="AY13" s="50">
        <f>X13/lifetime_60a_elprod</f>
        <v>1.6831849078602771E-3</v>
      </c>
      <c r="AZ13" s="50">
        <f>Y13/lifetime_60a_elprod</f>
        <v>1.3111298808283387E-3</v>
      </c>
      <c r="BA13" s="50">
        <f>Z13/lifetime_60a_elprod</f>
        <v>1.0917237401074152E-3</v>
      </c>
    </row>
    <row r="14" spans="2:53" x14ac:dyDescent="0.25">
      <c r="B14" s="9" t="s">
        <v>849</v>
      </c>
      <c r="C14" s="9" t="s">
        <v>818</v>
      </c>
      <c r="D14" s="56">
        <f>$E$33*P56</f>
        <v>18706.938786313793</v>
      </c>
      <c r="E14" s="56">
        <f>$E$33*Q56</f>
        <v>16163.879170996908</v>
      </c>
      <c r="F14" s="56">
        <f>$E$33*R56</f>
        <v>15166.624106659177</v>
      </c>
      <c r="G14" s="56">
        <f>$E$33*S56</f>
        <v>14393.920942791663</v>
      </c>
      <c r="H14" s="56">
        <f t="shared" si="4"/>
        <v>16163.879170996908</v>
      </c>
      <c r="I14" s="23">
        <f>$E$33*T56</f>
        <v>14642.773359404791</v>
      </c>
      <c r="J14" s="23">
        <f>$E$33*U56</f>
        <v>13322.340273208714</v>
      </c>
      <c r="K14" s="23">
        <f>$E$33*V56</f>
        <v>12902.250305018835</v>
      </c>
      <c r="L14" s="23">
        <f t="shared" si="5"/>
        <v>14642.773359404791</v>
      </c>
      <c r="M14" s="412">
        <f>$I$33*Q56</f>
        <v>15579.501760621028</v>
      </c>
      <c r="N14" s="412">
        <f>$J$33*Q56</f>
        <v>26760.589545812909</v>
      </c>
      <c r="O14" s="412">
        <f>$I$33*T56</f>
        <v>14113.388928479097</v>
      </c>
      <c r="P14" s="412">
        <f>$J$33*T56</f>
        <v>24242.27770685744</v>
      </c>
      <c r="Q14" s="361">
        <f t="shared" si="0"/>
        <v>14642.773359404791</v>
      </c>
      <c r="R14" s="361">
        <f t="shared" si="1"/>
        <v>14642.773359404791</v>
      </c>
      <c r="S14" s="53">
        <f t="shared" si="2"/>
        <v>14642.773359404791</v>
      </c>
      <c r="T14" s="53">
        <f t="shared" si="3"/>
        <v>14642.773359404791</v>
      </c>
      <c r="U14" s="53">
        <f>E14</f>
        <v>16163.879170996908</v>
      </c>
      <c r="V14" s="53">
        <f>F14</f>
        <v>15166.624106659177</v>
      </c>
      <c r="W14" s="53">
        <f>G14</f>
        <v>14393.920942791663</v>
      </c>
      <c r="X14" s="53">
        <f>I14</f>
        <v>14642.773359404791</v>
      </c>
      <c r="Y14" s="53">
        <f>J14</f>
        <v>13322.340273208714</v>
      </c>
      <c r="Z14" s="53">
        <f>K14</f>
        <v>12902.250305018835</v>
      </c>
      <c r="AA14" s="307">
        <f>D14/lifetime_60a_elprod</f>
        <v>2.0970719196028805E-5</v>
      </c>
      <c r="AB14" s="307">
        <f>E14/lifetime_60a_elprod</f>
        <v>1.8119916630160139E-5</v>
      </c>
      <c r="AC14" s="307">
        <f>F14/lifetime_60a_elprod</f>
        <v>1.7001980865258589E-5</v>
      </c>
      <c r="AD14" s="307">
        <f>G14/lifetime_60a_elprod</f>
        <v>1.6135770671466551E-5</v>
      </c>
      <c r="AE14" s="307">
        <f>H14/lifetime_60a_elprod</f>
        <v>1.8119916630160139E-5</v>
      </c>
      <c r="AF14" s="308">
        <f>I14/lifetime_60a_elprod</f>
        <v>1.6414737433995601E-5</v>
      </c>
      <c r="AG14" s="308">
        <f>J14/lifetime_60a_elprod</f>
        <v>1.4934514946283059E-5</v>
      </c>
      <c r="AH14" s="308">
        <f>K14/lifetime_60a_elprod</f>
        <v>1.4463588684075808E-5</v>
      </c>
      <c r="AI14" s="308">
        <f>L14/lifetime_60a_elprod</f>
        <v>1.6414737433995601E-5</v>
      </c>
      <c r="AJ14" s="309">
        <f>M14/lifetime_60a_elprod</f>
        <v>1.746482203037127E-5</v>
      </c>
      <c r="AK14" s="309">
        <f>N14/lifetime_60a_elprod</f>
        <v>2.999896537299831E-5</v>
      </c>
      <c r="AL14" s="309">
        <f>O14/lifetime_60a_elprod</f>
        <v>1.5821290672101331E-5</v>
      </c>
      <c r="AM14" s="309">
        <f>P14/lifetime_60a_elprod</f>
        <v>2.717590538301176E-5</v>
      </c>
      <c r="AN14" s="50">
        <f>I14/lifetime_30a_elprod</f>
        <v>3.2829474867991202E-5</v>
      </c>
      <c r="AO14" s="50">
        <f>I14/lifetime_100a_elprod</f>
        <v>9.84884246039736E-6</v>
      </c>
      <c r="AP14" s="50">
        <f>O14/lifetime_30a_elprod</f>
        <v>3.1642581344202662E-5</v>
      </c>
      <c r="AQ14" s="50">
        <f>O14/lifetime_100a_elprod</f>
        <v>9.4927744032607993E-6</v>
      </c>
      <c r="AR14" s="50">
        <f>P14/lifetime_30a_elprod</f>
        <v>5.435181076602352E-5</v>
      </c>
      <c r="AS14" s="50">
        <f>P14/lifetime_100a_elprod</f>
        <v>1.6305543229807055E-5</v>
      </c>
      <c r="AV14" s="50">
        <f>U14/lifetime_60a_elprod</f>
        <v>1.8119916630160139E-5</v>
      </c>
      <c r="AW14" s="50">
        <f>V14/lifetime_60a_elprod</f>
        <v>1.7001980865258589E-5</v>
      </c>
      <c r="AX14" s="50">
        <f>W14/lifetime_60a_elprod</f>
        <v>1.6135770671466551E-5</v>
      </c>
      <c r="AY14" s="50">
        <f>X14/lifetime_60a_elprod</f>
        <v>1.6414737433995601E-5</v>
      </c>
      <c r="AZ14" s="50">
        <f>Y14/lifetime_60a_elprod</f>
        <v>1.4934514946283059E-5</v>
      </c>
      <c r="BA14" s="50">
        <f>Z14/lifetime_60a_elprod</f>
        <v>1.4463588684075808E-5</v>
      </c>
    </row>
    <row r="15" spans="2:53" x14ac:dyDescent="0.25">
      <c r="B15" s="9"/>
      <c r="C15" s="9" t="s">
        <v>819</v>
      </c>
      <c r="D15" s="56">
        <f>$E$34*(P59-P57)</f>
        <v>3420.2672132808625</v>
      </c>
      <c r="E15" s="56">
        <f>$E$34*(Q59-Q57)</f>
        <v>2809.7165577599835</v>
      </c>
      <c r="F15" s="56">
        <f>$E$34*(R59-R57)</f>
        <v>2559.117397347155</v>
      </c>
      <c r="G15" s="56">
        <f>$E$34*(S59-S57)</f>
        <v>2360.41550287262</v>
      </c>
      <c r="H15" s="56">
        <f t="shared" si="4"/>
        <v>2809.7165577599835</v>
      </c>
      <c r="I15" s="23">
        <f>$E$34*(T59-T57)</f>
        <v>2462.7385397504081</v>
      </c>
      <c r="J15" s="23">
        <f>$E$34*(U59-U57)</f>
        <v>2048.0579156051849</v>
      </c>
      <c r="K15" s="23">
        <f>$E$34*(V59-V57)</f>
        <v>1931.7618874148845</v>
      </c>
      <c r="L15" s="23">
        <f t="shared" si="5"/>
        <v>2462.7385397504081</v>
      </c>
      <c r="M15" s="412">
        <f>$I$34*(Q59-Q57)</f>
        <v>2708.1360603716985</v>
      </c>
      <c r="N15" s="412">
        <f>$J$34*(Q59-Q57)</f>
        <v>4651.7095770675651</v>
      </c>
      <c r="O15" s="412">
        <f>$I$34*(T59-T57)</f>
        <v>2373.7024392532858</v>
      </c>
      <c r="P15" s="412">
        <f>$J$34*(T59-T57)</f>
        <v>4077.2598287648957</v>
      </c>
      <c r="Q15" s="361">
        <f t="shared" si="0"/>
        <v>2462.7385397504081</v>
      </c>
      <c r="R15" s="361">
        <f t="shared" si="1"/>
        <v>2462.7385397504081</v>
      </c>
      <c r="S15" s="53">
        <f t="shared" si="2"/>
        <v>2462.7385397504081</v>
      </c>
      <c r="T15" s="53">
        <f t="shared" si="3"/>
        <v>2462.7385397504081</v>
      </c>
      <c r="U15" s="53">
        <f>E15</f>
        <v>2809.7165577599835</v>
      </c>
      <c r="V15" s="53">
        <f>F15</f>
        <v>2559.117397347155</v>
      </c>
      <c r="W15" s="53">
        <f>G15</f>
        <v>2360.41550287262</v>
      </c>
      <c r="X15" s="53">
        <f>I15</f>
        <v>2462.7385397504081</v>
      </c>
      <c r="Y15" s="53">
        <f>J15</f>
        <v>2048.0579156051849</v>
      </c>
      <c r="Z15" s="53">
        <f>K15</f>
        <v>1931.7618874148845</v>
      </c>
      <c r="AA15" s="307">
        <f>D15/lifetime_60a_elprod</f>
        <v>3.8341635755804193E-6</v>
      </c>
      <c r="AB15" s="307">
        <f>E15/lifetime_60a_elprod</f>
        <v>3.1497284310528184E-6</v>
      </c>
      <c r="AC15" s="307">
        <f>F15/lifetime_60a_elprod</f>
        <v>2.8688035462382707E-6</v>
      </c>
      <c r="AD15" s="307">
        <f>G15/lifetime_60a_elprod</f>
        <v>2.6460561646200131E-6</v>
      </c>
      <c r="AE15" s="307">
        <f>H15/lifetime_60a_elprod</f>
        <v>3.1497284310528184E-6</v>
      </c>
      <c r="AF15" s="308">
        <f>I15/lifetime_60a_elprod</f>
        <v>2.7607616061762165E-6</v>
      </c>
      <c r="AG15" s="308">
        <f>J15/lifetime_60a_elprod</f>
        <v>2.2958992882781308E-6</v>
      </c>
      <c r="AH15" s="308">
        <f>K15/lifetime_60a_elprod</f>
        <v>2.165529943584679E-6</v>
      </c>
      <c r="AI15" s="308">
        <f>L15/lifetime_60a_elprod</f>
        <v>2.7607616061762165E-6</v>
      </c>
      <c r="AJ15" s="309">
        <f>M15/lifetime_60a_elprod</f>
        <v>3.0358553858231439E-6</v>
      </c>
      <c r="AK15" s="309">
        <f>N15/lifetime_60a_elprod</f>
        <v>5.2146263178842639E-6</v>
      </c>
      <c r="AL15" s="309">
        <f>O15/lifetime_60a_elprod</f>
        <v>2.660950991346997E-6</v>
      </c>
      <c r="AM15" s="309">
        <f>P15/lifetime_60a_elprod</f>
        <v>4.5706607550794002E-6</v>
      </c>
      <c r="AN15" s="50">
        <f>I15/lifetime_30a_elprod</f>
        <v>5.521523212352433E-6</v>
      </c>
      <c r="AO15" s="50">
        <f>I15/lifetime_100a_elprod</f>
        <v>1.6564569637057301E-6</v>
      </c>
      <c r="AP15" s="50">
        <f>O15/lifetime_30a_elprod</f>
        <v>5.321901982693994E-6</v>
      </c>
      <c r="AQ15" s="50">
        <f>O15/lifetime_100a_elprod</f>
        <v>1.5965705948081983E-6</v>
      </c>
      <c r="AR15" s="50">
        <f>P15/lifetime_30a_elprod</f>
        <v>9.1413215101588004E-6</v>
      </c>
      <c r="AS15" s="50">
        <f>P15/lifetime_100a_elprod</f>
        <v>2.74239645304764E-6</v>
      </c>
      <c r="AV15" s="50">
        <f>U15/lifetime_60a_elprod</f>
        <v>3.1497284310528184E-6</v>
      </c>
      <c r="AW15" s="50">
        <f>V15/lifetime_60a_elprod</f>
        <v>2.8688035462382707E-6</v>
      </c>
      <c r="AX15" s="50">
        <f>W15/lifetime_60a_elprod</f>
        <v>2.6460561646200131E-6</v>
      </c>
      <c r="AY15" s="50">
        <f>X15/lifetime_60a_elprod</f>
        <v>2.7607616061762165E-6</v>
      </c>
      <c r="AZ15" s="50">
        <f>Y15/lifetime_60a_elprod</f>
        <v>2.2958992882781308E-6</v>
      </c>
      <c r="BA15" s="50">
        <f>Z15/lifetime_60a_elprod</f>
        <v>2.165529943584679E-6</v>
      </c>
    </row>
    <row r="16" spans="2:53" x14ac:dyDescent="0.25">
      <c r="B16" s="9"/>
      <c r="C16" s="9" t="s">
        <v>754</v>
      </c>
      <c r="D16" s="56">
        <f>$E$35*(P61-P59)</f>
        <v>12977.067861358544</v>
      </c>
      <c r="E16" s="56">
        <f>$E$35*(Q61-Q59)</f>
        <v>11773.74190619699</v>
      </c>
      <c r="F16" s="56">
        <f>$E$35*(R61-R59)</f>
        <v>9976.0337418520703</v>
      </c>
      <c r="G16" s="56">
        <f>$E$35*(S61-S59)</f>
        <v>8708.3492490224307</v>
      </c>
      <c r="H16" s="56">
        <f t="shared" si="4"/>
        <v>11773.74190619699</v>
      </c>
      <c r="I16" s="23">
        <f>E35*(T61-T59)</f>
        <v>10093.65539128138</v>
      </c>
      <c r="J16" s="23">
        <f>E35*(U61-U59)</f>
        <v>7128.7422129732313</v>
      </c>
      <c r="K16" s="23">
        <f>E35*(V61-V59)</f>
        <v>5344.9176943466109</v>
      </c>
      <c r="L16" s="23">
        <f t="shared" si="5"/>
        <v>10093.65539128138</v>
      </c>
      <c r="M16" s="412">
        <f>I35*(Q61-Q59)</f>
        <v>11348.082401273023</v>
      </c>
      <c r="N16" s="412">
        <f>J35*(Q61-Q59)</f>
        <v>19492.367595484968</v>
      </c>
      <c r="O16" s="412">
        <f>I35*(T61-T59)</f>
        <v>9728.7365412712079</v>
      </c>
      <c r="P16" s="412">
        <f>J35*(T61-T59)</f>
        <v>16710.850538132512</v>
      </c>
      <c r="Q16" s="361">
        <f t="shared" si="0"/>
        <v>10093.65539128138</v>
      </c>
      <c r="R16" s="361">
        <f t="shared" si="1"/>
        <v>10093.65539128138</v>
      </c>
      <c r="S16" s="53">
        <f t="shared" si="2"/>
        <v>10093.65539128138</v>
      </c>
      <c r="T16" s="53">
        <f t="shared" si="3"/>
        <v>10093.65539128138</v>
      </c>
      <c r="U16" s="53">
        <f>E16</f>
        <v>11773.74190619699</v>
      </c>
      <c r="V16" s="53">
        <f>F16</f>
        <v>9976.0337418520703</v>
      </c>
      <c r="W16" s="53">
        <f>G16</f>
        <v>8708.3492490224307</v>
      </c>
      <c r="X16" s="53">
        <f>I16</f>
        <v>10093.65539128138</v>
      </c>
      <c r="Y16" s="53">
        <f>J16</f>
        <v>7128.7422129732313</v>
      </c>
      <c r="Z16" s="53">
        <f>K16</f>
        <v>5344.9176943466109</v>
      </c>
      <c r="AA16" s="307">
        <f>D16/lifetime_60a_elprod</f>
        <v>1.4547460127867614E-5</v>
      </c>
      <c r="AB16" s="307">
        <f>E16/lifetime_60a_elprod</f>
        <v>1.3198516241578319E-5</v>
      </c>
      <c r="AC16" s="307">
        <f>F16/lifetime_60a_elprod</f>
        <v>1.118326224724404E-5</v>
      </c>
      <c r="AD16" s="307">
        <f>G16/lifetime_60a_elprod</f>
        <v>9.7621716117339743E-6</v>
      </c>
      <c r="AE16" s="307">
        <f>H16/lifetime_60a_elprod</f>
        <v>1.3198516241578319E-5</v>
      </c>
      <c r="AF16" s="308">
        <f>I16/lifetime_60a_elprod</f>
        <v>1.1315117630411294E-5</v>
      </c>
      <c r="AG16" s="308">
        <f>J16/lifetime_60a_elprod</f>
        <v>7.991411789860066E-6</v>
      </c>
      <c r="AH16" s="308">
        <f>K16/lifetime_60a_elprod</f>
        <v>5.9917215411017666E-6</v>
      </c>
      <c r="AI16" s="308">
        <f>L16/lifetime_60a_elprod</f>
        <v>1.1315117630411294E-5</v>
      </c>
      <c r="AJ16" s="309">
        <f>M16/lifetime_60a_elprod</f>
        <v>1.2721346456994867E-5</v>
      </c>
      <c r="AK16" s="309">
        <f>N16/lifetime_60a_elprod</f>
        <v>2.1851195002024939E-5</v>
      </c>
      <c r="AL16" s="309">
        <f>O16/lifetime_60a_elprod</f>
        <v>1.0906038901907634E-5</v>
      </c>
      <c r="AM16" s="309">
        <f>P16/lifetime_60a_elprod</f>
        <v>1.8733078573944367E-5</v>
      </c>
      <c r="AN16" s="50">
        <f>I16/lifetime_30a_elprod</f>
        <v>2.2630235260822588E-5</v>
      </c>
      <c r="AO16" s="50">
        <f>I16/lifetime_100a_elprod</f>
        <v>6.7890705782467768E-6</v>
      </c>
      <c r="AP16" s="50">
        <f>O16/lifetime_30a_elprod</f>
        <v>2.1812077803815267E-5</v>
      </c>
      <c r="AQ16" s="50">
        <f>O16/lifetime_100a_elprod</f>
        <v>6.5436233411445802E-6</v>
      </c>
      <c r="AR16" s="50">
        <f>P16/lifetime_30a_elprod</f>
        <v>3.7466157147888733E-5</v>
      </c>
      <c r="AS16" s="50">
        <f>P16/lifetime_100a_elprod</f>
        <v>1.1239847144366621E-5</v>
      </c>
      <c r="AV16" s="50">
        <f>U16/lifetime_60a_elprod</f>
        <v>1.3198516241578319E-5</v>
      </c>
      <c r="AW16" s="50">
        <f>V16/lifetime_60a_elprod</f>
        <v>1.118326224724404E-5</v>
      </c>
      <c r="AX16" s="50">
        <f>W16/lifetime_60a_elprod</f>
        <v>9.7621716117339743E-6</v>
      </c>
      <c r="AY16" s="50">
        <f>X16/lifetime_60a_elprod</f>
        <v>1.1315117630411294E-5</v>
      </c>
      <c r="AZ16" s="50">
        <f>Y16/lifetime_60a_elprod</f>
        <v>7.991411789860066E-6</v>
      </c>
      <c r="BA16" s="50">
        <f>Z16/lifetime_60a_elprod</f>
        <v>5.9917215411017666E-6</v>
      </c>
    </row>
    <row r="17" spans="2:53" x14ac:dyDescent="0.25">
      <c r="B17" s="9"/>
      <c r="C17" s="9" t="s">
        <v>820</v>
      </c>
      <c r="D17" s="56">
        <f>$E$36*((P57-P56)+(P63-P61))</f>
        <v>3874.7578539194978</v>
      </c>
      <c r="E17" s="56">
        <f>$E$36*((Q57-Q56)+(Q63-Q61))</f>
        <v>7183.7976499139049</v>
      </c>
      <c r="F17" s="56">
        <f>$E$36*((R57-R56)+(R63-R61))</f>
        <v>10988.326637027591</v>
      </c>
      <c r="G17" s="56">
        <f>$E$36*((S57-S56)+(S63-S61))</f>
        <v>13983.579049985918</v>
      </c>
      <c r="H17" s="56">
        <f t="shared" si="4"/>
        <v>7183.7976499139049</v>
      </c>
      <c r="I17" s="23">
        <f>E36*((T57-T56)+(T63-T61))</f>
        <v>4788.508321812913</v>
      </c>
      <c r="J17" s="23">
        <f>E36*((U57-U56)+(U63-U61))</f>
        <v>5215.6436723390234</v>
      </c>
      <c r="K17" s="23">
        <f>E36*((V57-V56)+(V63-V61))</f>
        <v>5424.3826601297287</v>
      </c>
      <c r="L17" s="23">
        <f t="shared" si="5"/>
        <v>4788.508321812913</v>
      </c>
      <c r="M17" s="412">
        <f>I36*((Q57-Q56)+(Q63-Q61))</f>
        <v>6924.0797305388551</v>
      </c>
      <c r="N17" s="412">
        <f>J36*((Q57-Q56)+(Q63-Q61))</f>
        <v>11893.349254581492</v>
      </c>
      <c r="O17" s="412">
        <f>I36*((T57-T56)+(T63-T61))</f>
        <v>4615.3879920293666</v>
      </c>
      <c r="P17" s="412">
        <f>J36*((T57-T56)+(T63-T61))</f>
        <v>7927.7569685545668</v>
      </c>
      <c r="Q17" s="361">
        <f t="shared" si="0"/>
        <v>4788.508321812913</v>
      </c>
      <c r="R17" s="361">
        <f t="shared" si="1"/>
        <v>4788.508321812913</v>
      </c>
      <c r="S17" s="53">
        <f t="shared" si="2"/>
        <v>4788.508321812913</v>
      </c>
      <c r="T17" s="53">
        <f t="shared" si="3"/>
        <v>4788.508321812913</v>
      </c>
      <c r="U17" s="53">
        <f>E17</f>
        <v>7183.7976499139049</v>
      </c>
      <c r="V17" s="53">
        <f>F17</f>
        <v>10988.326637027591</v>
      </c>
      <c r="W17" s="53">
        <f>G17</f>
        <v>13983.579049985918</v>
      </c>
      <c r="X17" s="53">
        <f>I17</f>
        <v>4788.508321812913</v>
      </c>
      <c r="Y17" s="53">
        <f>J17</f>
        <v>5215.6436723390234</v>
      </c>
      <c r="Z17" s="53">
        <f>K17</f>
        <v>5424.3826601297287</v>
      </c>
      <c r="AA17" s="307">
        <f>D17/lifetime_60a_elprod</f>
        <v>4.3436534344465345E-6</v>
      </c>
      <c r="AB17" s="307">
        <f>E17/lifetime_60a_elprod</f>
        <v>8.0531296434055222E-6</v>
      </c>
      <c r="AC17" s="307">
        <f>F17/lifetime_60a_elprod</f>
        <v>1.2318055614098475E-5</v>
      </c>
      <c r="AD17" s="307">
        <f>G17/lifetime_60a_elprod</f>
        <v>1.5675772127253005E-5</v>
      </c>
      <c r="AE17" s="307">
        <f>H17/lifetime_60a_elprod</f>
        <v>8.0531296434055222E-6</v>
      </c>
      <c r="AF17" s="308">
        <f>I17/lifetime_60a_elprod</f>
        <v>5.3679794717697487E-6</v>
      </c>
      <c r="AG17" s="308">
        <f>J17/lifetime_60a_elprod</f>
        <v>5.8468036982719316E-6</v>
      </c>
      <c r="AH17" s="308">
        <f>K17/lifetime_60a_elprod</f>
        <v>6.0808027907062709E-6</v>
      </c>
      <c r="AI17" s="308">
        <f>L17/lifetime_60a_elprod</f>
        <v>5.3679794717697487E-6</v>
      </c>
      <c r="AJ17" s="309">
        <f>M17/lifetime_60a_elprod</f>
        <v>7.7619825124074928E-6</v>
      </c>
      <c r="AK17" s="309">
        <f>N17/lifetime_60a_elprod</f>
        <v>1.3332597618836474E-5</v>
      </c>
      <c r="AL17" s="309">
        <f>O17/lifetime_60a_elprod</f>
        <v>5.1739093534845088E-6</v>
      </c>
      <c r="AM17" s="309">
        <f>P17/lifetime_60a_elprod</f>
        <v>8.8871176166754405E-6</v>
      </c>
      <c r="AN17" s="50">
        <f>I17/lifetime_30a_elprod</f>
        <v>1.0735958943539497E-5</v>
      </c>
      <c r="AO17" s="50">
        <f>I17/lifetime_100a_elprod</f>
        <v>3.2207876830618491E-6</v>
      </c>
      <c r="AP17" s="50">
        <f>O17/lifetime_30a_elprod</f>
        <v>1.0347818706969018E-5</v>
      </c>
      <c r="AQ17" s="50">
        <f>O17/lifetime_100a_elprod</f>
        <v>3.1043456120907053E-6</v>
      </c>
      <c r="AR17" s="50">
        <f>P17/lifetime_30a_elprod</f>
        <v>1.7774235233350881E-5</v>
      </c>
      <c r="AS17" s="50">
        <f>P17/lifetime_100a_elprod</f>
        <v>5.3322705700052638E-6</v>
      </c>
      <c r="AV17" s="50">
        <f>U17/lifetime_60a_elprod</f>
        <v>8.0531296434055222E-6</v>
      </c>
      <c r="AW17" s="50">
        <f>V17/lifetime_60a_elprod</f>
        <v>1.2318055614098475E-5</v>
      </c>
      <c r="AX17" s="50">
        <f>W17/lifetime_60a_elprod</f>
        <v>1.5675772127253005E-5</v>
      </c>
      <c r="AY17" s="50">
        <f>X17/lifetime_60a_elprod</f>
        <v>5.3679794717697487E-6</v>
      </c>
      <c r="AZ17" s="50">
        <f>Y17/lifetime_60a_elprod</f>
        <v>5.8468036982719316E-6</v>
      </c>
      <c r="BA17" s="50">
        <f>Z17/lifetime_60a_elprod</f>
        <v>6.0808027907062709E-6</v>
      </c>
    </row>
    <row r="18" spans="2:53" x14ac:dyDescent="0.25">
      <c r="B18" s="9"/>
      <c r="C18" s="9" t="s">
        <v>821</v>
      </c>
      <c r="D18" s="56">
        <f>$E$37*(P65-P63)</f>
        <v>902.13593653590112</v>
      </c>
      <c r="E18" s="56">
        <f>$E$37*(Q65-Q63)</f>
        <v>2633.4026241420879</v>
      </c>
      <c r="F18" s="56">
        <f>$E$37*(R65-R63)</f>
        <v>4595.9894549342152</v>
      </c>
      <c r="G18" s="56">
        <f>$E$37*(S65-S63)</f>
        <v>6140.3654704067967</v>
      </c>
      <c r="H18" s="56">
        <f t="shared" si="4"/>
        <v>2633.4026241420879</v>
      </c>
      <c r="I18" s="23">
        <f>E37*(T65-T63)</f>
        <v>1423.1024154034171</v>
      </c>
      <c r="J18" s="23">
        <f>E37*(U65-U63)</f>
        <v>1666.5311817043544</v>
      </c>
      <c r="K18" s="23">
        <f>E37*(V65-V63)</f>
        <v>1781.275704156141</v>
      </c>
      <c r="L18" s="23">
        <f t="shared" si="5"/>
        <v>1423.1024154034171</v>
      </c>
      <c r="M18" s="412">
        <f>I37*($Q$65-$Q$63)</f>
        <v>2538.1964555180075</v>
      </c>
      <c r="N18" s="412">
        <f>J37*($Q$65-$Q$63)</f>
        <v>4359.8078151920954</v>
      </c>
      <c r="O18" s="412">
        <f>I37*(T65-T63)</f>
        <v>1371.6525811516669</v>
      </c>
      <c r="P18" s="412">
        <f>J37*(T65-T63)</f>
        <v>2356.0594098351585</v>
      </c>
      <c r="Q18" s="361">
        <f t="shared" si="0"/>
        <v>1423.1024154034171</v>
      </c>
      <c r="R18" s="361">
        <f t="shared" si="1"/>
        <v>1423.1024154034171</v>
      </c>
      <c r="S18" s="53">
        <f t="shared" si="2"/>
        <v>1423.1024154034171</v>
      </c>
      <c r="T18" s="53">
        <f t="shared" si="3"/>
        <v>1423.1024154034171</v>
      </c>
      <c r="U18" s="53">
        <f>E18</f>
        <v>2633.4026241420879</v>
      </c>
      <c r="V18" s="53">
        <f>F18</f>
        <v>4595.9894549342152</v>
      </c>
      <c r="W18" s="53">
        <f>G18</f>
        <v>6140.3654704067967</v>
      </c>
      <c r="X18" s="53">
        <f>I18</f>
        <v>1423.1024154034171</v>
      </c>
      <c r="Y18" s="53">
        <f>J18</f>
        <v>1666.5311817043544</v>
      </c>
      <c r="Z18" s="53">
        <f>K18</f>
        <v>1781.275704156141</v>
      </c>
      <c r="AA18" s="307">
        <f>D18/lifetime_60a_elprod</f>
        <v>1.0113059981562451E-6</v>
      </c>
      <c r="AB18" s="307">
        <f>E18/lifetime_60a_elprod</f>
        <v>2.952078241757645E-6</v>
      </c>
      <c r="AC18" s="307">
        <f>F18/lifetime_60a_elprod</f>
        <v>5.1521633436812484E-6</v>
      </c>
      <c r="AD18" s="307">
        <f>G18/lifetime_60a_elprod</f>
        <v>6.8834287379557941E-6</v>
      </c>
      <c r="AE18" s="307">
        <f>H18/lifetime_60a_elprod</f>
        <v>2.952078241757645E-6</v>
      </c>
      <c r="AF18" s="308">
        <f>I18/lifetime_60a_elprod</f>
        <v>1.5953161274280334E-6</v>
      </c>
      <c r="AG18" s="308">
        <f>J18/lifetime_60a_elprod</f>
        <v>1.8682029081378448E-6</v>
      </c>
      <c r="AH18" s="308">
        <f>K18/lifetime_60a_elprod</f>
        <v>1.996832994925711E-6</v>
      </c>
      <c r="AI18" s="308">
        <f>L18/lifetime_60a_elprod</f>
        <v>1.5953161274280334E-6</v>
      </c>
      <c r="AJ18" s="309">
        <f>M18/lifetime_60a_elprod</f>
        <v>2.8453509011301098E-6</v>
      </c>
      <c r="AK18" s="309">
        <f>N18/lifetime_60a_elprod</f>
        <v>4.8874006851369642E-6</v>
      </c>
      <c r="AL18" s="309">
        <f>O18/lifetime_60a_elprod</f>
        <v>1.5376402009121976E-6</v>
      </c>
      <c r="AM18" s="309">
        <f>P18/lifetime_60a_elprod</f>
        <v>2.6411729282485329E-6</v>
      </c>
      <c r="AN18" s="50">
        <f>I18/lifetime_30a_elprod</f>
        <v>3.1906322548560669E-6</v>
      </c>
      <c r="AO18" s="50">
        <f>I18/lifetime_100a_elprod</f>
        <v>9.5718967645682006E-7</v>
      </c>
      <c r="AP18" s="50">
        <f>O18/lifetime_30a_elprod</f>
        <v>3.0752804018243951E-6</v>
      </c>
      <c r="AQ18" s="50">
        <f>O18/lifetime_100a_elprod</f>
        <v>9.2258412054731845E-7</v>
      </c>
      <c r="AR18" s="50">
        <f>P18/lifetime_30a_elprod</f>
        <v>5.2823458564970657E-6</v>
      </c>
      <c r="AS18" s="50">
        <f>P18/lifetime_100a_elprod</f>
        <v>1.5847037569491198E-6</v>
      </c>
      <c r="AV18" s="50">
        <f>U18/lifetime_60a_elprod</f>
        <v>2.952078241757645E-6</v>
      </c>
      <c r="AW18" s="50">
        <f>V18/lifetime_60a_elprod</f>
        <v>5.1521633436812484E-6</v>
      </c>
      <c r="AX18" s="50">
        <f>W18/lifetime_60a_elprod</f>
        <v>6.8834287379557941E-6</v>
      </c>
      <c r="AY18" s="50">
        <f>X18/lifetime_60a_elprod</f>
        <v>1.5953161274280334E-6</v>
      </c>
      <c r="AZ18" s="50">
        <f>Y18/lifetime_60a_elprod</f>
        <v>1.8682029081378448E-6</v>
      </c>
      <c r="BA18" s="50">
        <f>Z18/lifetime_60a_elprod</f>
        <v>1.996832994925711E-6</v>
      </c>
    </row>
    <row r="19" spans="2:53" x14ac:dyDescent="0.25">
      <c r="B19" s="9" t="s">
        <v>822</v>
      </c>
      <c r="C19" s="9"/>
      <c r="D19" s="56">
        <f>$E$38*P73</f>
        <v>199786.28138645101</v>
      </c>
      <c r="E19" s="56">
        <f>$E$38*Q73</f>
        <v>141405.12001558</v>
      </c>
      <c r="F19" s="56">
        <f>$E$38*R73</f>
        <v>128189.00321824101</v>
      </c>
      <c r="G19" s="56">
        <f>$E$38*S73</f>
        <v>121611.71102168399</v>
      </c>
      <c r="H19" s="56">
        <f t="shared" si="4"/>
        <v>141405.12001558</v>
      </c>
      <c r="I19" s="23">
        <f>$E$38*T73</f>
        <v>126632.99720480001</v>
      </c>
      <c r="J19" s="23">
        <f>$E$38*U73</f>
        <v>98730.199294238206</v>
      </c>
      <c r="K19" s="23">
        <f>$E$38*V73</f>
        <v>84227.751465200301</v>
      </c>
      <c r="L19" s="23">
        <f t="shared" si="5"/>
        <v>126632.99720480001</v>
      </c>
      <c r="M19" s="412">
        <f>$E$19</f>
        <v>141405.12001558</v>
      </c>
      <c r="N19" s="412">
        <f>$E$19</f>
        <v>141405.12001558</v>
      </c>
      <c r="O19" s="412">
        <f>$I$19</f>
        <v>126632.99720480001</v>
      </c>
      <c r="P19" s="412">
        <f>$I$19</f>
        <v>126632.99720480001</v>
      </c>
      <c r="Q19" s="361">
        <f t="shared" si="0"/>
        <v>126632.99720480001</v>
      </c>
      <c r="R19" s="361">
        <f t="shared" si="1"/>
        <v>126632.99720480001</v>
      </c>
      <c r="S19" s="53">
        <f t="shared" si="2"/>
        <v>126632.99720480001</v>
      </c>
      <c r="T19" s="53">
        <f t="shared" si="3"/>
        <v>126632.99720480001</v>
      </c>
      <c r="U19" s="53">
        <f>E19</f>
        <v>141405.12001558</v>
      </c>
      <c r="V19" s="53">
        <f>F19</f>
        <v>128189.00321824101</v>
      </c>
      <c r="W19" s="53">
        <f>G19</f>
        <v>121611.71102168399</v>
      </c>
      <c r="X19" s="53">
        <f>I19</f>
        <v>126632.99720480001</v>
      </c>
      <c r="Y19" s="53">
        <f>J19</f>
        <v>98730.199294238206</v>
      </c>
      <c r="Z19" s="53">
        <f>K19</f>
        <v>84227.751465200301</v>
      </c>
      <c r="AA19" s="307">
        <f>D19/lifetime_60a_elprod</f>
        <v>2.2396299330595257E-4</v>
      </c>
      <c r="AB19" s="307">
        <f>E19/lifetime_60a_elprod</f>
        <v>1.5851695986181217E-4</v>
      </c>
      <c r="AC19" s="307">
        <f>F19/lifetime_60a_elprod</f>
        <v>1.4370152279940605E-4</v>
      </c>
      <c r="AD19" s="307">
        <f>G19/lifetime_60a_elprod</f>
        <v>1.3632829357682795E-4</v>
      </c>
      <c r="AE19" s="307">
        <f>H19/lifetime_60a_elprod</f>
        <v>1.5851695986181217E-4</v>
      </c>
      <c r="AF19" s="308">
        <f>I19/lifetime_60a_elprod</f>
        <v>1.4195722002769461E-4</v>
      </c>
      <c r="AG19" s="308">
        <f>J19/lifetime_60a_elprod</f>
        <v>1.1067782437403336E-4</v>
      </c>
      <c r="AH19" s="308">
        <f>K19/lifetime_60a_elprod</f>
        <v>9.4420393666005698E-5</v>
      </c>
      <c r="AI19" s="308">
        <f>L19/lifetime_60a_elprod</f>
        <v>1.4195722002769461E-4</v>
      </c>
      <c r="AJ19" s="309">
        <f>M19/lifetime_60a_elprod</f>
        <v>1.5851695986181217E-4</v>
      </c>
      <c r="AK19" s="309">
        <f>N19/lifetime_60a_elprod</f>
        <v>1.5851695986181217E-4</v>
      </c>
      <c r="AL19" s="309">
        <f>O19/lifetime_60a_elprod</f>
        <v>1.4195722002769461E-4</v>
      </c>
      <c r="AM19" s="309">
        <f>P19/lifetime_60a_elprod</f>
        <v>1.4195722002769461E-4</v>
      </c>
      <c r="AN19" s="50">
        <f>I19/lifetime_30a_elprod</f>
        <v>2.8391444005538923E-4</v>
      </c>
      <c r="AO19" s="50">
        <f>I19/lifetime_100a_elprod</f>
        <v>8.5174332016616763E-5</v>
      </c>
      <c r="AP19" s="50">
        <f>O19/lifetime_30a_elprod</f>
        <v>2.8391444005538923E-4</v>
      </c>
      <c r="AQ19" s="50">
        <f>O19/lifetime_100a_elprod</f>
        <v>8.5174332016616763E-5</v>
      </c>
      <c r="AR19" s="50">
        <f>P19/lifetime_30a_elprod</f>
        <v>2.8391444005538923E-4</v>
      </c>
      <c r="AS19" s="50">
        <f>P19/lifetime_100a_elprod</f>
        <v>8.5174332016616763E-5</v>
      </c>
      <c r="AV19" s="50">
        <f>U19/lifetime_60a_elprod</f>
        <v>1.5851695986181217E-4</v>
      </c>
      <c r="AW19" s="50">
        <f>V19/lifetime_60a_elprod</f>
        <v>1.4370152279940605E-4</v>
      </c>
      <c r="AX19" s="50">
        <f>W19/lifetime_60a_elprod</f>
        <v>1.3632829357682795E-4</v>
      </c>
      <c r="AY19" s="50">
        <f>X19/lifetime_60a_elprod</f>
        <v>1.4195722002769461E-4</v>
      </c>
      <c r="AZ19" s="50">
        <f>Y19/lifetime_60a_elprod</f>
        <v>1.1067782437403336E-4</v>
      </c>
      <c r="BA19" s="50">
        <f>Z19/lifetime_60a_elprod</f>
        <v>9.4420393666005698E-5</v>
      </c>
    </row>
    <row r="20" spans="2:53" x14ac:dyDescent="0.25">
      <c r="B20" s="9" t="s">
        <v>823</v>
      </c>
      <c r="C20" s="9"/>
      <c r="D20" s="56">
        <f t="shared" ref="D20:P20" si="6">$E$39*LCIA_CC_maintenance</f>
        <v>0</v>
      </c>
      <c r="E20" s="56">
        <f t="shared" si="6"/>
        <v>0</v>
      </c>
      <c r="F20" s="56">
        <f t="shared" si="6"/>
        <v>0</v>
      </c>
      <c r="G20" s="56">
        <f t="shared" si="6"/>
        <v>0</v>
      </c>
      <c r="H20" s="56">
        <f t="shared" si="6"/>
        <v>0</v>
      </c>
      <c r="I20" s="23">
        <f t="shared" si="6"/>
        <v>0</v>
      </c>
      <c r="J20" s="23">
        <f t="shared" si="6"/>
        <v>0</v>
      </c>
      <c r="K20" s="23">
        <f t="shared" si="6"/>
        <v>0</v>
      </c>
      <c r="L20" s="23">
        <f t="shared" si="6"/>
        <v>0</v>
      </c>
      <c r="M20" s="412">
        <f t="shared" si="6"/>
        <v>0</v>
      </c>
      <c r="N20" s="412">
        <f t="shared" si="6"/>
        <v>0</v>
      </c>
      <c r="O20" s="412">
        <f t="shared" si="6"/>
        <v>0</v>
      </c>
      <c r="P20" s="412">
        <f t="shared" si="6"/>
        <v>0</v>
      </c>
      <c r="Q20" s="361">
        <f t="shared" si="0"/>
        <v>0</v>
      </c>
      <c r="R20" s="361">
        <f>0.5*R19</f>
        <v>63316.498602400003</v>
      </c>
      <c r="S20" s="53">
        <f t="shared" si="2"/>
        <v>0</v>
      </c>
      <c r="T20" s="53">
        <f t="shared" si="3"/>
        <v>0</v>
      </c>
      <c r="U20" s="53">
        <f>E20</f>
        <v>0</v>
      </c>
      <c r="V20" s="53">
        <f>F20</f>
        <v>0</v>
      </c>
      <c r="W20" s="53">
        <f>G20</f>
        <v>0</v>
      </c>
      <c r="X20" s="53">
        <f>I20</f>
        <v>0</v>
      </c>
      <c r="Y20" s="53">
        <f>J20</f>
        <v>0</v>
      </c>
      <c r="Z20" s="53">
        <f>K20</f>
        <v>0</v>
      </c>
      <c r="AA20" s="307">
        <f>D20/lifetime_60a_elprod</f>
        <v>0</v>
      </c>
      <c r="AB20" s="307">
        <f>E20/lifetime_60a_elprod</f>
        <v>0</v>
      </c>
      <c r="AC20" s="307">
        <f>F20/lifetime_60a_elprod</f>
        <v>0</v>
      </c>
      <c r="AD20" s="307">
        <f>G20/lifetime_60a_elprod</f>
        <v>0</v>
      </c>
      <c r="AE20" s="307">
        <f>H20/lifetime_60a_elprod</f>
        <v>0</v>
      </c>
      <c r="AF20" s="308">
        <f>I20/lifetime_60a_elprod</f>
        <v>0</v>
      </c>
      <c r="AG20" s="308">
        <f>J20/lifetime_60a_elprod</f>
        <v>0</v>
      </c>
      <c r="AH20" s="308">
        <f>K20/lifetime_60a_elprod</f>
        <v>0</v>
      </c>
      <c r="AI20" s="308">
        <f>L20/lifetime_60a_elprod</f>
        <v>0</v>
      </c>
      <c r="AJ20" s="309">
        <f>M20/lifetime_60a_elprod</f>
        <v>0</v>
      </c>
      <c r="AK20" s="309">
        <f>N20/lifetime_60a_elprod</f>
        <v>0</v>
      </c>
      <c r="AL20" s="309">
        <f>O20/lifetime_60a_elprod</f>
        <v>0</v>
      </c>
      <c r="AM20" s="309">
        <f>P20/lifetime_60a_elprod</f>
        <v>0</v>
      </c>
      <c r="AN20" s="50">
        <f>I20/lifetime_30a_elprod</f>
        <v>0</v>
      </c>
      <c r="AO20" s="50">
        <f>AO19</f>
        <v>8.5174332016616763E-5</v>
      </c>
      <c r="AP20" s="50">
        <f>O20/lifetime_30a_elprod</f>
        <v>0</v>
      </c>
      <c r="AQ20" s="50">
        <f>AQ19</f>
        <v>8.5174332016616763E-5</v>
      </c>
      <c r="AR20" s="50">
        <f>P20/lifetime_30a_elprod</f>
        <v>0</v>
      </c>
      <c r="AS20" s="50">
        <f>AS19</f>
        <v>8.5174332016616763E-5</v>
      </c>
      <c r="AV20" s="50">
        <f>U20/lifetime_60a_elprod</f>
        <v>0</v>
      </c>
      <c r="AW20" s="50">
        <f>V20/lifetime_60a_elprod</f>
        <v>0</v>
      </c>
      <c r="AX20" s="50">
        <f>W20/lifetime_60a_elprod</f>
        <v>0</v>
      </c>
      <c r="AY20" s="50">
        <f>X20/lifetime_60a_elprod</f>
        <v>0</v>
      </c>
      <c r="AZ20" s="50">
        <f>Y20/lifetime_60a_elprod</f>
        <v>0</v>
      </c>
      <c r="BA20" s="50">
        <f>Z20/lifetime_60a_elprod</f>
        <v>0</v>
      </c>
    </row>
    <row r="21" spans="2:53" x14ac:dyDescent="0.25">
      <c r="B21" s="9" t="s">
        <v>829</v>
      </c>
      <c r="C21" s="9" t="s">
        <v>830</v>
      </c>
      <c r="D21" s="56">
        <f>$H$40*LCIA_CC_cement_ev_2020</f>
        <v>45343.568864903857</v>
      </c>
      <c r="E21" s="56">
        <f>$H$40*LCIA_CC_cement_BAU_2030</f>
        <v>45118.443968948821</v>
      </c>
      <c r="F21" s="56">
        <f>$H$40*LCIA_CC_cement_BAU_2040</f>
        <v>44275.182918706967</v>
      </c>
      <c r="G21" s="56">
        <f>$H$40*LCIA_CC_cement_BAU_2050</f>
        <v>43797.219847451648</v>
      </c>
      <c r="H21" s="56">
        <f>E21</f>
        <v>45118.443968948821</v>
      </c>
      <c r="I21" s="23">
        <f>$H$40*LCIA_CC_cement_LOW_2030</f>
        <v>44941.544930580727</v>
      </c>
      <c r="J21" s="23">
        <f>$H$40*LCIA_CC_cement_LOW_2040</f>
        <v>36654.550800000761</v>
      </c>
      <c r="K21" s="23">
        <f>$H$40*LCIA_CC_cement_LOW_2050</f>
        <v>26853.584287565805</v>
      </c>
      <c r="L21" s="23">
        <f>I21</f>
        <v>44941.544930580727</v>
      </c>
      <c r="M21" s="412">
        <f>$I$40*LCIA_CC_cement_BAU_2030</f>
        <v>45118.443968948821</v>
      </c>
      <c r="N21" s="412">
        <f>$J$40*LCIA_CC_cement_BAU_2030</f>
        <v>97930.537268191401</v>
      </c>
      <c r="O21" s="412">
        <f>$I$40*LCIA_CC_cement_LOW_2030</f>
        <v>44941.544930580727</v>
      </c>
      <c r="P21" s="412">
        <f>$J$40*LCIA_CC_cement_LOW_2030</f>
        <v>97546.574162514808</v>
      </c>
      <c r="Q21" s="361">
        <f t="shared" si="0"/>
        <v>44941.544930580727</v>
      </c>
      <c r="R21" s="361">
        <f t="shared" si="1"/>
        <v>44941.544930580727</v>
      </c>
      <c r="S21" s="53">
        <f t="shared" si="2"/>
        <v>44941.544930580727</v>
      </c>
      <c r="T21" s="53">
        <f t="shared" si="3"/>
        <v>44941.544930580727</v>
      </c>
      <c r="U21" s="53">
        <f>E21</f>
        <v>45118.443968948821</v>
      </c>
      <c r="V21" s="53">
        <f>F21</f>
        <v>44275.182918706967</v>
      </c>
      <c r="W21" s="53">
        <f>G21</f>
        <v>43797.219847451648</v>
      </c>
      <c r="X21" s="53">
        <f>I21</f>
        <v>44941.544930580727</v>
      </c>
      <c r="Y21" s="53">
        <f>J21</f>
        <v>36654.550800000761</v>
      </c>
      <c r="Z21" s="53">
        <f>K21</f>
        <v>26853.584287565805</v>
      </c>
      <c r="AA21" s="307">
        <f>D21/lifetime_60a_elprod</f>
        <v>5.0830724410525848E-5</v>
      </c>
      <c r="AB21" s="307">
        <f>E21/lifetime_60a_elprod</f>
        <v>5.0578356504101619E-5</v>
      </c>
      <c r="AC21" s="307">
        <f>F21/lifetime_60a_elprod</f>
        <v>4.9633050011384171E-5</v>
      </c>
      <c r="AD21" s="307">
        <f>G21/lifetime_60a_elprod</f>
        <v>4.9097247255633463E-5</v>
      </c>
      <c r="AE21" s="307">
        <f>H21/lifetime_60a_elprod</f>
        <v>5.0578356504101619E-5</v>
      </c>
      <c r="AF21" s="308">
        <f>I21/lifetime_60a_elprod</f>
        <v>5.038005040484935E-5</v>
      </c>
      <c r="AG21" s="308">
        <f>J21/lifetime_60a_elprod</f>
        <v>4.1090223305042204E-5</v>
      </c>
      <c r="AH21" s="308">
        <f>K21/lifetime_60a_elprod</f>
        <v>3.0103213675635297E-5</v>
      </c>
      <c r="AI21" s="308">
        <f>L21/lifetime_60a_elprod</f>
        <v>5.038005040484935E-5</v>
      </c>
      <c r="AJ21" s="309">
        <f>M21/lifetime_60a_elprod</f>
        <v>5.0578356504101619E-5</v>
      </c>
      <c r="AK21" s="309">
        <f>N21/lifetime_60a_elprod</f>
        <v>1.097813929486938E-4</v>
      </c>
      <c r="AL21" s="309">
        <f>O21/lifetime_60a_elprod</f>
        <v>5.038005040484935E-5</v>
      </c>
      <c r="AM21" s="309">
        <f>P21/lifetime_60a_elprod</f>
        <v>1.093509653644292E-4</v>
      </c>
      <c r="AN21" s="50">
        <f>I21/lifetime_30a_elprod</f>
        <v>1.007601008096987E-4</v>
      </c>
      <c r="AO21" s="50">
        <f>I21/lifetime_100a_elprod</f>
        <v>3.0228030242909613E-5</v>
      </c>
      <c r="AP21" s="50">
        <f>O21/lifetime_30a_elprod</f>
        <v>1.007601008096987E-4</v>
      </c>
      <c r="AQ21" s="50">
        <f>O21/lifetime_100a_elprod</f>
        <v>3.0228030242909613E-5</v>
      </c>
      <c r="AR21" s="50">
        <f>P21/lifetime_30a_elprod</f>
        <v>2.187019307288584E-4</v>
      </c>
      <c r="AS21" s="50">
        <f>P21/lifetime_100a_elprod</f>
        <v>6.5610579218657524E-5</v>
      </c>
      <c r="AV21" s="50">
        <f>U21/lifetime_60a_elprod</f>
        <v>5.0578356504101619E-5</v>
      </c>
      <c r="AW21" s="50">
        <f>V21/lifetime_60a_elprod</f>
        <v>4.9633050011384171E-5</v>
      </c>
      <c r="AX21" s="50">
        <f>W21/lifetime_60a_elprod</f>
        <v>4.9097247255633463E-5</v>
      </c>
      <c r="AY21" s="50">
        <f>X21/lifetime_60a_elprod</f>
        <v>5.038005040484935E-5</v>
      </c>
      <c r="AZ21" s="50">
        <f>Y21/lifetime_60a_elprod</f>
        <v>4.1090223305042204E-5</v>
      </c>
      <c r="BA21" s="50">
        <f>Z21/lifetime_60a_elprod</f>
        <v>3.0103213675635297E-5</v>
      </c>
    </row>
    <row r="22" spans="2:53" x14ac:dyDescent="0.25">
      <c r="AA22" s="32" t="str">
        <f>AA6</f>
        <v>BAU</v>
      </c>
      <c r="AB22" s="32"/>
      <c r="AC22" s="32"/>
      <c r="AD22" s="32"/>
      <c r="AE22" s="32"/>
      <c r="AF22" s="32" t="str">
        <f>AF6</f>
        <v>LOW</v>
      </c>
      <c r="AG22" s="32"/>
      <c r="AH22" s="32"/>
      <c r="AI22" s="32"/>
      <c r="AJ22" s="32" t="str">
        <f>AJ6</f>
        <v>Well depth variation, 2030</v>
      </c>
      <c r="AK22" s="32"/>
      <c r="AL22" s="32"/>
      <c r="AM22" s="32"/>
      <c r="AN22" s="32" t="str">
        <f>AN6</f>
        <v>Lifetime variation, 2030 LOW</v>
      </c>
      <c r="AO22" s="32"/>
      <c r="AP22" s="32"/>
      <c r="AQ22" s="32"/>
      <c r="AR22" s="32"/>
      <c r="AS22" s="32"/>
      <c r="AV22" s="351" t="str">
        <f>AV6</f>
        <v>Rotary drilling</v>
      </c>
    </row>
    <row r="23" spans="2:53" x14ac:dyDescent="0.25">
      <c r="R23">
        <v>1000</v>
      </c>
      <c r="W23" t="s">
        <v>1574</v>
      </c>
      <c r="AA23" s="32">
        <f>AA7</f>
        <v>2020</v>
      </c>
      <c r="AB23" s="32">
        <f>AB7</f>
        <v>2030</v>
      </c>
      <c r="AC23" s="32">
        <f>AC7</f>
        <v>2040</v>
      </c>
      <c r="AD23" s="32">
        <f>AD7</f>
        <v>2050</v>
      </c>
      <c r="AE23" s="32" t="str">
        <f>AE7</f>
        <v>Hydro drilling, 2030</v>
      </c>
      <c r="AF23" s="32">
        <f>AF7</f>
        <v>2030</v>
      </c>
      <c r="AG23" s="32">
        <f>AG7</f>
        <v>2040</v>
      </c>
      <c r="AH23" s="32">
        <f>AH7</f>
        <v>2050</v>
      </c>
      <c r="AI23" s="32" t="str">
        <f>AI7</f>
        <v>Hydro drilling, 2030</v>
      </c>
      <c r="AJ23" s="32" t="str">
        <f>AJ7</f>
        <v>BAU, 4.5 km</v>
      </c>
      <c r="AK23" s="32" t="str">
        <f>AK7</f>
        <v>BAU, 8 km</v>
      </c>
      <c r="AL23" s="32" t="str">
        <f>AL7</f>
        <v>LOW, 4.5 km</v>
      </c>
      <c r="AM23" s="32" t="str">
        <f>AM7</f>
        <v>LOW, 8 km</v>
      </c>
      <c r="AN23" s="32" t="str">
        <f>AN7</f>
        <v>6 km, 30a</v>
      </c>
      <c r="AO23" s="32" t="str">
        <f>AO7</f>
        <v>6 km, 100a</v>
      </c>
      <c r="AP23" s="32" t="str">
        <f>AP7</f>
        <v>4.5 km, 30a</v>
      </c>
      <c r="AQ23" s="32" t="str">
        <f>AQ7</f>
        <v>4.5 km, 100a</v>
      </c>
      <c r="AR23" s="32" t="str">
        <f>AR7</f>
        <v>8 km, 30a</v>
      </c>
      <c r="AS23" s="32" t="str">
        <f>AS7</f>
        <v>8 km, 100a</v>
      </c>
      <c r="AV23" s="351" t="str">
        <f>AV7</f>
        <v>BAU 2030</v>
      </c>
      <c r="AW23" s="351" t="str">
        <f>AW7</f>
        <v>BAU 2040</v>
      </c>
      <c r="AX23" s="351" t="str">
        <f>AX7</f>
        <v>BAU 2050</v>
      </c>
      <c r="AY23" s="351" t="str">
        <f>AY7</f>
        <v>LOW 2030</v>
      </c>
      <c r="AZ23" s="351" t="str">
        <f>AZ7</f>
        <v>LOW 2040</v>
      </c>
      <c r="BA23" s="351" t="str">
        <f>BA7</f>
        <v>LOW 2050</v>
      </c>
    </row>
    <row r="24" spans="2:53" x14ac:dyDescent="0.25">
      <c r="E24" s="9" t="s">
        <v>845</v>
      </c>
      <c r="F24" s="9"/>
      <c r="G24" s="9"/>
      <c r="R24" s="425" t="s">
        <v>1205</v>
      </c>
      <c r="U24">
        <v>8.1170878122503431</v>
      </c>
      <c r="AA24" s="460">
        <f t="shared" ref="AA24:AS24" si="7">(SUM(AA8:AA21))*1000</f>
        <v>8.1170878122503431</v>
      </c>
      <c r="AB24" s="339">
        <f t="shared" si="7"/>
        <v>7.32198489801414</v>
      </c>
      <c r="AC24" s="339">
        <f t="shared" si="7"/>
        <v>7.3413791762426692</v>
      </c>
      <c r="AD24" s="339">
        <f t="shared" si="7"/>
        <v>7.3022160625252361</v>
      </c>
      <c r="AE24" s="460">
        <f t="shared" si="7"/>
        <v>6.7003057528782239</v>
      </c>
      <c r="AF24" s="460">
        <f t="shared" si="7"/>
        <v>6.6560680667777561</v>
      </c>
      <c r="AG24" s="460">
        <f t="shared" si="7"/>
        <v>5.380140710261986</v>
      </c>
      <c r="AH24" s="460">
        <f t="shared" si="7"/>
        <v>4.6272374032795263</v>
      </c>
      <c r="AI24" s="460">
        <f t="shared" si="7"/>
        <v>6.3440692591027723</v>
      </c>
      <c r="AJ24" s="460">
        <f t="shared" si="7"/>
        <v>6.4189224904499467</v>
      </c>
      <c r="AK24" s="460">
        <f t="shared" si="7"/>
        <v>10.825479407139349</v>
      </c>
      <c r="AL24" s="460">
        <f t="shared" si="7"/>
        <v>5.7823148089203764</v>
      </c>
      <c r="AM24" s="460">
        <f t="shared" si="7"/>
        <v>10.005399016142935</v>
      </c>
      <c r="AN24" s="460">
        <f t="shared" si="7"/>
        <v>13.312136133555512</v>
      </c>
      <c r="AO24" s="460">
        <f t="shared" si="7"/>
        <v>4.0788151720832708</v>
      </c>
      <c r="AP24" s="460">
        <f t="shared" si="7"/>
        <v>11.564629617840753</v>
      </c>
      <c r="AQ24" s="460">
        <f t="shared" si="7"/>
        <v>3.5545632173688433</v>
      </c>
      <c r="AR24" s="460">
        <f t="shared" si="7"/>
        <v>20.010798032285869</v>
      </c>
      <c r="AS24" s="460">
        <f t="shared" si="7"/>
        <v>6.0884137417023769</v>
      </c>
      <c r="AV24" s="460">
        <f t="shared" ref="AV24:BA24" si="8">(SUM(AV8:AV22))*1000</f>
        <v>13.34251756889852</v>
      </c>
      <c r="AW24" s="460">
        <f t="shared" si="8"/>
        <v>17.848813328088681</v>
      </c>
      <c r="AX24" s="460">
        <f t="shared" si="8"/>
        <v>21.340430571329399</v>
      </c>
      <c r="AY24" s="460">
        <f t="shared" si="8"/>
        <v>9.9095905275681897</v>
      </c>
      <c r="AZ24" s="460">
        <f t="shared" si="8"/>
        <v>9.1901944158807005</v>
      </c>
      <c r="BA24" s="460">
        <f t="shared" si="8"/>
        <v>8.699622109821826</v>
      </c>
    </row>
    <row r="25" spans="2:53" x14ac:dyDescent="0.25">
      <c r="E25" t="s">
        <v>1276</v>
      </c>
      <c r="F25" t="s">
        <v>1427</v>
      </c>
      <c r="G25" t="s">
        <v>1277</v>
      </c>
      <c r="H25" t="s">
        <v>1276</v>
      </c>
      <c r="I25" t="s">
        <v>1427</v>
      </c>
      <c r="J25" t="s">
        <v>1277</v>
      </c>
      <c r="K25" t="s">
        <v>1384</v>
      </c>
      <c r="L25" s="15" t="s">
        <v>1496</v>
      </c>
      <c r="R25" s="424" t="s">
        <v>1381</v>
      </c>
      <c r="U25">
        <v>0.35466828669629757</v>
      </c>
      <c r="AA25" s="460">
        <f t="shared" ref="AA25:AY25" si="9">(SUM(AA8:AA9))*1000</f>
        <v>0.35466828669629757</v>
      </c>
      <c r="AB25" s="460">
        <f t="shared" si="9"/>
        <v>0.67381052025490662</v>
      </c>
      <c r="AC25" s="460">
        <f t="shared" si="9"/>
        <v>1.1759789472846638</v>
      </c>
      <c r="AD25" s="460">
        <f t="shared" si="9"/>
        <v>1.5711394885990759</v>
      </c>
      <c r="AE25" s="460">
        <f t="shared" si="9"/>
        <v>5.2131375118990325E-2</v>
      </c>
      <c r="AF25" s="460">
        <f t="shared" si="9"/>
        <v>0.36413018279397469</v>
      </c>
      <c r="AG25" s="460">
        <f t="shared" si="9"/>
        <v>0.42641646676837452</v>
      </c>
      <c r="AH25" s="460">
        <f t="shared" si="9"/>
        <v>0.4557762257588272</v>
      </c>
      <c r="AI25" s="460">
        <f t="shared" si="9"/>
        <v>5.2131375118990325E-2</v>
      </c>
      <c r="AJ25" s="460">
        <f t="shared" si="9"/>
        <v>0.67280942849063063</v>
      </c>
      <c r="AK25" s="460">
        <f t="shared" si="9"/>
        <v>0.82359221210708622</v>
      </c>
      <c r="AL25" s="460">
        <f t="shared" si="9"/>
        <v>0.36358918838061721</v>
      </c>
      <c r="AM25" s="460">
        <f t="shared" si="9"/>
        <v>0.4450728709738685</v>
      </c>
      <c r="AN25" s="460">
        <f t="shared" si="9"/>
        <v>0.72826036558794938</v>
      </c>
      <c r="AO25" s="460">
        <f t="shared" si="9"/>
        <v>0.21847810967638479</v>
      </c>
      <c r="AP25" s="460">
        <f t="shared" si="9"/>
        <v>0.72717837676123442</v>
      </c>
      <c r="AQ25" s="460">
        <f t="shared" si="9"/>
        <v>0.2181535130283703</v>
      </c>
      <c r="AR25" s="460">
        <f t="shared" si="9"/>
        <v>0.89014574194773699</v>
      </c>
      <c r="AS25" s="460">
        <f t="shared" si="9"/>
        <v>0.26704372258432113</v>
      </c>
      <c r="AV25" s="460">
        <f>(SUM(AV8:AV9))*1000</f>
        <v>6.6943431911392848</v>
      </c>
      <c r="AW25" s="460">
        <f>(SUM(AW8:AW9))*1000</f>
        <v>11.683413099130677</v>
      </c>
      <c r="AX25" s="460">
        <f>(SUM(AX8:AX9))*1000</f>
        <v>15.609353997403238</v>
      </c>
      <c r="AY25" s="460">
        <f>(SUM(AY8:AY9))*1000</f>
        <v>3.6176526435844067</v>
      </c>
      <c r="AZ25" s="460">
        <f>(SUM(AZ8:AZ9))*1000</f>
        <v>4.2364701723870901</v>
      </c>
      <c r="BA25" s="460">
        <f>(SUM(BA8:BA9))*1000</f>
        <v>4.5281609323011285</v>
      </c>
    </row>
    <row r="26" spans="2:53" x14ac:dyDescent="0.25">
      <c r="E26" s="32"/>
      <c r="F26" s="350"/>
      <c r="G26" s="350"/>
      <c r="H26">
        <v>6000</v>
      </c>
      <c r="I26">
        <v>4500</v>
      </c>
      <c r="J26">
        <v>8000</v>
      </c>
      <c r="M26">
        <v>6000</v>
      </c>
      <c r="N26">
        <v>4500</v>
      </c>
      <c r="O26">
        <v>8000</v>
      </c>
      <c r="R26" s="424" t="s">
        <v>1382</v>
      </c>
      <c r="U26">
        <v>5.4317766024695215</v>
      </c>
      <c r="AA26" s="460">
        <f t="shared" ref="AA26:AY26" si="10">(SUM(AA10:AA12))*1000</f>
        <v>5.4317766024695215</v>
      </c>
      <c r="AB26" s="460">
        <f t="shared" si="10"/>
        <v>4.5327309595490508</v>
      </c>
      <c r="AC26" s="460">
        <f t="shared" si="10"/>
        <v>4.1761279846845172</v>
      </c>
      <c r="AD26" s="460">
        <f t="shared" si="10"/>
        <v>3.8109201580160024</v>
      </c>
      <c r="AE26" s="460">
        <f t="shared" si="10"/>
        <v>4.5327309595490508</v>
      </c>
      <c r="AF26" s="460">
        <f t="shared" si="10"/>
        <v>4.3789617934211797</v>
      </c>
      <c r="AG26" s="460">
        <f t="shared" si="10"/>
        <v>3.4578894823553656</v>
      </c>
      <c r="AH26" s="460">
        <f t="shared" si="10"/>
        <v>2.9245153541172488</v>
      </c>
      <c r="AI26" s="460">
        <f t="shared" si="10"/>
        <v>4.3789617934211797</v>
      </c>
      <c r="AJ26" s="460">
        <f t="shared" si="10"/>
        <v>3.632313655650361</v>
      </c>
      <c r="AK26" s="460">
        <f t="shared" si="10"/>
        <v>7.7974293245685589</v>
      </c>
      <c r="AL26" s="460">
        <f t="shared" si="10"/>
        <v>3.5071036121271848</v>
      </c>
      <c r="AM26" s="460">
        <f t="shared" si="10"/>
        <v>7.5638251166597055</v>
      </c>
      <c r="AN26" s="460">
        <f t="shared" si="10"/>
        <v>8.7579235868423595</v>
      </c>
      <c r="AO26" s="460">
        <f t="shared" si="10"/>
        <v>2.6273770760527078</v>
      </c>
      <c r="AP26" s="460">
        <f t="shared" si="10"/>
        <v>7.0142072242543696</v>
      </c>
      <c r="AQ26" s="460">
        <f t="shared" si="10"/>
        <v>2.1042621672763109</v>
      </c>
      <c r="AR26" s="460">
        <f t="shared" si="10"/>
        <v>15.127650233319411</v>
      </c>
      <c r="AS26" s="460">
        <f t="shared" si="10"/>
        <v>4.5382950699958231</v>
      </c>
      <c r="AV26" s="460">
        <f>(SUM(AV10:AV12))*1000</f>
        <v>4.5327309595490508</v>
      </c>
      <c r="AW26" s="460">
        <f>(SUM(AW10:AW12))*1000</f>
        <v>4.1761279846845172</v>
      </c>
      <c r="AX26" s="460">
        <f>(SUM(AX10:AX12))*1000</f>
        <v>3.8109201580160024</v>
      </c>
      <c r="AY26" s="460">
        <f>(SUM(AY10:AY12))*1000</f>
        <v>4.3789617934211797</v>
      </c>
      <c r="AZ26" s="460">
        <f>(SUM(AZ10:AZ12))*1000</f>
        <v>3.4578894823553656</v>
      </c>
      <c r="BA26" s="460">
        <f>(SUM(BA10:BA12))*1000</f>
        <v>2.9245153541172488</v>
      </c>
    </row>
    <row r="27" spans="2:53" x14ac:dyDescent="0.25">
      <c r="B27" s="9" t="s">
        <v>816</v>
      </c>
      <c r="C27" s="9" t="s">
        <v>827</v>
      </c>
      <c r="D27" t="s">
        <v>1278</v>
      </c>
      <c r="E27" s="403">
        <f>'Drilling - energy_material_6km'!O78</f>
        <v>134.6888888888889</v>
      </c>
      <c r="F27" s="403">
        <f>'Drilling - energy_material_4_5'!O78</f>
        <v>177.53551198257082</v>
      </c>
      <c r="G27" s="403">
        <f>'Drilling - energy_material_8'!O78</f>
        <v>273.51781609195405</v>
      </c>
      <c r="H27" s="53">
        <f>E27*H26*2</f>
        <v>1616266.6666666667</v>
      </c>
      <c r="I27" s="53">
        <f>F27*I26*2</f>
        <v>1597819.6078431373</v>
      </c>
      <c r="J27" s="53">
        <f>G27*J26*2</f>
        <v>4376285.0574712651</v>
      </c>
      <c r="L27" s="53">
        <f>'Drilling - energy_material_6km'!P78</f>
        <v>1279.6888888888891</v>
      </c>
      <c r="M27" s="53">
        <f>L27*M26*2</f>
        <v>15356266.66666667</v>
      </c>
      <c r="N27">
        <f>L27*$I$26*2</f>
        <v>11517200.000000002</v>
      </c>
      <c r="O27">
        <f>L27*$J$26*2</f>
        <v>20475022.222222224</v>
      </c>
      <c r="R27" s="424" t="s">
        <v>1384</v>
      </c>
      <c r="U27">
        <v>2.0111419030359672</v>
      </c>
      <c r="AA27" s="460">
        <f t="shared" ref="AA27:AY27" si="11">(AA13)*1000</f>
        <v>2.0111419030359672</v>
      </c>
      <c r="AB27" s="460">
        <f t="shared" si="11"/>
        <v>1.8608747326563153</v>
      </c>
      <c r="AC27" s="460">
        <f t="shared" si="11"/>
        <v>1.7474134058461779</v>
      </c>
      <c r="AD27" s="460">
        <f t="shared" si="11"/>
        <v>1.6836276757646669</v>
      </c>
      <c r="AE27" s="460">
        <f t="shared" si="11"/>
        <v>1.8608747326563153</v>
      </c>
      <c r="AF27" s="460">
        <f t="shared" si="11"/>
        <v>1.6831849078602772</v>
      </c>
      <c r="AG27" s="460">
        <f t="shared" si="11"/>
        <v>1.3111298808283387</v>
      </c>
      <c r="AH27" s="460">
        <f t="shared" si="11"/>
        <v>1.0917237401074151</v>
      </c>
      <c r="AI27" s="460">
        <f t="shared" si="11"/>
        <v>1.6831849078602772</v>
      </c>
      <c r="AJ27" s="460">
        <f t="shared" si="11"/>
        <v>1.8608747326563153</v>
      </c>
      <c r="AK27" s="460">
        <f t="shared" si="11"/>
        <v>1.8608747326563153</v>
      </c>
      <c r="AL27" s="460">
        <f t="shared" si="11"/>
        <v>1.6831849078602772</v>
      </c>
      <c r="AM27" s="460">
        <f t="shared" si="11"/>
        <v>1.6831849078602772</v>
      </c>
      <c r="AN27" s="460">
        <f t="shared" si="11"/>
        <v>3.3663698157205544</v>
      </c>
      <c r="AO27" s="460">
        <f t="shared" si="11"/>
        <v>1.0099109447161663</v>
      </c>
      <c r="AP27" s="460">
        <f t="shared" si="11"/>
        <v>3.3663698157205544</v>
      </c>
      <c r="AQ27" s="460">
        <f t="shared" si="11"/>
        <v>1.0099109447161663</v>
      </c>
      <c r="AR27" s="460">
        <f t="shared" si="11"/>
        <v>3.3663698157205544</v>
      </c>
      <c r="AS27" s="460">
        <f t="shared" si="11"/>
        <v>1.0099109447161663</v>
      </c>
      <c r="AV27" s="460">
        <f>(AV13)*1000</f>
        <v>1.8608747326563153</v>
      </c>
      <c r="AW27" s="460">
        <f>(AW13)*1000</f>
        <v>1.7474134058461779</v>
      </c>
      <c r="AX27" s="460">
        <f>(AX13)*1000</f>
        <v>1.6836276757646669</v>
      </c>
      <c r="AY27" s="460">
        <f>(AY13)*1000</f>
        <v>1.6831849078602772</v>
      </c>
      <c r="AZ27" s="460">
        <f>(AZ13)*1000</f>
        <v>1.3111298808283387</v>
      </c>
      <c r="BA27" s="460">
        <f>(BA13)*1000</f>
        <v>1.0917237401074151</v>
      </c>
    </row>
    <row r="28" spans="2:53" x14ac:dyDescent="0.25">
      <c r="B28" s="9"/>
      <c r="C28" s="9" t="s">
        <v>826</v>
      </c>
      <c r="D28" t="s">
        <v>1278</v>
      </c>
      <c r="E28" s="403">
        <f>'Drilling - energy_material_6km'!O79</f>
        <v>200</v>
      </c>
      <c r="F28" s="403">
        <f>'Drilling - energy_material_4_5'!O79</f>
        <v>200</v>
      </c>
      <c r="G28" s="403">
        <f>'Drilling - energy_material_8'!O79</f>
        <v>200</v>
      </c>
      <c r="H28" s="53">
        <f>E28*well_horizontal_length</f>
        <v>10800000</v>
      </c>
      <c r="I28" s="53">
        <f>F28*well_horizontal_length</f>
        <v>10800000</v>
      </c>
      <c r="J28" s="53">
        <f>G28*well_horizontal_length</f>
        <v>10800000</v>
      </c>
      <c r="L28" s="53">
        <f>'Drilling - energy_material_6km'!P79</f>
        <v>2000</v>
      </c>
      <c r="M28" s="53">
        <f>L28*well_horizontal_length</f>
        <v>108000000</v>
      </c>
      <c r="N28">
        <f>L28*$I$26</f>
        <v>9000000</v>
      </c>
      <c r="O28">
        <f>L28*$J$26</f>
        <v>16000000</v>
      </c>
      <c r="R28" s="424" t="s">
        <v>1383</v>
      </c>
      <c r="U28">
        <v>4.4707302332079618E-2</v>
      </c>
      <c r="AA28" s="460">
        <f>(SUM(AA14:AA18))*1000</f>
        <v>4.4707302332079618E-2</v>
      </c>
      <c r="AB28" s="460">
        <f t="shared" ref="AB28:AY28" si="12">(SUM(AB14:AB18))*1000</f>
        <v>4.5473369187954443E-2</v>
      </c>
      <c r="AC28" s="460">
        <f t="shared" si="12"/>
        <v>4.8524265616520616E-2</v>
      </c>
      <c r="AD28" s="460">
        <f t="shared" si="12"/>
        <v>5.110319931302934E-2</v>
      </c>
      <c r="AE28" s="460">
        <f t="shared" si="12"/>
        <v>4.5473369187954443E-2</v>
      </c>
      <c r="AF28" s="460">
        <f t="shared" si="12"/>
        <v>3.7453912269780898E-2</v>
      </c>
      <c r="AG28" s="460">
        <f t="shared" si="12"/>
        <v>3.2936832630831032E-2</v>
      </c>
      <c r="AH28" s="460">
        <f t="shared" si="12"/>
        <v>3.0698475954394233E-2</v>
      </c>
      <c r="AI28" s="460">
        <f t="shared" si="12"/>
        <v>3.7453912269780898E-2</v>
      </c>
      <c r="AJ28" s="460">
        <f t="shared" si="12"/>
        <v>4.3829357286726885E-2</v>
      </c>
      <c r="AK28" s="460">
        <f t="shared" si="12"/>
        <v>7.5284784996880946E-2</v>
      </c>
      <c r="AL28" s="460">
        <f t="shared" si="12"/>
        <v>3.6099830119752666E-2</v>
      </c>
      <c r="AM28" s="460">
        <f t="shared" si="12"/>
        <v>6.2007935256959502E-2</v>
      </c>
      <c r="AN28" s="460">
        <f t="shared" si="12"/>
        <v>7.4907824539561796E-2</v>
      </c>
      <c r="AO28" s="460">
        <f t="shared" si="12"/>
        <v>2.2472347361868535E-2</v>
      </c>
      <c r="AP28" s="460">
        <f t="shared" si="12"/>
        <v>7.2199660239505331E-2</v>
      </c>
      <c r="AQ28" s="460">
        <f t="shared" si="12"/>
        <v>2.1659898071851605E-2</v>
      </c>
      <c r="AR28" s="460">
        <f t="shared" si="12"/>
        <v>0.124015870513919</v>
      </c>
      <c r="AS28" s="460">
        <f t="shared" si="12"/>
        <v>3.7204761154175703E-2</v>
      </c>
      <c r="AV28" s="460">
        <f>(SUM(AV14:AV18))*1000</f>
        <v>4.5473369187954443E-2</v>
      </c>
      <c r="AW28" s="460">
        <f>(SUM(AW14:AW18))*1000</f>
        <v>4.8524265616520616E-2</v>
      </c>
      <c r="AX28" s="460">
        <f>(SUM(AX14:AX18))*1000</f>
        <v>5.110319931302934E-2</v>
      </c>
      <c r="AY28" s="460">
        <f>(SUM(AY14:AY18))*1000</f>
        <v>3.7453912269780898E-2</v>
      </c>
      <c r="AZ28" s="460">
        <f>(SUM(AZ14:AZ18))*1000</f>
        <v>3.2936832630831032E-2</v>
      </c>
      <c r="BA28" s="460">
        <f>(SUM(BA14:BA18))*1000</f>
        <v>3.0698475954394233E-2</v>
      </c>
    </row>
    <row r="29" spans="2:53" x14ac:dyDescent="0.25">
      <c r="B29" s="9"/>
      <c r="C29" s="9" t="s">
        <v>824</v>
      </c>
      <c r="D29" t="s">
        <v>1279</v>
      </c>
      <c r="E29" s="53">
        <f>'Drilling - energy_material_6km'!AL50</f>
        <v>66.863406067743341</v>
      </c>
      <c r="F29" s="53">
        <f>'Drilling - energy_material_4_5'!AL49</f>
        <v>72.744126393279046</v>
      </c>
      <c r="G29" s="53">
        <f>'Drilling - energy_material_8'!AL49</f>
        <v>74.864199353203858</v>
      </c>
      <c r="H29" s="53">
        <f>E29*H26*2</f>
        <v>802360.87281292013</v>
      </c>
      <c r="I29" s="53">
        <f>F29*I26*2</f>
        <v>654697.13753951143</v>
      </c>
      <c r="J29" s="53">
        <f>G29*J26*2</f>
        <v>1197827.1896512618</v>
      </c>
      <c r="K29">
        <f>LCI_ags!D79+LCI_ags!D76</f>
        <v>307000</v>
      </c>
      <c r="R29" s="424" t="s">
        <v>822</v>
      </c>
      <c r="U29">
        <v>0.22396299330595257</v>
      </c>
      <c r="AA29" s="460">
        <f t="shared" ref="AA29:AY29" si="13">(AA19)*1000</f>
        <v>0.22396299330595257</v>
      </c>
      <c r="AB29" s="460">
        <f t="shared" si="13"/>
        <v>0.15851695986181216</v>
      </c>
      <c r="AC29" s="460">
        <f t="shared" si="13"/>
        <v>0.14370152279940604</v>
      </c>
      <c r="AD29" s="460">
        <f t="shared" si="13"/>
        <v>0.13632829357682796</v>
      </c>
      <c r="AE29" s="460">
        <f t="shared" si="13"/>
        <v>0.15851695986181216</v>
      </c>
      <c r="AF29" s="460">
        <f t="shared" si="13"/>
        <v>0.14195722002769462</v>
      </c>
      <c r="AG29" s="460">
        <f t="shared" si="13"/>
        <v>0.11067782437403337</v>
      </c>
      <c r="AH29" s="460">
        <f t="shared" si="13"/>
        <v>9.44203936660057E-2</v>
      </c>
      <c r="AI29" s="460">
        <f t="shared" si="13"/>
        <v>0.14195722002769462</v>
      </c>
      <c r="AJ29" s="460">
        <f t="shared" si="13"/>
        <v>0.15851695986181216</v>
      </c>
      <c r="AK29" s="460">
        <f t="shared" si="13"/>
        <v>0.15851695986181216</v>
      </c>
      <c r="AL29" s="460">
        <f t="shared" si="13"/>
        <v>0.14195722002769462</v>
      </c>
      <c r="AM29" s="460">
        <f t="shared" si="13"/>
        <v>0.14195722002769462</v>
      </c>
      <c r="AN29" s="460">
        <f t="shared" si="13"/>
        <v>0.28391444005538924</v>
      </c>
      <c r="AO29" s="460">
        <f t="shared" si="13"/>
        <v>8.5174332016616769E-2</v>
      </c>
      <c r="AP29" s="460">
        <f t="shared" si="13"/>
        <v>0.28391444005538924</v>
      </c>
      <c r="AQ29" s="460">
        <f t="shared" si="13"/>
        <v>8.5174332016616769E-2</v>
      </c>
      <c r="AR29" s="460">
        <f t="shared" si="13"/>
        <v>0.28391444005538924</v>
      </c>
      <c r="AS29" s="460">
        <f t="shared" si="13"/>
        <v>8.5174332016616769E-2</v>
      </c>
      <c r="AV29" s="460">
        <f>(AV19)*1000</f>
        <v>0.15851695986181216</v>
      </c>
      <c r="AW29" s="460">
        <f>(AW19)*1000</f>
        <v>0.14370152279940604</v>
      </c>
      <c r="AX29" s="460">
        <f>(AX19)*1000</f>
        <v>0.13632829357682796</v>
      </c>
      <c r="AY29" s="460">
        <f>(AY19)*1000</f>
        <v>0.14195722002769462</v>
      </c>
      <c r="AZ29" s="460">
        <f>(AZ19)*1000</f>
        <v>0.11067782437403337</v>
      </c>
      <c r="BA29" s="460">
        <f>(BA19)*1000</f>
        <v>9.44203936660057E-2</v>
      </c>
    </row>
    <row r="30" spans="2:53" x14ac:dyDescent="0.25">
      <c r="B30" s="9"/>
      <c r="C30" s="9" t="s">
        <v>825</v>
      </c>
      <c r="D30" t="s">
        <v>1279</v>
      </c>
      <c r="E30" s="53">
        <f>'Drilling - energy_material_6km'!AJ50</f>
        <v>70.600717765988477</v>
      </c>
      <c r="F30" s="53">
        <f>'Drilling - energy_material_4_5'!AJ49</f>
        <v>69.306111049964642</v>
      </c>
      <c r="G30" s="53">
        <f>'Drilling - energy_material_8'!AJ49</f>
        <v>144.73337468595471</v>
      </c>
      <c r="H30" s="53">
        <f>E30*H26*2</f>
        <v>847208.61319186178</v>
      </c>
      <c r="I30" s="53">
        <f>F30*I26*2</f>
        <v>623754.99944968172</v>
      </c>
      <c r="J30" s="53">
        <f>G30*J26*2</f>
        <v>2315733.9949752754</v>
      </c>
      <c r="K30">
        <f>LCI_ags!D78</f>
        <v>1000000</v>
      </c>
      <c r="R30" s="430" t="s">
        <v>1458</v>
      </c>
      <c r="U30">
        <v>6.105945909214376</v>
      </c>
      <c r="AA30" s="460">
        <f>AA24-AA27</f>
        <v>6.105945909214376</v>
      </c>
      <c r="AB30" s="460">
        <f t="shared" ref="AB30:AY30" si="14">AB24-AB27</f>
        <v>5.4611101653578249</v>
      </c>
      <c r="AC30" s="460">
        <f t="shared" si="14"/>
        <v>5.5939657703964913</v>
      </c>
      <c r="AD30" s="460">
        <f t="shared" si="14"/>
        <v>5.6185883867605693</v>
      </c>
      <c r="AE30" s="460">
        <f t="shared" si="14"/>
        <v>4.8394310202219089</v>
      </c>
      <c r="AF30" s="460">
        <f t="shared" si="14"/>
        <v>4.9728831589174787</v>
      </c>
      <c r="AG30" s="460">
        <f t="shared" si="14"/>
        <v>4.0690108294336476</v>
      </c>
      <c r="AH30" s="460">
        <f t="shared" si="14"/>
        <v>3.5355136631721109</v>
      </c>
      <c r="AI30" s="460">
        <f t="shared" si="14"/>
        <v>4.6608843512424949</v>
      </c>
      <c r="AJ30" s="460">
        <f t="shared" si="14"/>
        <v>4.5580477577936316</v>
      </c>
      <c r="AK30" s="460">
        <f t="shared" si="14"/>
        <v>8.9646046744830343</v>
      </c>
      <c r="AL30" s="460">
        <f t="shared" si="14"/>
        <v>4.099129901060099</v>
      </c>
      <c r="AM30" s="460">
        <f t="shared" si="14"/>
        <v>8.3222141082826582</v>
      </c>
      <c r="AN30" s="460">
        <f t="shared" si="14"/>
        <v>9.9457663178349573</v>
      </c>
      <c r="AO30" s="460">
        <f t="shared" si="14"/>
        <v>3.0689042273671046</v>
      </c>
      <c r="AP30" s="460">
        <f t="shared" si="14"/>
        <v>8.198259802120198</v>
      </c>
      <c r="AQ30" s="460">
        <f t="shared" si="14"/>
        <v>2.544652272652677</v>
      </c>
      <c r="AR30" s="460">
        <f t="shared" si="14"/>
        <v>16.644428216565316</v>
      </c>
      <c r="AS30" s="460">
        <f t="shared" si="14"/>
        <v>5.0785027969862107</v>
      </c>
      <c r="AV30" s="460">
        <f>AV24-AV27</f>
        <v>11.481642836242205</v>
      </c>
      <c r="AW30" s="460">
        <f>AW24-AW27</f>
        <v>16.101399922242503</v>
      </c>
      <c r="AX30" s="460">
        <f>AX24-AX27</f>
        <v>19.656802895564731</v>
      </c>
      <c r="AY30" s="460">
        <f>AY24-AY27</f>
        <v>8.2264056197079132</v>
      </c>
      <c r="AZ30" s="460">
        <f>AZ24-AZ27</f>
        <v>7.879064535052362</v>
      </c>
      <c r="BA30" s="460">
        <f>BA24-BA27</f>
        <v>7.6078983697144107</v>
      </c>
    </row>
    <row r="31" spans="2:53" x14ac:dyDescent="0.25">
      <c r="B31" s="9"/>
      <c r="C31" s="9" t="s">
        <v>1280</v>
      </c>
      <c r="D31" t="s">
        <v>1279</v>
      </c>
      <c r="E31" s="53">
        <f>'Drilling - energy_material_6km'!AK50</f>
        <v>28.240287106395392</v>
      </c>
      <c r="F31" s="53">
        <f>'Drilling - energy_material_4_5'!AK49</f>
        <v>27.722444419985859</v>
      </c>
      <c r="G31" s="53">
        <f>'Drilling - energy_material_8'!AK49</f>
        <v>57.89334987438189</v>
      </c>
      <c r="H31" s="53">
        <f>E31*H26*2</f>
        <v>338883.44527674472</v>
      </c>
      <c r="I31" s="53">
        <f>F31*I26*2</f>
        <v>249501.99977987274</v>
      </c>
      <c r="J31" s="53">
        <f>G31*J26*2</f>
        <v>926293.59799011028</v>
      </c>
      <c r="K31">
        <f>LCI_ags!D80</f>
        <v>500000</v>
      </c>
    </row>
    <row r="32" spans="2:53" x14ac:dyDescent="0.25">
      <c r="B32" s="9"/>
      <c r="C32" s="9" t="s">
        <v>817</v>
      </c>
      <c r="D32" t="s">
        <v>416</v>
      </c>
      <c r="E32">
        <v>1</v>
      </c>
      <c r="F32">
        <v>1</v>
      </c>
      <c r="G32">
        <v>1</v>
      </c>
      <c r="H32">
        <f t="shared" ref="H32:H40" si="15">E32</f>
        <v>1</v>
      </c>
      <c r="I32">
        <f t="shared" ref="I32:I40" si="16">F32</f>
        <v>1</v>
      </c>
      <c r="J32">
        <f t="shared" ref="J32:J40" si="17">G32</f>
        <v>1</v>
      </c>
    </row>
    <row r="33" spans="2:38" x14ac:dyDescent="0.25">
      <c r="B33" s="9" t="s">
        <v>849</v>
      </c>
      <c r="C33" s="9" t="s">
        <v>818</v>
      </c>
      <c r="D33" t="s">
        <v>1281</v>
      </c>
      <c r="E33" s="53">
        <f>E37</f>
        <v>543977.71433816536</v>
      </c>
      <c r="F33" s="53">
        <f>F37</f>
        <v>524311.13030569383</v>
      </c>
      <c r="G33" s="53">
        <f>G37</f>
        <v>900598.43812698429</v>
      </c>
      <c r="H33" s="53">
        <f t="shared" si="15"/>
        <v>543977.71433816536</v>
      </c>
      <c r="I33" s="53">
        <f t="shared" si="16"/>
        <v>524311.13030569383</v>
      </c>
      <c r="J33" s="53">
        <f t="shared" si="17"/>
        <v>900598.43812698429</v>
      </c>
      <c r="L33" t="s">
        <v>1556</v>
      </c>
      <c r="M33">
        <f>E33/lifetime_30a_elprod</f>
        <v>1.2196120409213259E-3</v>
      </c>
    </row>
    <row r="34" spans="2:38" x14ac:dyDescent="0.25">
      <c r="B34" s="9"/>
      <c r="C34" s="9" t="s">
        <v>819</v>
      </c>
      <c r="D34" t="s">
        <v>1281</v>
      </c>
      <c r="E34" s="53">
        <f>E37</f>
        <v>543977.71433816536</v>
      </c>
      <c r="F34" s="53">
        <f>F37</f>
        <v>524311.13030569383</v>
      </c>
      <c r="G34" s="53">
        <f>G37</f>
        <v>900598.43812698429</v>
      </c>
      <c r="H34" s="53">
        <f t="shared" si="15"/>
        <v>543977.71433816536</v>
      </c>
      <c r="I34" s="53">
        <f t="shared" si="16"/>
        <v>524311.13030569383</v>
      </c>
      <c r="J34" s="53">
        <f t="shared" si="17"/>
        <v>900598.43812698429</v>
      </c>
    </row>
    <row r="35" spans="2:38" x14ac:dyDescent="0.25">
      <c r="B35" s="9"/>
      <c r="C35" s="9" t="s">
        <v>754</v>
      </c>
      <c r="D35" t="s">
        <v>1281</v>
      </c>
      <c r="E35" s="53">
        <f>E37</f>
        <v>543977.71433816536</v>
      </c>
      <c r="F35" s="53">
        <f>F37</f>
        <v>524311.13030569383</v>
      </c>
      <c r="G35" s="53">
        <f>G37</f>
        <v>900598.43812698429</v>
      </c>
      <c r="H35" s="53">
        <f t="shared" si="15"/>
        <v>543977.71433816536</v>
      </c>
      <c r="I35" s="53">
        <f t="shared" si="16"/>
        <v>524311.13030569383</v>
      </c>
      <c r="J35" s="53">
        <f t="shared" si="17"/>
        <v>900598.43812698429</v>
      </c>
      <c r="L35" t="s">
        <v>397</v>
      </c>
      <c r="M35" s="53">
        <f>E37/Drilling_summary!$G$11</f>
        <v>10.073661376632693</v>
      </c>
      <c r="N35" s="53">
        <f>F37/Drilling_summary!$G$17</f>
        <v>10.280610398150859</v>
      </c>
      <c r="O35" s="53">
        <f>G37/Drilling_summary!$G$23</f>
        <v>15.527559278051454</v>
      </c>
    </row>
    <row r="36" spans="2:38" x14ac:dyDescent="0.25">
      <c r="B36" s="9"/>
      <c r="C36" s="9" t="s">
        <v>820</v>
      </c>
      <c r="D36" t="s">
        <v>1281</v>
      </c>
      <c r="E36" s="53">
        <f>E37</f>
        <v>543977.71433816536</v>
      </c>
      <c r="F36" s="53">
        <f>F37</f>
        <v>524311.13030569383</v>
      </c>
      <c r="G36" s="53">
        <f>G37</f>
        <v>900598.43812698429</v>
      </c>
      <c r="H36" s="53">
        <f t="shared" si="15"/>
        <v>543977.71433816536</v>
      </c>
      <c r="I36" s="53">
        <f t="shared" si="16"/>
        <v>524311.13030569383</v>
      </c>
      <c r="J36" s="53">
        <f t="shared" si="17"/>
        <v>900598.43812698429</v>
      </c>
    </row>
    <row r="37" spans="2:38" x14ac:dyDescent="0.25">
      <c r="B37" s="9"/>
      <c r="C37" s="9" t="s">
        <v>821</v>
      </c>
      <c r="D37" t="s">
        <v>1281</v>
      </c>
      <c r="E37" s="53">
        <f>'CO2'!C33*1000</f>
        <v>543977.71433816536</v>
      </c>
      <c r="F37" s="53">
        <f>'CO2'!C34*1000</f>
        <v>524311.13030569383</v>
      </c>
      <c r="G37" s="53">
        <f>'CO2'!C35*1000</f>
        <v>900598.43812698429</v>
      </c>
      <c r="H37" s="53">
        <f t="shared" si="15"/>
        <v>543977.71433816536</v>
      </c>
      <c r="I37" s="53">
        <f t="shared" si="16"/>
        <v>524311.13030569383</v>
      </c>
      <c r="J37" s="53">
        <f t="shared" si="17"/>
        <v>900598.43812698429</v>
      </c>
    </row>
    <row r="38" spans="2:38" x14ac:dyDescent="0.25">
      <c r="B38" s="9" t="s">
        <v>822</v>
      </c>
      <c r="C38" s="9"/>
      <c r="D38" t="s">
        <v>416</v>
      </c>
      <c r="E38">
        <v>1</v>
      </c>
      <c r="F38">
        <v>1</v>
      </c>
      <c r="G38">
        <v>1</v>
      </c>
      <c r="H38" s="53">
        <f t="shared" si="15"/>
        <v>1</v>
      </c>
      <c r="I38" s="53">
        <f t="shared" si="16"/>
        <v>1</v>
      </c>
      <c r="J38" s="53">
        <f t="shared" si="17"/>
        <v>1</v>
      </c>
    </row>
    <row r="39" spans="2:38" x14ac:dyDescent="0.25">
      <c r="B39" s="9" t="s">
        <v>823</v>
      </c>
      <c r="C39" s="9"/>
      <c r="D39" t="s">
        <v>416</v>
      </c>
      <c r="E39">
        <v>1</v>
      </c>
      <c r="F39">
        <v>1</v>
      </c>
      <c r="G39">
        <v>1</v>
      </c>
      <c r="H39" s="53">
        <f t="shared" si="15"/>
        <v>1</v>
      </c>
      <c r="I39" s="53">
        <f t="shared" si="16"/>
        <v>1</v>
      </c>
      <c r="J39" s="53">
        <f t="shared" si="17"/>
        <v>1</v>
      </c>
      <c r="L39" s="404"/>
    </row>
    <row r="40" spans="2:38" x14ac:dyDescent="0.25">
      <c r="B40" s="9" t="s">
        <v>829</v>
      </c>
      <c r="C40" s="9" t="s">
        <v>830</v>
      </c>
      <c r="D40" t="s">
        <v>1519</v>
      </c>
      <c r="E40" s="53">
        <f>'Drilling - energy_material_6km'!P56*'Drilling - energy_material_6km'!AI58</f>
        <v>51580.525353860619</v>
      </c>
      <c r="F40" s="53">
        <f>'Drilling - energy_material_4_5'!P56*'Drilling - energy_material_4_5'!AI58</f>
        <v>51580.525353860619</v>
      </c>
      <c r="G40" s="53">
        <f>'Drilling - energy_material_8'!P56*'Drilling - energy_material_8'!AI58</f>
        <v>111956.62164137408</v>
      </c>
      <c r="H40" s="53">
        <f t="shared" si="15"/>
        <v>51580.525353860619</v>
      </c>
      <c r="I40" s="53">
        <f t="shared" si="16"/>
        <v>51580.525353860619</v>
      </c>
      <c r="J40" s="53">
        <f t="shared" si="17"/>
        <v>111956.62164137408</v>
      </c>
      <c r="M40" s="53">
        <f>E40/Drilling_summary!$G$11</f>
        <v>0.95519491396038181</v>
      </c>
      <c r="N40" s="53">
        <f>F40/Drilling_summary!$G$17</f>
        <v>1.0113828500756985</v>
      </c>
      <c r="O40" s="53">
        <f>G40/Drilling_summary!$G$23</f>
        <v>1.930286580023691</v>
      </c>
    </row>
    <row r="42" spans="2:38" ht="75" x14ac:dyDescent="0.25">
      <c r="O42" s="300" t="s">
        <v>1531</v>
      </c>
      <c r="P42" s="300" t="s">
        <v>848</v>
      </c>
      <c r="Q42" t="s">
        <v>831</v>
      </c>
      <c r="Y42" t="s">
        <v>832</v>
      </c>
      <c r="AA42" t="s">
        <v>833</v>
      </c>
      <c r="AD42" t="s">
        <v>834</v>
      </c>
    </row>
    <row r="43" spans="2:38" x14ac:dyDescent="0.25">
      <c r="D43" s="9" t="s">
        <v>828</v>
      </c>
      <c r="P43" t="s">
        <v>835</v>
      </c>
      <c r="Q43" t="s">
        <v>836</v>
      </c>
      <c r="Y43" t="s">
        <v>837</v>
      </c>
      <c r="AA43" t="s">
        <v>838</v>
      </c>
      <c r="AD43" t="s">
        <v>839</v>
      </c>
    </row>
    <row r="45" spans="2:38" x14ac:dyDescent="0.25">
      <c r="P45" t="s">
        <v>1888</v>
      </c>
    </row>
    <row r="46" spans="2:38" x14ac:dyDescent="0.25">
      <c r="P46" t="s">
        <v>1195</v>
      </c>
      <c r="Q46" t="s">
        <v>1333</v>
      </c>
      <c r="R46" t="s">
        <v>1334</v>
      </c>
      <c r="S46" t="s">
        <v>1304</v>
      </c>
      <c r="T46" t="s">
        <v>1305</v>
      </c>
      <c r="U46" t="s">
        <v>1306</v>
      </c>
      <c r="V46" t="s">
        <v>1307</v>
      </c>
      <c r="W46" s="9" t="s">
        <v>1282</v>
      </c>
    </row>
    <row r="47" spans="2:38" x14ac:dyDescent="0.25">
      <c r="B47" s="32"/>
      <c r="C47" s="32"/>
      <c r="D47" s="32"/>
      <c r="E47" s="32"/>
      <c r="F47" s="32"/>
      <c r="G47" s="32"/>
      <c r="H47" s="32"/>
      <c r="I47" s="32" t="s">
        <v>840</v>
      </c>
      <c r="J47" s="32" t="s">
        <v>423</v>
      </c>
      <c r="K47" s="32" t="s">
        <v>416</v>
      </c>
      <c r="L47" s="32" t="s">
        <v>415</v>
      </c>
      <c r="M47" s="32" t="s">
        <v>422</v>
      </c>
      <c r="N47" s="32" t="s">
        <v>418</v>
      </c>
      <c r="O47" s="32" t="s">
        <v>439</v>
      </c>
      <c r="P47" t="s">
        <v>1147</v>
      </c>
      <c r="Q47" s="32"/>
      <c r="R47" s="32"/>
      <c r="S47" s="32"/>
      <c r="T47" s="32"/>
      <c r="U47" s="32"/>
      <c r="V47" s="32"/>
      <c r="W47" s="32" t="s">
        <v>1148</v>
      </c>
      <c r="X47" s="32" t="s">
        <v>1149</v>
      </c>
      <c r="Y47" s="32" t="s">
        <v>1150</v>
      </c>
      <c r="Z47" s="32" t="s">
        <v>1151</v>
      </c>
      <c r="AA47" s="32" t="s">
        <v>1152</v>
      </c>
      <c r="AB47" s="32" t="s">
        <v>1153</v>
      </c>
      <c r="AK47" s="9"/>
      <c r="AL47" s="9"/>
    </row>
    <row r="48" spans="2:38" x14ac:dyDescent="0.25">
      <c r="B48" s="351" t="s">
        <v>1292</v>
      </c>
      <c r="C48" s="50" t="s">
        <v>1293</v>
      </c>
      <c r="D48" s="50" t="s">
        <v>1284</v>
      </c>
      <c r="E48" s="50"/>
      <c r="F48" s="50"/>
      <c r="G48" s="50"/>
      <c r="H48" s="50"/>
      <c r="I48" s="50"/>
      <c r="J48" s="50">
        <v>1</v>
      </c>
      <c r="K48" s="50" t="s">
        <v>433</v>
      </c>
      <c r="L48" s="50" t="s">
        <v>431</v>
      </c>
      <c r="M48" s="50" t="s">
        <v>1192</v>
      </c>
      <c r="N48" s="50" t="s">
        <v>432</v>
      </c>
      <c r="O48" s="50" t="s">
        <v>1171</v>
      </c>
      <c r="P48" s="50">
        <v>1.6584060573758899E-2</v>
      </c>
      <c r="Q48" s="50">
        <v>4.8410119656207597E-2</v>
      </c>
      <c r="R48" s="50">
        <v>8.4488561457447903E-2</v>
      </c>
      <c r="S48" s="50">
        <v>0.112878989498265</v>
      </c>
      <c r="T48" s="50">
        <v>2.61610425922475E-2</v>
      </c>
      <c r="U48" s="50">
        <v>3.0636019413625301E-2</v>
      </c>
      <c r="V48" s="50">
        <v>3.27453801360841E-2</v>
      </c>
      <c r="W48" s="50">
        <v>0.12947677602759899</v>
      </c>
      <c r="X48" s="50">
        <v>0.108074226069935</v>
      </c>
      <c r="Y48" s="360">
        <v>4.1465919846752199E-7</v>
      </c>
      <c r="Z48" s="360">
        <v>4.2079498394363296E-9</v>
      </c>
      <c r="AA48" s="360">
        <v>1.8511661733594601E-9</v>
      </c>
      <c r="AB48" s="360">
        <v>9.9278976069397799E-5</v>
      </c>
      <c r="AK48" s="9"/>
      <c r="AL48" s="9"/>
    </row>
    <row r="49" spans="1:38" x14ac:dyDescent="0.25">
      <c r="B49" s="50"/>
      <c r="C49" s="50" t="s">
        <v>1299</v>
      </c>
      <c r="D49" s="50" t="s">
        <v>1286</v>
      </c>
      <c r="E49" s="50"/>
      <c r="F49" s="50"/>
      <c r="G49" s="50"/>
      <c r="H49" s="50"/>
      <c r="I49" s="50"/>
      <c r="J49" s="50">
        <v>1</v>
      </c>
      <c r="K49" s="50" t="s">
        <v>433</v>
      </c>
      <c r="L49" s="50" t="s">
        <v>431</v>
      </c>
      <c r="M49" s="50" t="s">
        <v>1287</v>
      </c>
      <c r="N49" s="50" t="s">
        <v>432</v>
      </c>
      <c r="O49" s="50" t="s">
        <v>909</v>
      </c>
      <c r="P49" s="50">
        <v>8.2319679057797999E-3</v>
      </c>
      <c r="Q49" s="50"/>
      <c r="R49" s="50"/>
      <c r="S49" s="50"/>
      <c r="T49" s="50"/>
      <c r="U49" s="50"/>
      <c r="V49" s="50"/>
      <c r="W49" s="50">
        <v>6.6735738075033899E-2</v>
      </c>
      <c r="X49" s="50">
        <v>0.22323660343900001</v>
      </c>
      <c r="Y49" s="360">
        <v>6.0785076071021101E-8</v>
      </c>
      <c r="Z49" s="360">
        <v>1.6895089333304299E-10</v>
      </c>
      <c r="AA49" s="360">
        <v>1.5264665944023201E-9</v>
      </c>
      <c r="AB49" s="360">
        <v>4.9733958273417797E-5</v>
      </c>
    </row>
    <row r="50" spans="1:38" x14ac:dyDescent="0.25">
      <c r="B50" s="50"/>
      <c r="C50" s="50" t="s">
        <v>1300</v>
      </c>
      <c r="D50" s="50" t="s">
        <v>1285</v>
      </c>
      <c r="E50" s="50"/>
      <c r="F50" s="50"/>
      <c r="G50" s="50"/>
      <c r="H50" s="50"/>
      <c r="I50" s="50"/>
      <c r="J50" s="50">
        <v>1</v>
      </c>
      <c r="K50" s="50" t="s">
        <v>433</v>
      </c>
      <c r="L50" s="50" t="s">
        <v>505</v>
      </c>
      <c r="M50" s="50" t="s">
        <v>506</v>
      </c>
      <c r="N50" s="50" t="s">
        <v>432</v>
      </c>
      <c r="O50" s="50" t="s">
        <v>909</v>
      </c>
      <c r="P50" s="50">
        <v>3.32840433370492E-2</v>
      </c>
      <c r="Q50" s="50"/>
      <c r="R50" s="50"/>
      <c r="S50" s="50"/>
      <c r="T50" s="50"/>
      <c r="U50" s="50"/>
      <c r="V50" s="50"/>
      <c r="W50" s="50">
        <v>0.65070767492604698</v>
      </c>
      <c r="X50" s="50">
        <v>1.16561510883971</v>
      </c>
      <c r="Y50" s="360">
        <v>4.1870801841296598E-6</v>
      </c>
      <c r="Z50" s="360">
        <v>1.28761248079914E-9</v>
      </c>
      <c r="AA50" s="360">
        <v>2.8190635327070402E-9</v>
      </c>
      <c r="AB50" s="360">
        <v>1.6278018477426201E-4</v>
      </c>
      <c r="AK50" s="9"/>
      <c r="AL50" s="9"/>
    </row>
    <row r="51" spans="1:38" x14ac:dyDescent="0.25">
      <c r="B51" s="50"/>
      <c r="C51" s="50" t="s">
        <v>1301</v>
      </c>
      <c r="D51" s="50" t="s">
        <v>1288</v>
      </c>
      <c r="E51" s="50"/>
      <c r="F51" s="50"/>
      <c r="G51" s="50"/>
      <c r="H51" s="50"/>
      <c r="I51" s="50"/>
      <c r="J51" s="50">
        <v>1</v>
      </c>
      <c r="K51" s="50" t="s">
        <v>433</v>
      </c>
      <c r="L51" s="50" t="s">
        <v>480</v>
      </c>
      <c r="M51" s="50" t="s">
        <v>1034</v>
      </c>
      <c r="N51" s="50" t="s">
        <v>432</v>
      </c>
      <c r="O51" s="50" t="s">
        <v>909</v>
      </c>
      <c r="P51" s="50">
        <v>2.33167985403466E-2</v>
      </c>
      <c r="Q51" s="50"/>
      <c r="R51" s="50"/>
      <c r="S51" s="50"/>
      <c r="T51" s="50"/>
      <c r="U51" s="50"/>
      <c r="V51" s="50"/>
      <c r="W51" s="50">
        <v>0.27980726115235099</v>
      </c>
      <c r="X51" s="50">
        <v>1.04428337176611</v>
      </c>
      <c r="Y51" s="360">
        <v>6.0288734288702605E-7</v>
      </c>
      <c r="Z51" s="360">
        <v>8.8880277983063399E-10</v>
      </c>
      <c r="AA51" s="360">
        <v>1.7781374769359199E-9</v>
      </c>
      <c r="AB51" s="360">
        <v>8.7927918688659895E-5</v>
      </c>
    </row>
    <row r="52" spans="1:38" x14ac:dyDescent="0.25">
      <c r="B52" s="50"/>
      <c r="C52" s="50" t="s">
        <v>1302</v>
      </c>
      <c r="D52" s="50" t="s">
        <v>1289</v>
      </c>
      <c r="E52" s="50"/>
      <c r="F52" s="50"/>
      <c r="G52" s="50"/>
      <c r="H52" s="50"/>
      <c r="I52" s="50"/>
      <c r="J52" s="50">
        <v>1</v>
      </c>
      <c r="K52" s="50" t="s">
        <v>433</v>
      </c>
      <c r="L52" s="50" t="s">
        <v>431</v>
      </c>
      <c r="M52" s="50" t="s">
        <v>844</v>
      </c>
      <c r="N52" s="50" t="s">
        <v>432</v>
      </c>
      <c r="O52" s="50" t="s">
        <v>909</v>
      </c>
      <c r="P52" s="50">
        <v>2.0408812202523299E-2</v>
      </c>
      <c r="Q52" s="50"/>
      <c r="R52" s="50"/>
      <c r="S52" s="50"/>
      <c r="T52" s="50"/>
      <c r="U52" s="50"/>
      <c r="V52" s="50"/>
      <c r="W52" s="50">
        <v>0.113750924009374</v>
      </c>
      <c r="X52" s="50">
        <v>1.02409405909372</v>
      </c>
      <c r="Y52" s="360">
        <v>1.9824184777474399E-7</v>
      </c>
      <c r="Z52" s="360">
        <v>4.9059580255368703E-10</v>
      </c>
      <c r="AA52" s="360">
        <v>1.6113011724849801E-9</v>
      </c>
      <c r="AB52" s="360">
        <v>7.5665744538927095E-5</v>
      </c>
      <c r="AK52" s="9"/>
      <c r="AL52" s="9"/>
    </row>
    <row r="53" spans="1:38" x14ac:dyDescent="0.25">
      <c r="B53" s="50"/>
      <c r="C53" s="50" t="s">
        <v>1303</v>
      </c>
      <c r="D53" s="50" t="s">
        <v>1290</v>
      </c>
      <c r="E53" s="50"/>
      <c r="F53" s="50"/>
      <c r="G53" s="50"/>
      <c r="H53" s="50"/>
      <c r="I53" s="50"/>
      <c r="J53" s="50">
        <v>1</v>
      </c>
      <c r="K53" s="50" t="s">
        <v>433</v>
      </c>
      <c r="L53" s="50" t="s">
        <v>431</v>
      </c>
      <c r="M53" s="50" t="s">
        <v>842</v>
      </c>
      <c r="N53" s="50" t="s">
        <v>432</v>
      </c>
      <c r="O53" s="50" t="s">
        <v>909</v>
      </c>
      <c r="P53" s="50">
        <v>3.7453943378596101E-3</v>
      </c>
      <c r="Q53" s="50"/>
      <c r="R53" s="50"/>
      <c r="S53" s="50"/>
      <c r="T53" s="50"/>
      <c r="U53" s="50"/>
      <c r="V53" s="50"/>
      <c r="W53" s="50">
        <v>4.6869296392422197E-2</v>
      </c>
      <c r="X53" s="50">
        <v>-6.2492623809148797E-3</v>
      </c>
      <c r="Y53" s="360">
        <v>1.7071395503342101E-8</v>
      </c>
      <c r="Z53" s="360">
        <v>2.4235865568658802E-11</v>
      </c>
      <c r="AA53" s="360">
        <v>4.7526419609627399E-10</v>
      </c>
      <c r="AB53" s="360">
        <v>1.7413829656873399E-5</v>
      </c>
    </row>
    <row r="54" spans="1:38" x14ac:dyDescent="0.25">
      <c r="B54" s="50" t="s">
        <v>2104</v>
      </c>
      <c r="C54" s="50"/>
      <c r="D54" t="s">
        <v>2105</v>
      </c>
      <c r="E54" s="50"/>
      <c r="F54" s="50"/>
      <c r="G54" s="50"/>
      <c r="H54" s="50"/>
      <c r="I54" t="s">
        <v>2105</v>
      </c>
      <c r="J54">
        <v>1</v>
      </c>
      <c r="K54" t="s">
        <v>434</v>
      </c>
      <c r="L54" t="s">
        <v>1069</v>
      </c>
      <c r="M54" t="s">
        <v>1069</v>
      </c>
      <c r="N54" t="s">
        <v>462</v>
      </c>
      <c r="O54" t="s">
        <v>1592</v>
      </c>
      <c r="P54">
        <v>9.49655156836888E-2</v>
      </c>
      <c r="Q54" s="50"/>
      <c r="R54" s="50"/>
      <c r="S54">
        <v>6.7478214084178603E-2</v>
      </c>
      <c r="T54" s="50"/>
      <c r="U54" s="50"/>
      <c r="V54">
        <v>4.1748253611933003E-2</v>
      </c>
      <c r="W54" s="50"/>
      <c r="X54" s="50"/>
      <c r="Y54" s="360"/>
      <c r="Z54" s="360"/>
      <c r="AA54" s="360"/>
      <c r="AB54" s="360"/>
    </row>
    <row r="55" spans="1:38" s="65" customFormat="1" x14ac:dyDescent="0.25">
      <c r="B55" s="408" t="s">
        <v>1044</v>
      </c>
      <c r="C55" s="408" t="s">
        <v>1283</v>
      </c>
      <c r="D55" s="408" t="s">
        <v>1154</v>
      </c>
      <c r="E55" s="408"/>
      <c r="F55" s="408"/>
      <c r="G55" s="408"/>
      <c r="H55" s="408"/>
      <c r="I55" s="408"/>
      <c r="J55" s="408">
        <v>1</v>
      </c>
      <c r="K55" s="408" t="s">
        <v>530</v>
      </c>
      <c r="L55" s="408" t="s">
        <v>915</v>
      </c>
      <c r="M55" s="408" t="s">
        <v>915</v>
      </c>
      <c r="N55" s="408" t="s">
        <v>432</v>
      </c>
      <c r="O55" s="408" t="s">
        <v>911</v>
      </c>
      <c r="P55" s="409">
        <f t="shared" ref="P55:AB55" si="18">K89</f>
        <v>207.91423447585899</v>
      </c>
      <c r="Q55" s="409">
        <f t="shared" si="18"/>
        <v>185.534312882629</v>
      </c>
      <c r="R55" s="409">
        <f t="shared" si="18"/>
        <v>179.53838294351701</v>
      </c>
      <c r="S55" s="409">
        <f t="shared" si="18"/>
        <v>175.25389152892501</v>
      </c>
      <c r="T55" s="409">
        <f t="shared" si="18"/>
        <v>175.91731143589601</v>
      </c>
      <c r="U55" s="409">
        <f t="shared" si="18"/>
        <v>165.71263289917999</v>
      </c>
      <c r="V55" s="409">
        <f t="shared" si="18"/>
        <v>161.6973511326604</v>
      </c>
      <c r="W55" s="409">
        <f t="shared" si="18"/>
        <v>1814.5604476083099</v>
      </c>
      <c r="X55" s="409">
        <f t="shared" si="18"/>
        <v>585.30760609983599</v>
      </c>
      <c r="Y55" s="409">
        <f t="shared" si="18"/>
        <v>3.0679954259471599E-3</v>
      </c>
      <c r="Z55" s="409">
        <f t="shared" si="18"/>
        <v>1.09523118038029E-5</v>
      </c>
      <c r="AA55" s="409">
        <f t="shared" si="18"/>
        <v>1.23898069720073E-5</v>
      </c>
      <c r="AB55" s="409">
        <f t="shared" si="18"/>
        <v>1.69186183795629</v>
      </c>
      <c r="AD55"/>
      <c r="AE55" t="s">
        <v>1552</v>
      </c>
      <c r="AF55"/>
      <c r="AG55"/>
      <c r="AH55"/>
      <c r="AI55"/>
      <c r="AJ55"/>
      <c r="AK55"/>
      <c r="AL55"/>
    </row>
    <row r="56" spans="1:38" s="9" customFormat="1" x14ac:dyDescent="0.25">
      <c r="B56" s="301"/>
      <c r="C56" s="301"/>
      <c r="D56" s="408" t="s">
        <v>1165</v>
      </c>
      <c r="E56" s="408"/>
      <c r="F56" s="408"/>
      <c r="G56" s="408"/>
      <c r="H56" s="408"/>
      <c r="I56" s="408"/>
      <c r="J56" s="408">
        <v>1</v>
      </c>
      <c r="K56" s="408" t="s">
        <v>417</v>
      </c>
      <c r="L56" s="408" t="s">
        <v>983</v>
      </c>
      <c r="M56" s="408" t="s">
        <v>983</v>
      </c>
      <c r="N56" s="408" t="s">
        <v>432</v>
      </c>
      <c r="O56" s="408" t="s">
        <v>911</v>
      </c>
      <c r="P56" s="411">
        <f>K90-literature_CO2_cond_transp!$C$193/1000</f>
        <v>3.4389163918367008E-2</v>
      </c>
      <c r="Q56" s="411">
        <f>L90-literature_CO2_cond_transp!$C$193/1000</f>
        <v>2.9714230463765992E-2</v>
      </c>
      <c r="R56" s="411">
        <f>M90-literature_CO2_cond_transp!$C$193/1000</f>
        <v>2.7880965905215008E-2</v>
      </c>
      <c r="S56" s="411">
        <f>N90-literature_CO2_cond_transp!$C$193/1000</f>
        <v>2.6460497486195986E-2</v>
      </c>
      <c r="T56" s="411">
        <f>O90-literature_CO2_cond_transp!$C$193/1000</f>
        <v>2.6917965522209E-2</v>
      </c>
      <c r="U56" s="411">
        <f>P90-literature_CO2_cond_transp!$C$193/1000</f>
        <v>2.4490599379457009E-2</v>
      </c>
      <c r="V56" s="411">
        <f>Q90-literature_CO2_cond_transp!$C$193/1000</f>
        <v>2.3718343536768702E-2</v>
      </c>
      <c r="W56" s="411">
        <f t="shared" ref="W56:AB56" si="19">R90</f>
        <v>0.74208847262787103</v>
      </c>
      <c r="X56" s="411">
        <f t="shared" si="19"/>
        <v>0.100865065711815</v>
      </c>
      <c r="Y56" s="411">
        <f t="shared" si="19"/>
        <v>4.5621005219405902E-7</v>
      </c>
      <c r="Z56" s="411">
        <f t="shared" si="19"/>
        <v>1.3193793389155999E-9</v>
      </c>
      <c r="AA56" s="411">
        <f t="shared" si="19"/>
        <v>1.46761665346135E-9</v>
      </c>
      <c r="AB56" s="411">
        <f t="shared" si="19"/>
        <v>1.75002790353148E-4</v>
      </c>
      <c r="AD56"/>
      <c r="AE56" s="401">
        <v>2020</v>
      </c>
      <c r="AF56" t="s">
        <v>1173</v>
      </c>
      <c r="AG56"/>
      <c r="AH56"/>
      <c r="AI56" t="s">
        <v>655</v>
      </c>
      <c r="AJ56"/>
      <c r="AK56"/>
      <c r="AL56"/>
    </row>
    <row r="57" spans="1:38" s="9" customFormat="1" x14ac:dyDescent="0.25">
      <c r="B57" s="301"/>
      <c r="C57" s="301"/>
      <c r="D57" s="408" t="s">
        <v>1166</v>
      </c>
      <c r="E57" s="408"/>
      <c r="F57" s="408"/>
      <c r="G57" s="408"/>
      <c r="H57" s="408"/>
      <c r="I57" s="408"/>
      <c r="J57" s="408">
        <v>1</v>
      </c>
      <c r="K57" s="408" t="s">
        <v>417</v>
      </c>
      <c r="L57" s="408" t="s">
        <v>984</v>
      </c>
      <c r="M57" s="408" t="s">
        <v>1043</v>
      </c>
      <c r="N57" s="408" t="s">
        <v>432</v>
      </c>
      <c r="O57" s="408" t="s">
        <v>911</v>
      </c>
      <c r="P57" s="411">
        <f>P56+P58+LCI_CO2!$C$123*LCIA_CC_ch_el_BAU_2019</f>
        <v>3.985376630745615E-2</v>
      </c>
      <c r="Q57" s="411">
        <f>Q56+Q58+LCI_CO2!$C$123*LCIA_CC_ch_el_BAU_2030</f>
        <v>3.8079269886949145E-2</v>
      </c>
      <c r="R57" s="411">
        <f>R56+R58+LCI_CO2!$C$123*LCIA_CC_ch_el_BAU_2040</f>
        <v>3.9632067124261566E-2</v>
      </c>
      <c r="S57" s="411">
        <f>S56+S58+LCI_CO2!$C$123*LCIA_CC_ch_el_BAU_2050</f>
        <v>4.0878760170213524E-2</v>
      </c>
      <c r="T57" s="411">
        <f>T56+T58+LCI_CO2!$C$123*LCIA_CC_ch_el_LOW_2030</f>
        <v>3.3104626882967211E-2</v>
      </c>
      <c r="U57" s="411">
        <f>U56+U58+LCI_CO2!$C$123*LCIA_CC_ch_el_LOW_2040</f>
        <v>3.1014970501815807E-2</v>
      </c>
      <c r="V57" s="411">
        <f>V56+V58+LCI_CO2!$C$123*LCIA_CC_ch_el_LOW_2050</f>
        <v>3.0415505681372374E-2</v>
      </c>
      <c r="W57" s="411">
        <f t="shared" ref="W57:AB60" si="20">R93</f>
        <v>0.81482040465799799</v>
      </c>
      <c r="X57" s="411">
        <f t="shared" si="20"/>
        <v>0.216503638646242</v>
      </c>
      <c r="Y57" s="411">
        <f t="shared" si="20"/>
        <v>9.0744459656338996E-7</v>
      </c>
      <c r="Z57" s="411">
        <f t="shared" si="20"/>
        <v>1.4484460156319199E-9</v>
      </c>
      <c r="AA57" s="411">
        <f t="shared" si="20"/>
        <v>1.78799068092155E-9</v>
      </c>
      <c r="AB57" s="411">
        <f t="shared" si="20"/>
        <v>1.93327721059215E-4</v>
      </c>
      <c r="AD57"/>
      <c r="AE57"/>
      <c r="AF57" s="401">
        <v>2030</v>
      </c>
      <c r="AG57" s="401">
        <v>2040</v>
      </c>
      <c r="AH57">
        <v>2050</v>
      </c>
      <c r="AI57" s="401">
        <v>2030</v>
      </c>
      <c r="AJ57" s="401">
        <v>2040</v>
      </c>
      <c r="AK57">
        <v>2050</v>
      </c>
    </row>
    <row r="58" spans="1:38" x14ac:dyDescent="0.25">
      <c r="A58" s="404"/>
      <c r="B58" s="55"/>
      <c r="C58" s="399">
        <f>1-P58/P57</f>
        <v>0.90247774838864248</v>
      </c>
      <c r="D58" s="408" t="s">
        <v>1158</v>
      </c>
      <c r="E58" s="408"/>
      <c r="F58" s="408"/>
      <c r="G58" s="408"/>
      <c r="H58" s="408"/>
      <c r="I58" s="408"/>
      <c r="J58" s="408">
        <v>1</v>
      </c>
      <c r="K58" s="408" t="s">
        <v>417</v>
      </c>
      <c r="L58" s="408" t="s">
        <v>1140</v>
      </c>
      <c r="M58" s="408" t="s">
        <v>1139</v>
      </c>
      <c r="N58" s="408" t="s">
        <v>432</v>
      </c>
      <c r="O58" s="408" t="s">
        <v>911</v>
      </c>
      <c r="P58" s="411">
        <f t="shared" ref="P58:V58" si="21">K94</f>
        <v>3.8866290254959798E-3</v>
      </c>
      <c r="Q58" s="411">
        <f t="shared" si="21"/>
        <v>3.7588165378950001E-3</v>
      </c>
      <c r="R58" s="411">
        <f t="shared" si="21"/>
        <v>3.7120145963703902E-3</v>
      </c>
      <c r="S58" s="411">
        <f t="shared" si="21"/>
        <v>3.6778268332576199E-3</v>
      </c>
      <c r="T58" s="411">
        <f t="shared" si="21"/>
        <v>3.6974381581058599E-3</v>
      </c>
      <c r="U58" s="411">
        <f t="shared" si="21"/>
        <v>3.6093538751523499E-3</v>
      </c>
      <c r="V58" s="411">
        <f t="shared" si="21"/>
        <v>3.5814392246552701E-3</v>
      </c>
      <c r="W58" s="411">
        <f t="shared" si="20"/>
        <v>1.08170958843635E-2</v>
      </c>
      <c r="X58" s="411">
        <f t="shared" si="20"/>
        <v>4.7302937580724902E-3</v>
      </c>
      <c r="Y58" s="411">
        <f t="shared" si="20"/>
        <v>5.2833859209120702E-8</v>
      </c>
      <c r="Z58" s="411">
        <f t="shared" si="20"/>
        <v>6.5503474337704001E-12</v>
      </c>
      <c r="AA58" s="411">
        <f t="shared" si="20"/>
        <v>5.2140128525597899E-11</v>
      </c>
      <c r="AB58" s="411">
        <f t="shared" si="20"/>
        <v>2.8363959055159002E-6</v>
      </c>
      <c r="AD58" t="s">
        <v>1555</v>
      </c>
      <c r="AE58" s="404">
        <f t="shared" ref="AE58:AK58" si="22">P56</f>
        <v>3.4389163918367008E-2</v>
      </c>
      <c r="AF58" s="404">
        <f t="shared" si="22"/>
        <v>2.9714230463765992E-2</v>
      </c>
      <c r="AG58" s="404">
        <f t="shared" si="22"/>
        <v>2.7880965905215008E-2</v>
      </c>
      <c r="AH58" s="404">
        <f t="shared" si="22"/>
        <v>2.6460497486195986E-2</v>
      </c>
      <c r="AI58" s="404">
        <f t="shared" si="22"/>
        <v>2.6917965522209E-2</v>
      </c>
      <c r="AJ58" s="404">
        <f t="shared" si="22"/>
        <v>2.4490599379457009E-2</v>
      </c>
      <c r="AK58" s="404">
        <f t="shared" si="22"/>
        <v>2.3718343536768702E-2</v>
      </c>
    </row>
    <row r="59" spans="1:38" s="9" customFormat="1" x14ac:dyDescent="0.25">
      <c r="B59" s="301"/>
      <c r="C59" s="301"/>
      <c r="D59" s="408" t="s">
        <v>1159</v>
      </c>
      <c r="E59" s="408"/>
      <c r="F59" s="408"/>
      <c r="G59" s="408"/>
      <c r="H59" s="408"/>
      <c r="I59" s="408"/>
      <c r="J59" s="408">
        <v>1</v>
      </c>
      <c r="K59" s="408" t="s">
        <v>417</v>
      </c>
      <c r="L59" s="408" t="s">
        <v>997</v>
      </c>
      <c r="M59" s="408" t="s">
        <v>996</v>
      </c>
      <c r="N59" s="408" t="s">
        <v>432</v>
      </c>
      <c r="O59" s="408" t="s">
        <v>911</v>
      </c>
      <c r="P59" s="411">
        <f t="shared" ref="P59:V59" si="23">P57+P60</f>
        <v>4.6141279790324022E-2</v>
      </c>
      <c r="Q59" s="411">
        <f t="shared" si="23"/>
        <v>4.3244401626175717E-2</v>
      </c>
      <c r="R59" s="411">
        <f t="shared" si="23"/>
        <v>4.4336519769827616E-2</v>
      </c>
      <c r="S59" s="411">
        <f t="shared" si="23"/>
        <v>4.5217937016354064E-2</v>
      </c>
      <c r="T59" s="411">
        <f t="shared" si="23"/>
        <v>3.7631905252719394E-2</v>
      </c>
      <c r="U59" s="411">
        <f t="shared" si="23"/>
        <v>3.4779937083391617E-2</v>
      </c>
      <c r="V59" s="411">
        <f t="shared" si="23"/>
        <v>3.3966684041252755E-2</v>
      </c>
      <c r="W59" s="411">
        <f t="shared" si="20"/>
        <v>0.87485689867614203</v>
      </c>
      <c r="X59" s="411">
        <f t="shared" si="20"/>
        <v>0.25196186513185298</v>
      </c>
      <c r="Y59" s="411">
        <f t="shared" si="20"/>
        <v>1.05186220563448E-6</v>
      </c>
      <c r="Z59" s="411">
        <f t="shared" si="20"/>
        <v>1.50796870261081E-9</v>
      </c>
      <c r="AA59" s="411">
        <f t="shared" si="20"/>
        <v>2.25048766770647E-9</v>
      </c>
      <c r="AB59" s="411">
        <f t="shared" si="20"/>
        <v>2.13411228646555E-4</v>
      </c>
      <c r="AD59" t="s">
        <v>820</v>
      </c>
      <c r="AE59" s="404">
        <f t="shared" ref="AE59:AK59" si="24">P57-P56</f>
        <v>5.4646023890891418E-3</v>
      </c>
      <c r="AF59" s="404">
        <f t="shared" si="24"/>
        <v>8.3650394231831529E-3</v>
      </c>
      <c r="AG59" s="404">
        <f t="shared" si="24"/>
        <v>1.1751101219046559E-2</v>
      </c>
      <c r="AH59" s="404">
        <f t="shared" si="24"/>
        <v>1.4418262684017538E-2</v>
      </c>
      <c r="AI59" s="404">
        <f t="shared" si="24"/>
        <v>6.186661360758211E-3</v>
      </c>
      <c r="AJ59" s="404">
        <f t="shared" si="24"/>
        <v>6.5243711223587977E-3</v>
      </c>
      <c r="AK59" s="404">
        <f t="shared" si="24"/>
        <v>6.6971621446036723E-3</v>
      </c>
    </row>
    <row r="60" spans="1:38" x14ac:dyDescent="0.25">
      <c r="B60" s="55"/>
      <c r="C60" s="399">
        <f>1-P60/P59</f>
        <v>0.86373343974333405</v>
      </c>
      <c r="D60" s="408" t="s">
        <v>1163</v>
      </c>
      <c r="E60" s="408"/>
      <c r="F60" s="408"/>
      <c r="G60" s="408"/>
      <c r="H60" s="408"/>
      <c r="I60" s="408"/>
      <c r="J60" s="408">
        <v>1</v>
      </c>
      <c r="K60" s="408" t="s">
        <v>417</v>
      </c>
      <c r="L60" s="408" t="s">
        <v>1142</v>
      </c>
      <c r="M60" s="408" t="s">
        <v>1141</v>
      </c>
      <c r="N60" s="408" t="s">
        <v>432</v>
      </c>
      <c r="O60" s="408" t="s">
        <v>911</v>
      </c>
      <c r="P60" s="411">
        <f t="shared" ref="P60:V60" si="25">K96</f>
        <v>6.2875134828678696E-3</v>
      </c>
      <c r="Q60" s="411">
        <f t="shared" si="25"/>
        <v>5.1651317392265696E-3</v>
      </c>
      <c r="R60" s="411">
        <f t="shared" si="25"/>
        <v>4.7044526455660499E-3</v>
      </c>
      <c r="S60" s="411">
        <f t="shared" si="25"/>
        <v>4.3391768461405397E-3</v>
      </c>
      <c r="T60" s="411">
        <f t="shared" si="25"/>
        <v>4.5272783697521803E-3</v>
      </c>
      <c r="U60" s="411">
        <f t="shared" si="25"/>
        <v>3.7649665815758099E-3</v>
      </c>
      <c r="V60" s="411">
        <f t="shared" si="25"/>
        <v>3.551178359880378E-3</v>
      </c>
      <c r="W60" s="411">
        <f t="shared" si="20"/>
        <v>6.0036494018152801E-2</v>
      </c>
      <c r="X60" s="411">
        <f t="shared" si="20"/>
        <v>3.5458226485804101E-2</v>
      </c>
      <c r="Y60" s="411">
        <f t="shared" si="20"/>
        <v>1.4441760907109701E-7</v>
      </c>
      <c r="Z60" s="411">
        <f t="shared" si="20"/>
        <v>5.95226869789071E-11</v>
      </c>
      <c r="AA60" s="411">
        <f t="shared" si="20"/>
        <v>4.62496986785058E-10</v>
      </c>
      <c r="AB60" s="411">
        <f t="shared" si="20"/>
        <v>2.00835075873479E-5</v>
      </c>
      <c r="AD60" t="s">
        <v>819</v>
      </c>
      <c r="AE60" s="404">
        <f t="shared" ref="AE60:AK60" si="26">P59-P57</f>
        <v>6.2875134828678722E-3</v>
      </c>
      <c r="AF60" s="404">
        <f t="shared" si="26"/>
        <v>5.1651317392265722E-3</v>
      </c>
      <c r="AG60" s="404">
        <f t="shared" si="26"/>
        <v>4.7044526455660499E-3</v>
      </c>
      <c r="AH60" s="404">
        <f t="shared" si="26"/>
        <v>4.3391768461405397E-3</v>
      </c>
      <c r="AI60" s="404">
        <f t="shared" si="26"/>
        <v>4.5272783697521829E-3</v>
      </c>
      <c r="AJ60" s="404">
        <f t="shared" si="26"/>
        <v>3.7649665815758099E-3</v>
      </c>
      <c r="AK60" s="404">
        <f t="shared" si="26"/>
        <v>3.551178359880381E-3</v>
      </c>
    </row>
    <row r="61" spans="1:38" s="9" customFormat="1" x14ac:dyDescent="0.25">
      <c r="B61" s="301"/>
      <c r="C61" s="301"/>
      <c r="D61" s="408" t="s">
        <v>1156</v>
      </c>
      <c r="E61" s="408"/>
      <c r="F61" s="408"/>
      <c r="G61" s="408"/>
      <c r="H61" s="408"/>
      <c r="I61" s="408"/>
      <c r="J61" s="408">
        <v>1</v>
      </c>
      <c r="K61" s="408" t="s">
        <v>417</v>
      </c>
      <c r="L61" s="408" t="s">
        <v>999</v>
      </c>
      <c r="M61" s="408" t="s">
        <v>998</v>
      </c>
      <c r="N61" s="408" t="s">
        <v>432</v>
      </c>
      <c r="O61" s="408" t="s">
        <v>911</v>
      </c>
      <c r="P61" s="411">
        <f t="shared" ref="P61:V61" si="27">P59+P62</f>
        <v>6.9997161234193819E-2</v>
      </c>
      <c r="Q61" s="411">
        <f t="shared" si="27"/>
        <v>6.4888196207947516E-2</v>
      </c>
      <c r="R61" s="411">
        <f t="shared" si="27"/>
        <v>6.2675568372194512E-2</v>
      </c>
      <c r="S61" s="411">
        <f t="shared" si="27"/>
        <v>6.1226587774441663E-2</v>
      </c>
      <c r="T61" s="411">
        <f t="shared" si="27"/>
        <v>5.6187178980360797E-2</v>
      </c>
      <c r="U61" s="411">
        <f t="shared" si="27"/>
        <v>4.7884779478721121E-2</v>
      </c>
      <c r="V61" s="411">
        <f t="shared" si="27"/>
        <v>4.379230291030798E-2</v>
      </c>
      <c r="W61" s="411">
        <f t="shared" ref="W61:AB62" si="28">R91</f>
        <v>1.0562193507056199</v>
      </c>
      <c r="X61" s="411">
        <f t="shared" si="28"/>
        <v>0.51434217287179396</v>
      </c>
      <c r="Y61" s="411">
        <f t="shared" si="28"/>
        <v>1.35575520995532E-6</v>
      </c>
      <c r="Z61" s="411">
        <f t="shared" si="28"/>
        <v>1.9279771362772599E-9</v>
      </c>
      <c r="AA61" s="411">
        <f t="shared" si="28"/>
        <v>4.4428650988689303E-9</v>
      </c>
      <c r="AB61" s="411">
        <f t="shared" si="28"/>
        <v>3.10543883183941E-4</v>
      </c>
      <c r="AD61" t="s">
        <v>754</v>
      </c>
      <c r="AE61" s="404">
        <f t="shared" ref="AE61:AK61" si="29">P61-P59</f>
        <v>2.3855881443869797E-2</v>
      </c>
      <c r="AF61" s="404">
        <f t="shared" si="29"/>
        <v>2.1643794581771798E-2</v>
      </c>
      <c r="AG61" s="404">
        <f t="shared" si="29"/>
        <v>1.8339048602366896E-2</v>
      </c>
      <c r="AH61" s="404">
        <f t="shared" si="29"/>
        <v>1.6008650758087599E-2</v>
      </c>
      <c r="AI61" s="404">
        <f t="shared" si="29"/>
        <v>1.8555273727641403E-2</v>
      </c>
      <c r="AJ61" s="404">
        <f t="shared" si="29"/>
        <v>1.3104842395329504E-2</v>
      </c>
      <c r="AK61" s="404">
        <f t="shared" si="29"/>
        <v>9.8256188690552249E-3</v>
      </c>
    </row>
    <row r="62" spans="1:38" x14ac:dyDescent="0.25">
      <c r="B62" s="55"/>
      <c r="C62" s="399">
        <f>1-P62/P61</f>
        <v>0.65918787243308752</v>
      </c>
      <c r="D62" s="408" t="s">
        <v>1160</v>
      </c>
      <c r="E62" s="408"/>
      <c r="F62" s="408"/>
      <c r="G62" s="408"/>
      <c r="H62" s="408"/>
      <c r="I62" s="408"/>
      <c r="J62" s="408">
        <v>1</v>
      </c>
      <c r="K62" s="408" t="s">
        <v>417</v>
      </c>
      <c r="L62" s="408" t="s">
        <v>1129</v>
      </c>
      <c r="M62" s="408" t="s">
        <v>1127</v>
      </c>
      <c r="N62" s="408" t="s">
        <v>432</v>
      </c>
      <c r="O62" s="408" t="s">
        <v>911</v>
      </c>
      <c r="P62" s="411">
        <f t="shared" ref="P62:V62" si="30">K92</f>
        <v>2.3855881443869801E-2</v>
      </c>
      <c r="Q62" s="411">
        <f t="shared" si="30"/>
        <v>2.1643794581771798E-2</v>
      </c>
      <c r="R62" s="411">
        <f t="shared" si="30"/>
        <v>1.83390486023669E-2</v>
      </c>
      <c r="S62" s="411">
        <f t="shared" si="30"/>
        <v>1.6008650758087599E-2</v>
      </c>
      <c r="T62" s="411">
        <f t="shared" si="30"/>
        <v>1.8555273727641399E-2</v>
      </c>
      <c r="U62" s="411">
        <f t="shared" si="30"/>
        <v>1.31048423953295E-2</v>
      </c>
      <c r="V62" s="411">
        <f t="shared" si="30"/>
        <v>9.8256188690552249E-3</v>
      </c>
      <c r="W62" s="411">
        <f t="shared" si="28"/>
        <v>0.14491011601498899</v>
      </c>
      <c r="X62" s="411">
        <f t="shared" si="28"/>
        <v>0.25188190670472899</v>
      </c>
      <c r="Y62" s="411">
        <f t="shared" si="28"/>
        <v>2.6006545421665499E-7</v>
      </c>
      <c r="Z62" s="411">
        <f t="shared" si="28"/>
        <v>3.5717646431228201E-10</v>
      </c>
      <c r="AA62" s="411">
        <f t="shared" si="28"/>
        <v>2.0986072011009501E-9</v>
      </c>
      <c r="AB62" s="411">
        <f t="shared" si="28"/>
        <v>8.8240528490641598E-5</v>
      </c>
      <c r="AD62" t="s">
        <v>1553</v>
      </c>
      <c r="AE62" s="404">
        <f t="shared" ref="AE62:AK62" si="31">P63-P61</f>
        <v>1.6584060573758969E-3</v>
      </c>
      <c r="AF62" s="404">
        <f t="shared" si="31"/>
        <v>4.8410119656207562E-3</v>
      </c>
      <c r="AG62" s="404">
        <f t="shared" si="31"/>
        <v>8.4488561457447958E-3</v>
      </c>
      <c r="AH62" s="404">
        <f t="shared" si="31"/>
        <v>1.12878989498265E-2</v>
      </c>
      <c r="AI62" s="404">
        <f t="shared" si="31"/>
        <v>2.6161042592247469E-3</v>
      </c>
      <c r="AJ62" s="404">
        <f t="shared" si="31"/>
        <v>3.0636019413625287E-3</v>
      </c>
      <c r="AK62" s="404">
        <f t="shared" si="31"/>
        <v>3.2745380136084065E-3</v>
      </c>
    </row>
    <row r="63" spans="1:38" x14ac:dyDescent="0.25">
      <c r="B63" s="55"/>
      <c r="C63" s="55"/>
      <c r="D63" s="408" t="s">
        <v>1167</v>
      </c>
      <c r="E63" s="408"/>
      <c r="F63" s="408"/>
      <c r="G63" s="408"/>
      <c r="H63" s="408"/>
      <c r="I63" s="408"/>
      <c r="J63" s="408">
        <v>1</v>
      </c>
      <c r="K63" s="408" t="s">
        <v>417</v>
      </c>
      <c r="L63" s="408" t="s">
        <v>1001</v>
      </c>
      <c r="M63" s="408" t="s">
        <v>1000</v>
      </c>
      <c r="N63" s="408" t="s">
        <v>432</v>
      </c>
      <c r="O63" s="408" t="s">
        <v>911</v>
      </c>
      <c r="P63" s="411">
        <f>P61+LCIA_CC_ch_el_BAU_2019*LCI_CO2!$C$189</f>
        <v>7.1655567291569716E-2</v>
      </c>
      <c r="Q63" s="411">
        <f>Q61+LCIA_CC_ch_el_BAU_2030*LCI_CO2!$C$189</f>
        <v>6.9729208173568272E-2</v>
      </c>
      <c r="R63" s="411">
        <f>R61+LCIA_CC_ch_el_BAU_2040*LCI_CO2!$C$189</f>
        <v>7.1124424517939308E-2</v>
      </c>
      <c r="S63" s="411">
        <f>S61+LCIA_CC_ch_el_BAU_2050*LCI_CO2!$C$189</f>
        <v>7.2514486724268162E-2</v>
      </c>
      <c r="T63" s="411">
        <f>T61+LCIA_CC_ch_el_LOW_2030*LCI_CO2!$C$189</f>
        <v>5.8803283239585544E-2</v>
      </c>
      <c r="U63" s="411">
        <f>U61+LCIA_CC_ch_el_LOW_2040*LCI_CO2!$C$189</f>
        <v>5.0948381420083649E-2</v>
      </c>
      <c r="V63" s="411">
        <f>V61+LCIA_CC_ch_el_LOW_2050*LCI_CO2!$C$189</f>
        <v>4.7066840923916387E-2</v>
      </c>
      <c r="W63" s="411">
        <f t="shared" ref="W63:AB68" si="32">R97</f>
        <v>1.1212901191678499</v>
      </c>
      <c r="X63" s="411">
        <f t="shared" si="32"/>
        <v>0.63090368549267595</v>
      </c>
      <c r="Y63" s="411">
        <f t="shared" si="32"/>
        <v>1.7744632346075301E-6</v>
      </c>
      <c r="Z63" s="411">
        <f t="shared" si="32"/>
        <v>2.0567383862758701E-9</v>
      </c>
      <c r="AA63" s="411">
        <f t="shared" si="32"/>
        <v>4.72477145634038E-9</v>
      </c>
      <c r="AB63" s="411">
        <f t="shared" si="32"/>
        <v>3.2682190190392902E-4</v>
      </c>
      <c r="AD63" t="s">
        <v>1554</v>
      </c>
      <c r="AE63" s="404">
        <f t="shared" ref="AE63:AK63" si="33">P65-P63</f>
        <v>1.658406057375883E-3</v>
      </c>
      <c r="AF63" s="404">
        <f t="shared" si="33"/>
        <v>4.8410119656207562E-3</v>
      </c>
      <c r="AG63" s="404">
        <f t="shared" si="33"/>
        <v>8.4488561457447958E-3</v>
      </c>
      <c r="AH63" s="404">
        <f t="shared" si="33"/>
        <v>1.12878989498265E-2</v>
      </c>
      <c r="AI63" s="404">
        <f t="shared" si="33"/>
        <v>2.6161042592247469E-3</v>
      </c>
      <c r="AJ63" s="404">
        <f t="shared" si="33"/>
        <v>3.0636019413625287E-3</v>
      </c>
      <c r="AK63" s="404">
        <f t="shared" si="33"/>
        <v>3.2745380136084135E-3</v>
      </c>
    </row>
    <row r="64" spans="1:38" x14ac:dyDescent="0.25">
      <c r="B64" s="55"/>
      <c r="C64" s="399">
        <f>1-P64/P63</f>
        <v>1</v>
      </c>
      <c r="D64" s="408" t="s">
        <v>1157</v>
      </c>
      <c r="E64" s="408"/>
      <c r="F64" s="408"/>
      <c r="G64" s="408"/>
      <c r="H64" s="408"/>
      <c r="I64" s="408"/>
      <c r="J64" s="408">
        <v>1</v>
      </c>
      <c r="K64" s="408" t="s">
        <v>417</v>
      </c>
      <c r="L64" s="408" t="s">
        <v>1128</v>
      </c>
      <c r="M64" s="408" t="s">
        <v>1143</v>
      </c>
      <c r="N64" s="408" t="s">
        <v>432</v>
      </c>
      <c r="O64" s="408" t="s">
        <v>911</v>
      </c>
      <c r="P64" s="411">
        <f t="shared" ref="P64:V64" si="34">K98</f>
        <v>0</v>
      </c>
      <c r="Q64" s="411">
        <f t="shared" si="34"/>
        <v>0</v>
      </c>
      <c r="R64" s="411">
        <f t="shared" si="34"/>
        <v>0</v>
      </c>
      <c r="S64" s="411">
        <f t="shared" si="34"/>
        <v>0</v>
      </c>
      <c r="T64" s="411">
        <f t="shared" si="34"/>
        <v>0</v>
      </c>
      <c r="U64" s="411">
        <f t="shared" si="34"/>
        <v>0</v>
      </c>
      <c r="V64" s="411">
        <f t="shared" si="34"/>
        <v>0</v>
      </c>
      <c r="W64" s="411">
        <f t="shared" si="32"/>
        <v>0</v>
      </c>
      <c r="X64" s="411">
        <f t="shared" si="32"/>
        <v>0</v>
      </c>
      <c r="Y64" s="411">
        <f t="shared" si="32"/>
        <v>0</v>
      </c>
      <c r="Z64" s="411">
        <f t="shared" si="32"/>
        <v>0</v>
      </c>
      <c r="AA64" s="411">
        <f t="shared" si="32"/>
        <v>0</v>
      </c>
      <c r="AB64" s="411">
        <f t="shared" si="32"/>
        <v>0</v>
      </c>
      <c r="AD64" t="s">
        <v>1205</v>
      </c>
      <c r="AE64" s="404">
        <f t="shared" ref="AE64:AK64" si="35">SUM(AE58:AE63)</f>
        <v>7.3313973348945599E-2</v>
      </c>
      <c r="AF64" s="404">
        <f t="shared" si="35"/>
        <v>7.4570220139189028E-2</v>
      </c>
      <c r="AG64" s="404">
        <f t="shared" si="35"/>
        <v>7.9573280663684104E-2</v>
      </c>
      <c r="AH64" s="404">
        <f t="shared" si="35"/>
        <v>8.3802385674094662E-2</v>
      </c>
      <c r="AI64" s="404">
        <f t="shared" si="35"/>
        <v>6.1419387498810291E-2</v>
      </c>
      <c r="AJ64" s="404">
        <f t="shared" si="35"/>
        <v>5.4011983361446178E-2</v>
      </c>
      <c r="AK64" s="404">
        <f t="shared" si="35"/>
        <v>5.03413789375248E-2</v>
      </c>
    </row>
    <row r="65" spans="2:39" s="9" customFormat="1" x14ac:dyDescent="0.25">
      <c r="B65" s="301"/>
      <c r="C65" s="301"/>
      <c r="D65" s="408" t="s">
        <v>1162</v>
      </c>
      <c r="E65" s="408"/>
      <c r="F65" s="408"/>
      <c r="G65" s="408"/>
      <c r="H65" s="408"/>
      <c r="I65" s="408"/>
      <c r="J65" s="408">
        <v>1</v>
      </c>
      <c r="K65" s="408" t="s">
        <v>417</v>
      </c>
      <c r="L65" s="408" t="s">
        <v>1004</v>
      </c>
      <c r="M65" s="408" t="s">
        <v>1003</v>
      </c>
      <c r="N65" s="408" t="s">
        <v>432</v>
      </c>
      <c r="O65" s="408" t="s">
        <v>911</v>
      </c>
      <c r="P65" s="411">
        <f>P63+LCIA_CC_ch_el_BAU_2019*LCI_CO2!$C$203</f>
        <v>7.3313973348945599E-2</v>
      </c>
      <c r="Q65" s="411">
        <f>Q63+LCIA_CC_ch_el_BAU_2030*LCI_CO2!$C$203</f>
        <v>7.4570220139189028E-2</v>
      </c>
      <c r="R65" s="411">
        <f>R63+LCIA_CC_ch_el_BAU_2040*LCI_CO2!$C$203</f>
        <v>7.9573280663684104E-2</v>
      </c>
      <c r="S65" s="411">
        <f>S63+LCIA_CC_ch_el_BAU_2050*LCI_CO2!$C$203</f>
        <v>8.3802385674094662E-2</v>
      </c>
      <c r="T65" s="411">
        <f>T63+LCIA_CC_ch_el_LOW_2030*LCI_CO2!$C$203</f>
        <v>6.1419387498810291E-2</v>
      </c>
      <c r="U65" s="411">
        <f>U63+LCIA_CC_ch_el_LOW_2040*LCI_CO2!$C$203</f>
        <v>5.4011983361446178E-2</v>
      </c>
      <c r="V65" s="411">
        <f>V63+LCIA_CC_ch_el_LOW_2050*LCI_CO2!$C$203</f>
        <v>5.03413789375248E-2</v>
      </c>
      <c r="W65" s="411">
        <f t="shared" si="32"/>
        <v>1.18636088763008</v>
      </c>
      <c r="X65" s="411">
        <f t="shared" si="32"/>
        <v>0.74746519811353695</v>
      </c>
      <c r="Y65" s="411">
        <f t="shared" si="32"/>
        <v>2.19317125925973E-6</v>
      </c>
      <c r="Z65" s="411">
        <f t="shared" si="32"/>
        <v>2.1854996362744799E-9</v>
      </c>
      <c r="AA65" s="411">
        <f t="shared" si="32"/>
        <v>5.0066778138118099E-9</v>
      </c>
      <c r="AB65" s="411">
        <f t="shared" si="32"/>
        <v>3.43099920623916E-4</v>
      </c>
    </row>
    <row r="66" spans="2:39" x14ac:dyDescent="0.25">
      <c r="B66" s="55"/>
      <c r="C66" s="399">
        <f>1-P66/P65</f>
        <v>1</v>
      </c>
      <c r="D66" s="408" t="s">
        <v>1161</v>
      </c>
      <c r="E66" s="408"/>
      <c r="F66" s="408"/>
      <c r="G66" s="408"/>
      <c r="H66" s="408"/>
      <c r="I66" s="408"/>
      <c r="J66" s="408">
        <v>1</v>
      </c>
      <c r="K66" s="408" t="s">
        <v>417</v>
      </c>
      <c r="L66" s="408" t="s">
        <v>1145</v>
      </c>
      <c r="M66" s="408" t="s">
        <v>1144</v>
      </c>
      <c r="N66" s="408" t="s">
        <v>432</v>
      </c>
      <c r="O66" s="408" t="s">
        <v>911</v>
      </c>
      <c r="P66" s="411">
        <f t="shared" ref="P66:V68" si="36">K100</f>
        <v>0</v>
      </c>
      <c r="Q66" s="411">
        <f t="shared" si="36"/>
        <v>0</v>
      </c>
      <c r="R66" s="411">
        <f t="shared" si="36"/>
        <v>0</v>
      </c>
      <c r="S66" s="411">
        <f t="shared" si="36"/>
        <v>0</v>
      </c>
      <c r="T66" s="411">
        <f t="shared" si="36"/>
        <v>0</v>
      </c>
      <c r="U66" s="411">
        <f t="shared" si="36"/>
        <v>0</v>
      </c>
      <c r="V66" s="411">
        <f t="shared" si="36"/>
        <v>0</v>
      </c>
      <c r="W66" s="411">
        <f t="shared" si="32"/>
        <v>0</v>
      </c>
      <c r="X66" s="411">
        <f t="shared" si="32"/>
        <v>0</v>
      </c>
      <c r="Y66" s="411">
        <f t="shared" si="32"/>
        <v>0</v>
      </c>
      <c r="Z66" s="411">
        <f t="shared" si="32"/>
        <v>0</v>
      </c>
      <c r="AA66" s="411">
        <f t="shared" si="32"/>
        <v>0</v>
      </c>
      <c r="AB66" s="411">
        <f t="shared" si="32"/>
        <v>0</v>
      </c>
    </row>
    <row r="67" spans="2:39" s="9" customFormat="1" x14ac:dyDescent="0.25">
      <c r="B67" s="301"/>
      <c r="C67" s="301"/>
      <c r="D67" s="408" t="s">
        <v>1164</v>
      </c>
      <c r="E67" s="408"/>
      <c r="F67" s="408"/>
      <c r="G67" s="408"/>
      <c r="H67" s="408"/>
      <c r="I67" s="408"/>
      <c r="J67" s="408">
        <v>1</v>
      </c>
      <c r="K67" s="408" t="s">
        <v>434</v>
      </c>
      <c r="L67" s="408" t="s">
        <v>1130</v>
      </c>
      <c r="M67" s="408" t="s">
        <v>1130</v>
      </c>
      <c r="N67" s="408" t="s">
        <v>432</v>
      </c>
      <c r="O67" s="408" t="s">
        <v>911</v>
      </c>
      <c r="P67" s="411">
        <f t="shared" si="36"/>
        <v>1.3762094618009899E-2</v>
      </c>
      <c r="Q67" s="411">
        <f t="shared" si="36"/>
        <v>1.1526253570404699E-2</v>
      </c>
      <c r="R67" s="411">
        <f t="shared" si="36"/>
        <v>1.06562828484312E-2</v>
      </c>
      <c r="S67" s="411">
        <f t="shared" si="36"/>
        <v>1.00282548990203E-2</v>
      </c>
      <c r="T67" s="411">
        <f t="shared" si="36"/>
        <v>1.0442853936179599E-2</v>
      </c>
      <c r="U67" s="411">
        <f t="shared" si="36"/>
        <v>8.6835764752586798E-3</v>
      </c>
      <c r="V67" s="411">
        <f t="shared" si="36"/>
        <v>7.9804934233108551E-3</v>
      </c>
      <c r="W67" s="411">
        <f t="shared" si="32"/>
        <v>0.30141810957026699</v>
      </c>
      <c r="X67" s="411">
        <f t="shared" si="32"/>
        <v>8.3889602807262695E-2</v>
      </c>
      <c r="Y67" s="411">
        <f t="shared" si="32"/>
        <v>1.87736106815614E-6</v>
      </c>
      <c r="Z67" s="411">
        <f t="shared" si="32"/>
        <v>1.6604201025267399E-10</v>
      </c>
      <c r="AA67" s="411">
        <f t="shared" si="32"/>
        <v>1.1379490257317801E-9</v>
      </c>
      <c r="AB67" s="411">
        <f t="shared" si="32"/>
        <v>8.28493728891333E-5</v>
      </c>
    </row>
    <row r="68" spans="2:39" s="9" customFormat="1" x14ac:dyDescent="0.25">
      <c r="B68" s="301"/>
      <c r="C68" s="301"/>
      <c r="D68" s="408" t="s">
        <v>1155</v>
      </c>
      <c r="E68" s="408"/>
      <c r="F68" s="408"/>
      <c r="G68" s="408"/>
      <c r="H68" s="408"/>
      <c r="I68" s="408"/>
      <c r="J68" s="408">
        <v>1</v>
      </c>
      <c r="K68" s="408" t="s">
        <v>434</v>
      </c>
      <c r="L68" s="408" t="s">
        <v>912</v>
      </c>
      <c r="M68" s="408" t="s">
        <v>547</v>
      </c>
      <c r="N68" s="408" t="s">
        <v>432</v>
      </c>
      <c r="O68" s="408" t="s">
        <v>911</v>
      </c>
      <c r="P68" s="411">
        <f t="shared" si="36"/>
        <v>3.6461357333668999E-4</v>
      </c>
      <c r="Q68" s="411">
        <f t="shared" si="36"/>
        <v>3.0116246277098402E-4</v>
      </c>
      <c r="R68" s="411">
        <f t="shared" si="36"/>
        <v>2.7423564164312498E-4</v>
      </c>
      <c r="S68" s="411">
        <f t="shared" si="36"/>
        <v>2.5390736416562202E-4</v>
      </c>
      <c r="T68" s="411">
        <f t="shared" si="36"/>
        <v>2.64808512259899E-4</v>
      </c>
      <c r="U68" s="411">
        <f t="shared" si="36"/>
        <v>2.1663576877903399E-4</v>
      </c>
      <c r="V68" s="411">
        <f t="shared" si="36"/>
        <v>1.9812323024647201E-4</v>
      </c>
      <c r="W68" s="411">
        <f t="shared" si="32"/>
        <v>7.5708848418090599E-3</v>
      </c>
      <c r="X68" s="411">
        <f t="shared" si="32"/>
        <v>2.1315706331437299E-3</v>
      </c>
      <c r="Y68" s="411">
        <f t="shared" si="32"/>
        <v>4.34783153026382E-8</v>
      </c>
      <c r="Z68" s="411">
        <f t="shared" si="32"/>
        <v>4.5032417264999397E-12</v>
      </c>
      <c r="AA68" s="411">
        <f t="shared" si="32"/>
        <v>2.9087770277979701E-11</v>
      </c>
      <c r="AB68" s="411">
        <f t="shared" si="32"/>
        <v>2.0625463107732702E-6</v>
      </c>
      <c r="AD68"/>
      <c r="AE68"/>
      <c r="AF68"/>
      <c r="AG68"/>
      <c r="AH68"/>
      <c r="AI68"/>
      <c r="AJ68"/>
      <c r="AK68"/>
      <c r="AL68"/>
      <c r="AM68"/>
    </row>
    <row r="71" spans="2:39" x14ac:dyDescent="0.25">
      <c r="B71" s="400" t="s">
        <v>1291</v>
      </c>
      <c r="C71" s="401"/>
      <c r="D71" s="401" t="s">
        <v>1185</v>
      </c>
      <c r="E71" s="401"/>
      <c r="F71" s="401"/>
      <c r="G71" s="401"/>
      <c r="H71" s="401"/>
      <c r="I71" s="401"/>
      <c r="J71" s="401">
        <v>1</v>
      </c>
      <c r="K71" s="401" t="s">
        <v>416</v>
      </c>
      <c r="L71" s="401" t="s">
        <v>440</v>
      </c>
      <c r="M71" s="401" t="s">
        <v>1038</v>
      </c>
      <c r="N71" s="401" t="s">
        <v>432</v>
      </c>
      <c r="O71" s="401" t="s">
        <v>438</v>
      </c>
      <c r="P71" s="466">
        <f t="shared" ref="P71:U71" si="37">AC121</f>
        <v>1794039.9715909101</v>
      </c>
      <c r="Q71" s="466">
        <f t="shared" si="37"/>
        <v>1659994.0797162501</v>
      </c>
      <c r="R71" s="466">
        <f t="shared" si="37"/>
        <v>1558780.85591546</v>
      </c>
      <c r="S71" s="466">
        <f t="shared" si="37"/>
        <v>1501880.7688502001</v>
      </c>
      <c r="T71" s="466">
        <f t="shared" si="37"/>
        <v>1501485.7975568201</v>
      </c>
      <c r="U71" s="466">
        <f t="shared" si="37"/>
        <v>1169593.9558528501</v>
      </c>
      <c r="V71" s="466">
        <f>AI123</f>
        <v>973872.61671132396</v>
      </c>
      <c r="W71" s="466">
        <f t="shared" ref="W71:AB71" si="38">AC116</f>
        <v>26249395.9802454</v>
      </c>
      <c r="X71" s="466">
        <f t="shared" si="38"/>
        <v>21168647.666423399</v>
      </c>
      <c r="Y71" s="466">
        <f t="shared" si="38"/>
        <v>39.152041226659897</v>
      </c>
      <c r="Z71" s="466">
        <f t="shared" si="38"/>
        <v>1.37702198132552E-2</v>
      </c>
      <c r="AA71" s="466">
        <f t="shared" si="38"/>
        <v>9.2438719896835594E-2</v>
      </c>
      <c r="AB71" s="466">
        <f t="shared" si="38"/>
        <v>5474.5638742057099</v>
      </c>
      <c r="AC71" s="401"/>
    </row>
    <row r="72" spans="2:39" x14ac:dyDescent="0.25">
      <c r="B72" s="401"/>
      <c r="C72" s="401"/>
      <c r="D72" s="401" t="s">
        <v>1186</v>
      </c>
      <c r="E72" s="401"/>
      <c r="F72" s="401"/>
      <c r="G72" s="401"/>
      <c r="H72" s="401"/>
      <c r="I72" s="401"/>
      <c r="J72" s="401">
        <v>1</v>
      </c>
      <c r="K72" s="401" t="s">
        <v>433</v>
      </c>
      <c r="L72" s="401" t="s">
        <v>431</v>
      </c>
      <c r="M72" s="401" t="s">
        <v>441</v>
      </c>
      <c r="N72" s="401" t="s">
        <v>432</v>
      </c>
      <c r="O72" s="401" t="s">
        <v>438</v>
      </c>
      <c r="P72" s="401">
        <f>J107</f>
        <v>14.788478553191601</v>
      </c>
      <c r="Q72" s="401"/>
      <c r="R72" s="401"/>
      <c r="S72" s="401"/>
      <c r="T72" s="401"/>
      <c r="U72" s="401"/>
      <c r="V72" s="401"/>
      <c r="W72" s="401">
        <f t="shared" ref="W72:AB73" si="39">K107</f>
        <v>937.811905559499</v>
      </c>
      <c r="X72" s="401">
        <f t="shared" si="39"/>
        <v>144.548857041166</v>
      </c>
      <c r="Y72" s="401">
        <f t="shared" si="39"/>
        <v>2.44089485689096E-4</v>
      </c>
      <c r="Z72" s="401">
        <f t="shared" si="39"/>
        <v>1.2545135623210301E-7</v>
      </c>
      <c r="AA72" s="401">
        <f t="shared" si="39"/>
        <v>9.6183941273939399E-7</v>
      </c>
      <c r="AB72" s="401">
        <f t="shared" si="39"/>
        <v>4.5675882299535099E-2</v>
      </c>
    </row>
    <row r="73" spans="2:39" x14ac:dyDescent="0.25">
      <c r="B73" s="401"/>
      <c r="C73" s="401"/>
      <c r="D73" s="401" t="s">
        <v>1182</v>
      </c>
      <c r="E73" s="401"/>
      <c r="F73" s="401"/>
      <c r="G73" s="401"/>
      <c r="H73" s="401"/>
      <c r="I73" s="401"/>
      <c r="J73" s="401">
        <v>1</v>
      </c>
      <c r="K73" s="401" t="s">
        <v>416</v>
      </c>
      <c r="L73" s="401" t="s">
        <v>1170</v>
      </c>
      <c r="M73" s="401" t="s">
        <v>1169</v>
      </c>
      <c r="N73" s="401" t="s">
        <v>432</v>
      </c>
      <c r="O73" s="401" t="s">
        <v>438</v>
      </c>
      <c r="P73" s="401">
        <v>199786.28138645101</v>
      </c>
      <c r="Q73" s="401">
        <v>141405.12001558</v>
      </c>
      <c r="R73" s="401">
        <v>128189.00321824101</v>
      </c>
      <c r="S73" s="401">
        <v>121611.71102168399</v>
      </c>
      <c r="T73" s="401">
        <v>126632.99720480001</v>
      </c>
      <c r="U73" s="401">
        <v>98730.199294238206</v>
      </c>
      <c r="V73" s="401">
        <v>84227.751465200301</v>
      </c>
      <c r="W73" s="401">
        <f t="shared" si="39"/>
        <v>4500827.1345848199</v>
      </c>
      <c r="X73" s="401">
        <f t="shared" si="39"/>
        <v>5157807.1848055003</v>
      </c>
      <c r="Y73" s="401">
        <f t="shared" si="39"/>
        <v>4.7904713136888999</v>
      </c>
      <c r="Z73" s="401">
        <f t="shared" si="39"/>
        <v>1.5057410958069801E-3</v>
      </c>
      <c r="AA73" s="401">
        <f t="shared" si="39"/>
        <v>2.1854770446818599E-2</v>
      </c>
      <c r="AB73" s="401">
        <f t="shared" si="39"/>
        <v>772.66185368711103</v>
      </c>
    </row>
    <row r="74" spans="2:39" x14ac:dyDescent="0.25">
      <c r="B74" s="401"/>
      <c r="C74" s="401"/>
      <c r="D74" s="401" t="s">
        <v>1183</v>
      </c>
      <c r="E74" s="401"/>
      <c r="F74" s="401"/>
      <c r="G74" s="401"/>
      <c r="H74" s="401"/>
      <c r="I74" s="401"/>
      <c r="J74" s="401">
        <v>1</v>
      </c>
      <c r="K74" s="401" t="s">
        <v>1047</v>
      </c>
      <c r="L74" s="401" t="s">
        <v>1040</v>
      </c>
      <c r="M74" s="401" t="s">
        <v>1039</v>
      </c>
      <c r="N74" s="401" t="s">
        <v>432</v>
      </c>
      <c r="O74" s="401" t="s">
        <v>438</v>
      </c>
      <c r="P74" s="401">
        <v>0</v>
      </c>
      <c r="Q74" s="401"/>
      <c r="R74" s="401"/>
      <c r="S74" s="401"/>
      <c r="T74" s="401"/>
      <c r="U74" s="401"/>
      <c r="V74" s="401"/>
      <c r="W74" s="401">
        <v>0</v>
      </c>
      <c r="X74" s="401">
        <v>0</v>
      </c>
      <c r="Y74" s="401">
        <v>0</v>
      </c>
      <c r="Z74" s="401">
        <v>0</v>
      </c>
      <c r="AA74" s="401">
        <v>0</v>
      </c>
      <c r="AB74" s="401">
        <v>0</v>
      </c>
    </row>
    <row r="75" spans="2:39" x14ac:dyDescent="0.25">
      <c r="B75" s="401"/>
      <c r="C75" s="401"/>
      <c r="D75" s="401" t="s">
        <v>1184</v>
      </c>
      <c r="E75" s="401"/>
      <c r="F75" s="401"/>
      <c r="G75" s="401"/>
      <c r="H75" s="401"/>
      <c r="I75" s="401"/>
      <c r="J75" s="401">
        <v>1</v>
      </c>
      <c r="K75" s="401" t="s">
        <v>1047</v>
      </c>
      <c r="L75" s="401" t="s">
        <v>1037</v>
      </c>
      <c r="M75" s="401" t="s">
        <v>995</v>
      </c>
      <c r="N75" s="401" t="s">
        <v>432</v>
      </c>
      <c r="O75" s="401" t="s">
        <v>438</v>
      </c>
      <c r="P75" s="401">
        <f>J109</f>
        <v>112.81816864922099</v>
      </c>
      <c r="Q75" s="401"/>
      <c r="R75" s="401"/>
      <c r="S75" s="401"/>
      <c r="T75" s="401"/>
      <c r="U75" s="401"/>
      <c r="V75" s="401"/>
      <c r="W75" s="401">
        <f t="shared" ref="W75:AB76" si="40">K109</f>
        <v>7628.6326020300703</v>
      </c>
      <c r="X75" s="401">
        <f t="shared" si="40"/>
        <v>1076.94197215244</v>
      </c>
      <c r="Y75" s="401">
        <f t="shared" si="40"/>
        <v>1.86438317179924E-3</v>
      </c>
      <c r="Z75" s="401">
        <f t="shared" si="40"/>
        <v>9.4551353574458395E-7</v>
      </c>
      <c r="AA75" s="401">
        <f t="shared" si="40"/>
        <v>7.3959543907519102E-6</v>
      </c>
      <c r="AB75" s="401">
        <f t="shared" si="40"/>
        <v>0.35310338375398598</v>
      </c>
    </row>
    <row r="76" spans="2:39" x14ac:dyDescent="0.25">
      <c r="B76" s="401"/>
      <c r="C76" s="401"/>
      <c r="D76" s="401" t="s">
        <v>1364</v>
      </c>
      <c r="E76" s="401"/>
      <c r="F76" s="401"/>
      <c r="G76" s="401"/>
      <c r="H76" s="401"/>
      <c r="I76" s="401"/>
      <c r="J76" s="401">
        <v>1</v>
      </c>
      <c r="K76" s="401" t="s">
        <v>1047</v>
      </c>
      <c r="L76" s="401" t="s">
        <v>1168</v>
      </c>
      <c r="M76" s="401" t="s">
        <v>1363</v>
      </c>
      <c r="N76" s="401" t="s">
        <v>432</v>
      </c>
      <c r="O76" s="401" t="s">
        <v>438</v>
      </c>
      <c r="P76" s="401">
        <f>J110</f>
        <v>2.210576796722</v>
      </c>
      <c r="Q76" s="401"/>
      <c r="R76" s="401"/>
      <c r="S76" s="401"/>
      <c r="T76" s="401"/>
      <c r="U76" s="401"/>
      <c r="V76" s="401"/>
      <c r="W76" s="401">
        <f t="shared" si="40"/>
        <v>6487.3128824713904</v>
      </c>
      <c r="X76" s="401">
        <f t="shared" si="40"/>
        <v>52.709349898794201</v>
      </c>
      <c r="Y76" s="401">
        <f t="shared" si="40"/>
        <v>4.9542977426930701E-6</v>
      </c>
      <c r="Z76" s="401">
        <f t="shared" si="40"/>
        <v>4.38911901720913E-8</v>
      </c>
      <c r="AA76" s="401">
        <f t="shared" si="40"/>
        <v>1.5193207613453199E-7</v>
      </c>
      <c r="AB76" s="401">
        <f t="shared" si="40"/>
        <v>1.397664562985E-2</v>
      </c>
    </row>
    <row r="77" spans="2:39" x14ac:dyDescent="0.25">
      <c r="B77" s="401"/>
      <c r="C77" s="401"/>
      <c r="D77" s="401" t="s">
        <v>1339</v>
      </c>
      <c r="E77" s="401"/>
      <c r="F77" s="401"/>
      <c r="G77" s="401"/>
      <c r="H77" s="401"/>
      <c r="I77" s="401"/>
      <c r="J77" s="401"/>
      <c r="K77" s="401"/>
      <c r="L77" s="401"/>
      <c r="M77" s="401"/>
      <c r="N77" s="401"/>
      <c r="O77" s="401"/>
      <c r="P77" s="401">
        <v>0</v>
      </c>
      <c r="Q77" s="401"/>
      <c r="R77" s="401"/>
      <c r="S77" s="401"/>
      <c r="T77" s="401"/>
      <c r="U77" s="401"/>
      <c r="V77" s="401"/>
      <c r="W77" s="401"/>
      <c r="X77" s="401"/>
      <c r="Y77" s="401"/>
      <c r="Z77" s="402"/>
      <c r="AA77" s="402"/>
      <c r="AB77" s="401"/>
    </row>
    <row r="79" spans="2:39" x14ac:dyDescent="0.25">
      <c r="B79" s="407" t="s">
        <v>1310</v>
      </c>
      <c r="C79" s="308"/>
      <c r="D79" s="308" t="s">
        <v>448</v>
      </c>
      <c r="E79" s="308"/>
      <c r="F79" s="308"/>
      <c r="G79" s="308"/>
      <c r="H79" s="308"/>
      <c r="I79" s="308"/>
      <c r="J79" s="308"/>
      <c r="K79" s="308"/>
      <c r="L79" s="308"/>
      <c r="M79" s="308"/>
      <c r="N79" s="308"/>
      <c r="O79" s="308"/>
      <c r="P79" s="405">
        <f>K122</f>
        <v>5.1107008546201902</v>
      </c>
      <c r="Q79" s="405">
        <f>K123</f>
        <v>4.1157283081437201</v>
      </c>
      <c r="R79" s="405">
        <f>K124</f>
        <v>3.7365396427619002</v>
      </c>
      <c r="S79" s="405">
        <f>K125</f>
        <v>3.34030665552085</v>
      </c>
      <c r="T79" s="405">
        <f>K126</f>
        <v>3.9483963043530701</v>
      </c>
      <c r="U79" s="405">
        <f>K127</f>
        <v>3.0940422384194401</v>
      </c>
      <c r="V79" s="405">
        <f>K128</f>
        <v>2.7016903866997199</v>
      </c>
      <c r="W79" s="308"/>
      <c r="X79" s="308"/>
      <c r="Y79" s="308"/>
      <c r="Z79" s="308"/>
      <c r="AA79" s="308"/>
      <c r="AB79" s="308"/>
    </row>
    <row r="80" spans="2:39" x14ac:dyDescent="0.25">
      <c r="B80" s="308"/>
      <c r="C80" s="308"/>
      <c r="D80" s="308" t="s">
        <v>1311</v>
      </c>
      <c r="E80" s="308"/>
      <c r="F80" s="308"/>
      <c r="G80" s="308"/>
      <c r="H80" s="308"/>
      <c r="I80" s="308"/>
      <c r="J80" s="308"/>
      <c r="K80" s="308"/>
      <c r="L80" s="308"/>
      <c r="M80" s="308"/>
      <c r="N80" s="308"/>
      <c r="O80" s="308"/>
      <c r="P80" s="308">
        <f>K131</f>
        <v>0.87908311429228303</v>
      </c>
      <c r="Q80" s="308">
        <f>K132</f>
        <v>0.87471858146888504</v>
      </c>
      <c r="R80" s="308">
        <f>K133</f>
        <v>0.85837014289721902</v>
      </c>
      <c r="S80" s="308">
        <f>K134</f>
        <v>0.84910379541478598</v>
      </c>
      <c r="T80" s="308">
        <f>K135</f>
        <v>0.87128901115810398</v>
      </c>
      <c r="U80" s="308">
        <f>K136</f>
        <v>0.71062771362907995</v>
      </c>
      <c r="V80" s="308">
        <f>K137</f>
        <v>0.52061478830121899</v>
      </c>
      <c r="W80" s="308"/>
      <c r="X80" s="308"/>
      <c r="Y80" s="308"/>
      <c r="Z80" s="308"/>
      <c r="AA80" s="308"/>
      <c r="AB80" s="308"/>
    </row>
    <row r="81" spans="1:40" x14ac:dyDescent="0.25">
      <c r="B81" s="308"/>
      <c r="C81" s="308"/>
      <c r="D81" s="308" t="s">
        <v>154</v>
      </c>
      <c r="E81" s="308"/>
      <c r="F81" s="308"/>
      <c r="G81" s="308"/>
      <c r="H81" s="308"/>
      <c r="I81" s="308"/>
      <c r="J81" s="308"/>
      <c r="K81" s="308"/>
      <c r="L81" s="308"/>
      <c r="M81" s="308"/>
      <c r="N81" s="308"/>
      <c r="O81" s="308"/>
      <c r="P81" s="406">
        <f>K140</f>
        <v>7.4935102471300203E-5</v>
      </c>
      <c r="Q81" s="308">
        <f>K141</f>
        <v>1.6544022713102499E-4</v>
      </c>
      <c r="R81" s="308">
        <f>K142</f>
        <v>1.32550893784773E-4</v>
      </c>
      <c r="S81" s="406">
        <f>K143</f>
        <v>9.8855266703975705E-5</v>
      </c>
      <c r="T81" s="308">
        <f>K144</f>
        <v>1.5471523742508801E-4</v>
      </c>
      <c r="U81" s="406">
        <f>K145</f>
        <v>6.9053611556827102E-5</v>
      </c>
      <c r="V81" s="406">
        <f>K146</f>
        <v>4.4703290102273003E-5</v>
      </c>
      <c r="W81" s="308"/>
      <c r="X81" s="308"/>
      <c r="Y81" s="308"/>
      <c r="Z81" s="308"/>
      <c r="AA81" s="308"/>
      <c r="AB81" s="308"/>
    </row>
    <row r="84" spans="1:40" x14ac:dyDescent="0.25">
      <c r="A84" s="329"/>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329"/>
      <c r="AB84" s="329"/>
      <c r="AC84" s="329"/>
      <c r="AD84" s="329"/>
      <c r="AE84" s="329"/>
      <c r="AF84" s="329"/>
      <c r="AG84" s="329"/>
      <c r="AH84" s="329"/>
      <c r="AI84" s="329"/>
      <c r="AJ84" s="329"/>
      <c r="AK84" s="329"/>
      <c r="AL84" s="329"/>
      <c r="AM84" s="329"/>
      <c r="AN84" s="329"/>
    </row>
    <row r="85" spans="1:40" x14ac:dyDescent="0.25">
      <c r="B85" s="509" t="s">
        <v>1887</v>
      </c>
    </row>
    <row r="86" spans="1:40" x14ac:dyDescent="0.25">
      <c r="K86" t="s">
        <v>1888</v>
      </c>
      <c r="R86" t="s">
        <v>1897</v>
      </c>
      <c r="S86" t="s">
        <v>834</v>
      </c>
      <c r="T86" t="s">
        <v>1889</v>
      </c>
      <c r="U86" t="s">
        <v>1890</v>
      </c>
      <c r="V86" t="s">
        <v>1891</v>
      </c>
      <c r="W86" t="s">
        <v>1892</v>
      </c>
    </row>
    <row r="87" spans="1:40" x14ac:dyDescent="0.25">
      <c r="C87" t="s">
        <v>155</v>
      </c>
      <c r="D87" t="s">
        <v>840</v>
      </c>
      <c r="E87" t="s">
        <v>423</v>
      </c>
      <c r="F87" t="s">
        <v>416</v>
      </c>
      <c r="G87" t="s">
        <v>415</v>
      </c>
      <c r="H87" t="s">
        <v>422</v>
      </c>
      <c r="I87" t="s">
        <v>418</v>
      </c>
      <c r="J87" t="s">
        <v>439</v>
      </c>
      <c r="K87" t="s">
        <v>1147</v>
      </c>
      <c r="L87" t="s">
        <v>1293</v>
      </c>
      <c r="M87" t="s">
        <v>1294</v>
      </c>
      <c r="N87" t="s">
        <v>1295</v>
      </c>
      <c r="O87" t="s">
        <v>1336</v>
      </c>
      <c r="P87" t="s">
        <v>1337</v>
      </c>
      <c r="Q87" t="s">
        <v>1338</v>
      </c>
      <c r="R87" t="s">
        <v>1148</v>
      </c>
      <c r="S87" t="s">
        <v>1149</v>
      </c>
      <c r="T87" t="s">
        <v>1150</v>
      </c>
      <c r="U87" t="s">
        <v>1151</v>
      </c>
      <c r="V87" t="s">
        <v>1152</v>
      </c>
      <c r="W87" t="s">
        <v>1153</v>
      </c>
      <c r="Z87" t="s">
        <v>840</v>
      </c>
    </row>
    <row r="88" spans="1:40" x14ac:dyDescent="0.25">
      <c r="C88" t="s">
        <v>1335</v>
      </c>
      <c r="D88" t="s">
        <v>1335</v>
      </c>
      <c r="E88">
        <v>1</v>
      </c>
      <c r="F88" t="s">
        <v>417</v>
      </c>
      <c r="G88" t="s">
        <v>592</v>
      </c>
      <c r="H88" t="s">
        <v>476</v>
      </c>
      <c r="I88" t="s">
        <v>419</v>
      </c>
      <c r="J88" t="s">
        <v>911</v>
      </c>
      <c r="K88">
        <v>7.5557157710559899</v>
      </c>
      <c r="L88">
        <v>6.7608225388991201</v>
      </c>
      <c r="M88">
        <v>6.6356126907779602</v>
      </c>
      <c r="N88">
        <v>6.5550975668017397</v>
      </c>
      <c r="O88">
        <v>6.52844566289758</v>
      </c>
      <c r="P88">
        <v>6.2895892168261298</v>
      </c>
      <c r="Q88">
        <v>6.1964934743856759</v>
      </c>
      <c r="R88">
        <v>22.308152288714702</v>
      </c>
      <c r="S88">
        <v>17.863915999914699</v>
      </c>
      <c r="T88" s="70">
        <v>2.39821624734956E-5</v>
      </c>
      <c r="U88" s="70">
        <v>4.9192575366723002E-7</v>
      </c>
      <c r="V88" s="70">
        <v>2.3982723385293499E-7</v>
      </c>
      <c r="W88">
        <v>4.81590899016235E-2</v>
      </c>
    </row>
    <row r="89" spans="1:40" x14ac:dyDescent="0.25">
      <c r="C89" t="s">
        <v>1154</v>
      </c>
      <c r="D89" t="s">
        <v>1154</v>
      </c>
      <c r="E89">
        <v>1</v>
      </c>
      <c r="F89" t="s">
        <v>530</v>
      </c>
      <c r="G89" t="s">
        <v>915</v>
      </c>
      <c r="H89" t="s">
        <v>915</v>
      </c>
      <c r="I89" t="s">
        <v>432</v>
      </c>
      <c r="J89" t="s">
        <v>911</v>
      </c>
      <c r="K89">
        <v>207.91423447585899</v>
      </c>
      <c r="L89">
        <v>185.534312882629</v>
      </c>
      <c r="M89">
        <v>179.53838294351701</v>
      </c>
      <c r="N89">
        <v>175.25389152892501</v>
      </c>
      <c r="O89">
        <v>175.91731143589601</v>
      </c>
      <c r="P89">
        <v>165.71263289917999</v>
      </c>
      <c r="Q89">
        <v>161.6973511326604</v>
      </c>
      <c r="R89">
        <v>1814.5604476083099</v>
      </c>
      <c r="S89">
        <v>585.30760609983599</v>
      </c>
      <c r="T89">
        <v>3.0679954259471599E-3</v>
      </c>
      <c r="U89" s="70">
        <v>1.09523118038029E-5</v>
      </c>
      <c r="V89" s="70">
        <v>1.23898069720073E-5</v>
      </c>
      <c r="W89">
        <v>1.69186183795629</v>
      </c>
    </row>
    <row r="90" spans="1:40" x14ac:dyDescent="0.25">
      <c r="C90" t="s">
        <v>1165</v>
      </c>
      <c r="D90" t="s">
        <v>1165</v>
      </c>
      <c r="E90">
        <v>1</v>
      </c>
      <c r="F90" t="s">
        <v>417</v>
      </c>
      <c r="G90" t="s">
        <v>983</v>
      </c>
      <c r="H90" t="s">
        <v>983</v>
      </c>
      <c r="I90" t="s">
        <v>432</v>
      </c>
      <c r="J90" t="s">
        <v>911</v>
      </c>
      <c r="K90">
        <v>0.14549916391836701</v>
      </c>
      <c r="L90">
        <v>0.14082423046376599</v>
      </c>
      <c r="M90">
        <v>0.13899096590521501</v>
      </c>
      <c r="N90">
        <v>0.13757049748619599</v>
      </c>
      <c r="O90">
        <v>0.138027965522209</v>
      </c>
      <c r="P90">
        <v>0.13560059937945701</v>
      </c>
      <c r="Q90">
        <v>0.1348283435367687</v>
      </c>
      <c r="R90">
        <v>0.74208847262787103</v>
      </c>
      <c r="S90">
        <v>0.100865065711815</v>
      </c>
      <c r="T90" s="70">
        <v>4.5621005219405902E-7</v>
      </c>
      <c r="U90" s="70">
        <v>1.3193793389155999E-9</v>
      </c>
      <c r="V90" s="70">
        <v>1.46761665346135E-9</v>
      </c>
      <c r="W90">
        <v>1.75002790353148E-4</v>
      </c>
    </row>
    <row r="91" spans="1:40" x14ac:dyDescent="0.25">
      <c r="C91" t="s">
        <v>1156</v>
      </c>
      <c r="D91" t="s">
        <v>1156</v>
      </c>
      <c r="E91">
        <v>1</v>
      </c>
      <c r="F91" t="s">
        <v>417</v>
      </c>
      <c r="G91" t="s">
        <v>999</v>
      </c>
      <c r="H91" t="s">
        <v>998</v>
      </c>
      <c r="I91" t="s">
        <v>432</v>
      </c>
      <c r="J91" t="s">
        <v>911</v>
      </c>
      <c r="K91">
        <v>0.18931450346034001</v>
      </c>
      <c r="L91">
        <v>0.199068419905856</v>
      </c>
      <c r="M91">
        <v>0.18771722681226599</v>
      </c>
      <c r="N91">
        <v>0.179342930742483</v>
      </c>
      <c r="O91">
        <v>0.184312866300096</v>
      </c>
      <c r="P91">
        <v>0.16512179186505199</v>
      </c>
      <c r="Q91">
        <v>0.15957262354794899</v>
      </c>
      <c r="R91">
        <v>1.0562193507056199</v>
      </c>
      <c r="S91">
        <v>0.51434217287179396</v>
      </c>
      <c r="T91" s="70">
        <v>1.35575520995532E-6</v>
      </c>
      <c r="U91" s="70">
        <v>1.9279771362772599E-9</v>
      </c>
      <c r="V91" s="70">
        <v>4.4428650988689303E-9</v>
      </c>
      <c r="W91">
        <v>3.10543883183941E-4</v>
      </c>
    </row>
    <row r="92" spans="1:40" x14ac:dyDescent="0.25">
      <c r="C92" t="s">
        <v>1160</v>
      </c>
      <c r="D92" t="s">
        <v>1160</v>
      </c>
      <c r="E92">
        <v>1</v>
      </c>
      <c r="F92" t="s">
        <v>417</v>
      </c>
      <c r="G92" t="s">
        <v>1129</v>
      </c>
      <c r="H92" t="s">
        <v>1127</v>
      </c>
      <c r="I92" t="s">
        <v>432</v>
      </c>
      <c r="J92" t="s">
        <v>911</v>
      </c>
      <c r="K92">
        <v>2.3855881443869801E-2</v>
      </c>
      <c r="L92">
        <v>2.1643794581771798E-2</v>
      </c>
      <c r="M92">
        <v>1.83390486023669E-2</v>
      </c>
      <c r="N92">
        <v>1.6008650758087599E-2</v>
      </c>
      <c r="O92">
        <v>1.8555273727641399E-2</v>
      </c>
      <c r="P92">
        <v>1.31048423953295E-2</v>
      </c>
      <c r="Q92">
        <v>9.8256188690552249E-3</v>
      </c>
      <c r="R92">
        <v>0.14491011601498899</v>
      </c>
      <c r="S92">
        <v>0.25188190670472899</v>
      </c>
      <c r="T92" s="70">
        <v>2.6006545421665499E-7</v>
      </c>
      <c r="U92" s="70">
        <v>3.5717646431228201E-10</v>
      </c>
      <c r="V92" s="70">
        <v>2.0986072011009501E-9</v>
      </c>
      <c r="W92" s="70">
        <v>8.8240528490641598E-5</v>
      </c>
    </row>
    <row r="93" spans="1:40" x14ac:dyDescent="0.25">
      <c r="C93" t="s">
        <v>1166</v>
      </c>
      <c r="D93" t="s">
        <v>1166</v>
      </c>
      <c r="E93">
        <v>1</v>
      </c>
      <c r="F93" t="s">
        <v>417</v>
      </c>
      <c r="G93" t="s">
        <v>984</v>
      </c>
      <c r="H93" t="s">
        <v>1043</v>
      </c>
      <c r="I93" t="s">
        <v>432</v>
      </c>
      <c r="J93" t="s">
        <v>911</v>
      </c>
      <c r="K93">
        <v>0.15255276971222001</v>
      </c>
      <c r="L93">
        <v>0.16516251506937801</v>
      </c>
      <c r="M93">
        <v>0.15789860463875099</v>
      </c>
      <c r="N93">
        <v>0.152461737920359</v>
      </c>
      <c r="O93">
        <v>0.154600016570029</v>
      </c>
      <c r="P93">
        <v>0.14217131047638501</v>
      </c>
      <c r="Q93">
        <v>0.140205951615757</v>
      </c>
      <c r="R93">
        <v>0.81482040465799799</v>
      </c>
      <c r="S93">
        <v>0.216503638646242</v>
      </c>
      <c r="T93" s="70">
        <v>9.0744459656338996E-7</v>
      </c>
      <c r="U93" s="70">
        <v>1.4484460156319199E-9</v>
      </c>
      <c r="V93" s="70">
        <v>1.78799068092155E-9</v>
      </c>
      <c r="W93">
        <v>1.93327721059215E-4</v>
      </c>
    </row>
    <row r="94" spans="1:40" x14ac:dyDescent="0.25">
      <c r="C94" t="s">
        <v>1158</v>
      </c>
      <c r="D94" t="s">
        <v>1158</v>
      </c>
      <c r="E94">
        <v>1</v>
      </c>
      <c r="F94" t="s">
        <v>417</v>
      </c>
      <c r="G94" t="s">
        <v>1140</v>
      </c>
      <c r="H94" t="s">
        <v>1139</v>
      </c>
      <c r="I94" t="s">
        <v>432</v>
      </c>
      <c r="J94" t="s">
        <v>911</v>
      </c>
      <c r="K94">
        <v>3.8866290254959798E-3</v>
      </c>
      <c r="L94">
        <v>3.7588165378950001E-3</v>
      </c>
      <c r="M94">
        <v>3.7120145963703902E-3</v>
      </c>
      <c r="N94">
        <v>3.6778268332576199E-3</v>
      </c>
      <c r="O94">
        <v>3.6974381581058599E-3</v>
      </c>
      <c r="P94">
        <v>3.6093538751523499E-3</v>
      </c>
      <c r="Q94">
        <v>3.5814392246552701E-3</v>
      </c>
      <c r="R94">
        <v>1.08170958843635E-2</v>
      </c>
      <c r="S94">
        <v>4.7302937580724902E-3</v>
      </c>
      <c r="T94" s="70">
        <v>5.2833859209120702E-8</v>
      </c>
      <c r="U94" s="70">
        <v>6.5503474337704001E-12</v>
      </c>
      <c r="V94" s="70">
        <v>5.2140128525597899E-11</v>
      </c>
      <c r="W94" s="70">
        <v>2.8363959055159002E-6</v>
      </c>
    </row>
    <row r="95" spans="1:40" x14ac:dyDescent="0.25">
      <c r="C95" t="s">
        <v>1159</v>
      </c>
      <c r="D95" t="s">
        <v>1159</v>
      </c>
      <c r="E95">
        <v>1</v>
      </c>
      <c r="F95" t="s">
        <v>417</v>
      </c>
      <c r="G95" t="s">
        <v>997</v>
      </c>
      <c r="H95" t="s">
        <v>996</v>
      </c>
      <c r="I95" t="s">
        <v>432</v>
      </c>
      <c r="J95" t="s">
        <v>911</v>
      </c>
      <c r="K95">
        <v>0.158840283195087</v>
      </c>
      <c r="L95">
        <v>0.17032764680860399</v>
      </c>
      <c r="M95">
        <v>0.16260305728431701</v>
      </c>
      <c r="N95">
        <v>0.15680091476649999</v>
      </c>
      <c r="O95">
        <v>0.15912729493978101</v>
      </c>
      <c r="P95">
        <v>0.14593627705796</v>
      </c>
      <c r="Q95">
        <v>0.14375712997563739</v>
      </c>
      <c r="R95">
        <v>0.87485689867614203</v>
      </c>
      <c r="S95">
        <v>0.25196186513185298</v>
      </c>
      <c r="T95" s="70">
        <v>1.05186220563448E-6</v>
      </c>
      <c r="U95" s="70">
        <v>1.50796870261081E-9</v>
      </c>
      <c r="V95" s="70">
        <v>2.25048766770647E-9</v>
      </c>
      <c r="W95">
        <v>2.13411228646555E-4</v>
      </c>
    </row>
    <row r="96" spans="1:40" x14ac:dyDescent="0.25">
      <c r="C96" t="s">
        <v>1377</v>
      </c>
      <c r="D96" t="s">
        <v>1163</v>
      </c>
      <c r="E96">
        <v>1</v>
      </c>
      <c r="F96" t="s">
        <v>417</v>
      </c>
      <c r="G96" t="s">
        <v>1142</v>
      </c>
      <c r="H96" t="s">
        <v>1141</v>
      </c>
      <c r="I96" t="s">
        <v>432</v>
      </c>
      <c r="J96" t="s">
        <v>911</v>
      </c>
      <c r="K96">
        <v>6.2875134828678696E-3</v>
      </c>
      <c r="L96">
        <v>5.1651317392265696E-3</v>
      </c>
      <c r="M96">
        <v>4.7044526455660499E-3</v>
      </c>
      <c r="N96">
        <v>4.3391768461405397E-3</v>
      </c>
      <c r="O96">
        <v>4.5272783697521803E-3</v>
      </c>
      <c r="P96">
        <v>3.7649665815758099E-3</v>
      </c>
      <c r="Q96">
        <v>3.551178359880378E-3</v>
      </c>
      <c r="R96">
        <v>6.0036494018152801E-2</v>
      </c>
      <c r="S96">
        <v>3.5458226485804101E-2</v>
      </c>
      <c r="T96" s="70">
        <v>1.4441760907109701E-7</v>
      </c>
      <c r="U96" s="70">
        <v>5.95226869789071E-11</v>
      </c>
      <c r="V96" s="70">
        <v>4.62496986785058E-10</v>
      </c>
      <c r="W96" s="70">
        <v>2.00835075873479E-5</v>
      </c>
    </row>
    <row r="97" spans="3:34" x14ac:dyDescent="0.25">
      <c r="C97" t="s">
        <v>1167</v>
      </c>
      <c r="D97" t="s">
        <v>1167</v>
      </c>
      <c r="E97">
        <v>1</v>
      </c>
      <c r="F97" t="s">
        <v>417</v>
      </c>
      <c r="G97" t="s">
        <v>1001</v>
      </c>
      <c r="H97" t="s">
        <v>1000</v>
      </c>
      <c r="I97" t="s">
        <v>432</v>
      </c>
      <c r="J97" t="s">
        <v>911</v>
      </c>
      <c r="K97">
        <v>0.19264290784364199</v>
      </c>
      <c r="L97">
        <v>0.220696867707249</v>
      </c>
      <c r="M97">
        <v>0.20368740458259599</v>
      </c>
      <c r="N97">
        <v>0.19112791614368899</v>
      </c>
      <c r="O97">
        <v>0.19784372588947199</v>
      </c>
      <c r="P97">
        <v>0.16823409583139801</v>
      </c>
      <c r="Q97">
        <v>0.1614603469905862</v>
      </c>
      <c r="R97">
        <v>1.1212901191678499</v>
      </c>
      <c r="S97">
        <v>0.63090368549267595</v>
      </c>
      <c r="T97" s="70">
        <v>1.7744632346075301E-6</v>
      </c>
      <c r="U97" s="70">
        <v>2.0567383862758701E-9</v>
      </c>
      <c r="V97" s="70">
        <v>4.72477145634038E-9</v>
      </c>
      <c r="W97">
        <v>3.2682190190392902E-4</v>
      </c>
    </row>
    <row r="98" spans="3:34" x14ac:dyDescent="0.25">
      <c r="C98" t="s">
        <v>1157</v>
      </c>
      <c r="D98" t="s">
        <v>1157</v>
      </c>
      <c r="E98">
        <v>1</v>
      </c>
      <c r="F98" t="s">
        <v>417</v>
      </c>
      <c r="G98" t="s">
        <v>1128</v>
      </c>
      <c r="H98" t="s">
        <v>1143</v>
      </c>
      <c r="I98" t="s">
        <v>432</v>
      </c>
      <c r="J98" t="s">
        <v>911</v>
      </c>
      <c r="K98">
        <v>0</v>
      </c>
      <c r="L98">
        <v>0</v>
      </c>
      <c r="M98">
        <v>0</v>
      </c>
      <c r="N98">
        <v>0</v>
      </c>
      <c r="O98">
        <v>0</v>
      </c>
      <c r="P98">
        <v>0</v>
      </c>
      <c r="Q98">
        <v>0</v>
      </c>
      <c r="R98">
        <v>0</v>
      </c>
      <c r="S98">
        <v>0</v>
      </c>
      <c r="T98">
        <v>0</v>
      </c>
      <c r="U98">
        <v>0</v>
      </c>
      <c r="V98">
        <v>0</v>
      </c>
      <c r="W98">
        <v>0</v>
      </c>
    </row>
    <row r="99" spans="3:34" x14ac:dyDescent="0.25">
      <c r="C99" t="s">
        <v>1162</v>
      </c>
      <c r="D99" t="s">
        <v>1162</v>
      </c>
      <c r="E99">
        <v>1</v>
      </c>
      <c r="F99" t="s">
        <v>417</v>
      </c>
      <c r="G99" t="s">
        <v>1004</v>
      </c>
      <c r="H99" t="s">
        <v>1003</v>
      </c>
      <c r="I99" t="s">
        <v>432</v>
      </c>
      <c r="J99" t="s">
        <v>911</v>
      </c>
      <c r="K99">
        <v>0.195971312226944</v>
      </c>
      <c r="L99">
        <v>0.242325315508643</v>
      </c>
      <c r="M99">
        <v>0.21965758235292601</v>
      </c>
      <c r="N99">
        <v>0.202912901544895</v>
      </c>
      <c r="O99">
        <v>0.21137458547884699</v>
      </c>
      <c r="P99">
        <v>0.17134639979774399</v>
      </c>
      <c r="Q99">
        <v>0.16334807043322319</v>
      </c>
      <c r="R99">
        <v>1.18636088763008</v>
      </c>
      <c r="S99">
        <v>0.74746519811353695</v>
      </c>
      <c r="T99" s="70">
        <v>2.19317125925973E-6</v>
      </c>
      <c r="U99" s="70">
        <v>2.1854996362744799E-9</v>
      </c>
      <c r="V99" s="70">
        <v>5.0066778138118099E-9</v>
      </c>
      <c r="W99">
        <v>3.43099920623916E-4</v>
      </c>
    </row>
    <row r="100" spans="3:34" x14ac:dyDescent="0.25">
      <c r="C100" t="s">
        <v>1161</v>
      </c>
      <c r="D100" t="s">
        <v>1161</v>
      </c>
      <c r="E100">
        <v>1</v>
      </c>
      <c r="F100" t="s">
        <v>417</v>
      </c>
      <c r="G100" t="s">
        <v>1145</v>
      </c>
      <c r="H100" t="s">
        <v>1144</v>
      </c>
      <c r="I100" t="s">
        <v>432</v>
      </c>
      <c r="J100" t="s">
        <v>911</v>
      </c>
      <c r="K100">
        <v>0</v>
      </c>
      <c r="L100">
        <v>0</v>
      </c>
      <c r="M100">
        <v>0</v>
      </c>
      <c r="N100">
        <v>0</v>
      </c>
      <c r="O100">
        <v>0</v>
      </c>
      <c r="P100">
        <v>0</v>
      </c>
      <c r="Q100">
        <v>0</v>
      </c>
      <c r="R100">
        <v>0</v>
      </c>
      <c r="S100">
        <v>0</v>
      </c>
      <c r="T100">
        <v>0</v>
      </c>
      <c r="U100">
        <v>0</v>
      </c>
      <c r="V100">
        <v>0</v>
      </c>
      <c r="W100">
        <v>0</v>
      </c>
    </row>
    <row r="101" spans="3:34" x14ac:dyDescent="0.25">
      <c r="C101" t="s">
        <v>1378</v>
      </c>
      <c r="D101" t="s">
        <v>1164</v>
      </c>
      <c r="E101">
        <v>1</v>
      </c>
      <c r="F101" t="s">
        <v>434</v>
      </c>
      <c r="G101" t="s">
        <v>1130</v>
      </c>
      <c r="H101" t="s">
        <v>1130</v>
      </c>
      <c r="I101" t="s">
        <v>432</v>
      </c>
      <c r="J101" t="s">
        <v>911</v>
      </c>
      <c r="K101">
        <v>1.3762094618009899E-2</v>
      </c>
      <c r="L101">
        <v>1.1526253570404699E-2</v>
      </c>
      <c r="M101">
        <v>1.06562828484312E-2</v>
      </c>
      <c r="N101">
        <v>1.00282548990203E-2</v>
      </c>
      <c r="O101">
        <v>1.0442853936179599E-2</v>
      </c>
      <c r="P101">
        <v>8.6835764752586798E-3</v>
      </c>
      <c r="Q101">
        <v>7.9804934233108551E-3</v>
      </c>
      <c r="R101">
        <v>0.30141810957026699</v>
      </c>
      <c r="S101">
        <v>8.3889602807262695E-2</v>
      </c>
      <c r="T101" s="70">
        <v>1.87736106815614E-6</v>
      </c>
      <c r="U101" s="70">
        <v>1.6604201025267399E-10</v>
      </c>
      <c r="V101" s="70">
        <v>1.1379490257317801E-9</v>
      </c>
      <c r="W101" s="70">
        <v>8.28493728891333E-5</v>
      </c>
    </row>
    <row r="102" spans="3:34" x14ac:dyDescent="0.25">
      <c r="C102" t="s">
        <v>1155</v>
      </c>
      <c r="D102" t="s">
        <v>1155</v>
      </c>
      <c r="E102">
        <v>1</v>
      </c>
      <c r="F102" t="s">
        <v>434</v>
      </c>
      <c r="G102" t="s">
        <v>912</v>
      </c>
      <c r="H102" t="s">
        <v>547</v>
      </c>
      <c r="I102" t="s">
        <v>432</v>
      </c>
      <c r="J102" t="s">
        <v>911</v>
      </c>
      <c r="K102">
        <v>3.6461357333668999E-4</v>
      </c>
      <c r="L102">
        <v>3.0116246277098402E-4</v>
      </c>
      <c r="M102">
        <v>2.7423564164312498E-4</v>
      </c>
      <c r="N102">
        <v>2.5390736416562202E-4</v>
      </c>
      <c r="O102">
        <v>2.64808512259899E-4</v>
      </c>
      <c r="P102">
        <v>2.1663576877903399E-4</v>
      </c>
      <c r="Q102">
        <v>1.9812323024647201E-4</v>
      </c>
      <c r="R102">
        <v>7.5708848418090599E-3</v>
      </c>
      <c r="S102">
        <v>2.1315706331437299E-3</v>
      </c>
      <c r="T102" s="70">
        <v>4.34783153026382E-8</v>
      </c>
      <c r="U102" s="70">
        <v>4.5032417264999397E-12</v>
      </c>
      <c r="V102" s="70">
        <v>2.9087770277979701E-11</v>
      </c>
      <c r="W102" s="70">
        <v>2.0625463107732702E-6</v>
      </c>
    </row>
    <row r="105" spans="3:34" x14ac:dyDescent="0.25">
      <c r="D105" t="s">
        <v>423</v>
      </c>
      <c r="E105" t="s">
        <v>416</v>
      </c>
      <c r="F105" t="s">
        <v>415</v>
      </c>
      <c r="G105" t="s">
        <v>422</v>
      </c>
      <c r="H105" t="s">
        <v>418</v>
      </c>
      <c r="I105" t="s">
        <v>439</v>
      </c>
      <c r="J105" t="s">
        <v>1147</v>
      </c>
      <c r="K105" t="s">
        <v>1148</v>
      </c>
      <c r="L105" t="s">
        <v>1149</v>
      </c>
      <c r="M105" t="s">
        <v>1150</v>
      </c>
      <c r="N105" t="s">
        <v>1151</v>
      </c>
      <c r="O105" t="s">
        <v>1152</v>
      </c>
      <c r="P105" t="s">
        <v>1153</v>
      </c>
    </row>
    <row r="106" spans="3:34" x14ac:dyDescent="0.25">
      <c r="D106">
        <v>1</v>
      </c>
      <c r="E106" t="s">
        <v>416</v>
      </c>
      <c r="F106" t="s">
        <v>440</v>
      </c>
      <c r="G106" t="s">
        <v>1038</v>
      </c>
      <c r="H106" t="s">
        <v>432</v>
      </c>
      <c r="I106" t="s">
        <v>438</v>
      </c>
      <c r="J106">
        <v>1596362.5151617499</v>
      </c>
      <c r="K106">
        <v>22876822.119334999</v>
      </c>
      <c r="L106">
        <v>18499225.636424702</v>
      </c>
      <c r="M106">
        <v>4.8083906828028198</v>
      </c>
      <c r="N106">
        <v>7.2529829340167501E-3</v>
      </c>
      <c r="O106">
        <v>7.5366419999087594E-2</v>
      </c>
      <c r="P106">
        <v>4317.0958716778596</v>
      </c>
    </row>
    <row r="107" spans="3:34" x14ac:dyDescent="0.25">
      <c r="D107">
        <v>1</v>
      </c>
      <c r="E107" t="s">
        <v>433</v>
      </c>
      <c r="F107" t="s">
        <v>431</v>
      </c>
      <c r="G107" t="s">
        <v>441</v>
      </c>
      <c r="H107" t="s">
        <v>432</v>
      </c>
      <c r="I107" t="s">
        <v>438</v>
      </c>
      <c r="J107">
        <v>14.788478553191601</v>
      </c>
      <c r="K107">
        <v>937.811905559499</v>
      </c>
      <c r="L107">
        <v>144.548857041166</v>
      </c>
      <c r="M107">
        <v>2.44089485689096E-4</v>
      </c>
      <c r="N107" s="70">
        <v>1.2545135623210301E-7</v>
      </c>
      <c r="O107" s="70">
        <v>9.6183941273939399E-7</v>
      </c>
      <c r="P107">
        <v>4.5675882299535099E-2</v>
      </c>
    </row>
    <row r="108" spans="3:34" x14ac:dyDescent="0.25">
      <c r="D108">
        <v>1</v>
      </c>
      <c r="E108" t="s">
        <v>416</v>
      </c>
      <c r="F108" t="s">
        <v>1170</v>
      </c>
      <c r="G108" t="s">
        <v>1169</v>
      </c>
      <c r="H108" t="s">
        <v>432</v>
      </c>
      <c r="I108" t="s">
        <v>438</v>
      </c>
      <c r="J108">
        <v>199786.28138645101</v>
      </c>
      <c r="K108">
        <v>4500827.1345848199</v>
      </c>
      <c r="L108">
        <v>5157807.1848055003</v>
      </c>
      <c r="M108">
        <v>4.7904713136888999</v>
      </c>
      <c r="N108">
        <v>1.5057410958069801E-3</v>
      </c>
      <c r="O108">
        <v>2.1854770446818599E-2</v>
      </c>
      <c r="P108">
        <v>772.66185368711103</v>
      </c>
    </row>
    <row r="109" spans="3:34" x14ac:dyDescent="0.25">
      <c r="D109">
        <v>1</v>
      </c>
      <c r="E109" t="s">
        <v>1047</v>
      </c>
      <c r="F109" t="s">
        <v>1037</v>
      </c>
      <c r="G109" t="s">
        <v>995</v>
      </c>
      <c r="H109" t="s">
        <v>432</v>
      </c>
      <c r="I109" t="s">
        <v>438</v>
      </c>
      <c r="J109">
        <v>112.81816864922099</v>
      </c>
      <c r="K109">
        <v>7628.6326020300703</v>
      </c>
      <c r="L109">
        <v>1076.94197215244</v>
      </c>
      <c r="M109">
        <v>1.86438317179924E-3</v>
      </c>
      <c r="N109" s="70">
        <v>9.4551353574458395E-7</v>
      </c>
      <c r="O109" s="70">
        <v>7.3959543907519102E-6</v>
      </c>
      <c r="P109">
        <v>0.35310338375398598</v>
      </c>
    </row>
    <row r="110" spans="3:34" x14ac:dyDescent="0.25">
      <c r="D110">
        <v>1</v>
      </c>
      <c r="E110" t="s">
        <v>1047</v>
      </c>
      <c r="F110" t="s">
        <v>1168</v>
      </c>
      <c r="G110" t="s">
        <v>1363</v>
      </c>
      <c r="H110" t="s">
        <v>432</v>
      </c>
      <c r="I110" t="s">
        <v>438</v>
      </c>
      <c r="J110">
        <v>2.210576796722</v>
      </c>
      <c r="K110">
        <v>6487.3128824713904</v>
      </c>
      <c r="L110">
        <v>52.709349898794201</v>
      </c>
      <c r="M110" s="70">
        <v>4.9542977426930701E-6</v>
      </c>
      <c r="N110" s="70">
        <v>4.38911901720913E-8</v>
      </c>
      <c r="O110" s="70">
        <v>1.5193207613453199E-7</v>
      </c>
      <c r="P110">
        <v>1.397664562985E-2</v>
      </c>
    </row>
    <row r="112" spans="3:34" x14ac:dyDescent="0.25">
      <c r="D112" t="s">
        <v>840</v>
      </c>
      <c r="E112" t="s">
        <v>423</v>
      </c>
      <c r="F112" t="s">
        <v>416</v>
      </c>
      <c r="G112" t="s">
        <v>415</v>
      </c>
      <c r="H112" t="s">
        <v>422</v>
      </c>
      <c r="I112" t="s">
        <v>418</v>
      </c>
      <c r="J112" t="s">
        <v>439</v>
      </c>
      <c r="K112" t="s">
        <v>1147</v>
      </c>
      <c r="U112" t="s">
        <v>840</v>
      </c>
      <c r="V112" t="s">
        <v>423</v>
      </c>
      <c r="W112" t="s">
        <v>416</v>
      </c>
      <c r="X112" t="s">
        <v>415</v>
      </c>
      <c r="Y112" t="s">
        <v>422</v>
      </c>
      <c r="Z112" t="s">
        <v>418</v>
      </c>
      <c r="AA112" t="s">
        <v>439</v>
      </c>
      <c r="AB112" t="s">
        <v>1147</v>
      </c>
      <c r="AC112" t="s">
        <v>1148</v>
      </c>
      <c r="AD112" t="s">
        <v>1149</v>
      </c>
      <c r="AE112" t="s">
        <v>1150</v>
      </c>
      <c r="AF112" t="s">
        <v>1151</v>
      </c>
      <c r="AG112" t="s">
        <v>1152</v>
      </c>
      <c r="AH112" t="s">
        <v>1153</v>
      </c>
    </row>
    <row r="113" spans="3:35" x14ac:dyDescent="0.25">
      <c r="D113" t="s">
        <v>1182</v>
      </c>
      <c r="E113">
        <v>1</v>
      </c>
      <c r="F113" t="s">
        <v>416</v>
      </c>
      <c r="G113" t="s">
        <v>1170</v>
      </c>
      <c r="H113" t="s">
        <v>1169</v>
      </c>
      <c r="I113" t="s">
        <v>432</v>
      </c>
      <c r="J113" t="s">
        <v>438</v>
      </c>
      <c r="K113">
        <v>199786.28138645101</v>
      </c>
      <c r="U113" t="s">
        <v>1526</v>
      </c>
      <c r="V113">
        <v>1</v>
      </c>
      <c r="W113" t="s">
        <v>416</v>
      </c>
      <c r="X113" t="s">
        <v>1041</v>
      </c>
      <c r="Y113" t="s">
        <v>1042</v>
      </c>
      <c r="Z113" t="s">
        <v>432</v>
      </c>
      <c r="AA113" t="s">
        <v>438</v>
      </c>
      <c r="AB113">
        <v>7304352.7282087002</v>
      </c>
      <c r="AC113">
        <v>425286819.67552102</v>
      </c>
      <c r="AD113">
        <v>61670386.824982204</v>
      </c>
      <c r="AE113">
        <v>152.437622713552</v>
      </c>
      <c r="AF113">
        <v>6.15212127822636E-2</v>
      </c>
      <c r="AG113">
        <v>0.47890679748394999</v>
      </c>
      <c r="AH113">
        <v>23050.6956607379</v>
      </c>
    </row>
    <row r="114" spans="3:35" x14ac:dyDescent="0.25">
      <c r="D114" t="s">
        <v>1371</v>
      </c>
      <c r="E114">
        <v>1</v>
      </c>
      <c r="F114" t="s">
        <v>416</v>
      </c>
      <c r="G114" t="s">
        <v>1170</v>
      </c>
      <c r="H114" t="s">
        <v>1169</v>
      </c>
      <c r="I114" t="s">
        <v>432</v>
      </c>
      <c r="J114" t="s">
        <v>1365</v>
      </c>
      <c r="K114">
        <v>141405.12001558</v>
      </c>
      <c r="U114" t="s">
        <v>1182</v>
      </c>
      <c r="V114">
        <v>1</v>
      </c>
      <c r="W114" t="s">
        <v>416</v>
      </c>
      <c r="X114" t="s">
        <v>1170</v>
      </c>
      <c r="Y114" t="s">
        <v>1169</v>
      </c>
      <c r="Z114" t="s">
        <v>432</v>
      </c>
      <c r="AA114" t="s">
        <v>438</v>
      </c>
      <c r="AB114">
        <v>199786.28138645101</v>
      </c>
      <c r="AC114">
        <v>4500827.1345848199</v>
      </c>
      <c r="AD114">
        <v>5157807.1848054798</v>
      </c>
      <c r="AE114">
        <v>4.7904713136889097</v>
      </c>
      <c r="AF114">
        <v>1.50574109580633E-3</v>
      </c>
      <c r="AG114">
        <v>2.1854770446818599E-2</v>
      </c>
      <c r="AH114">
        <v>772.66185368711001</v>
      </c>
    </row>
    <row r="115" spans="3:35" x14ac:dyDescent="0.25">
      <c r="D115" t="s">
        <v>1372</v>
      </c>
      <c r="E115">
        <v>1</v>
      </c>
      <c r="F115" t="s">
        <v>416</v>
      </c>
      <c r="G115" t="s">
        <v>1170</v>
      </c>
      <c r="H115" t="s">
        <v>1169</v>
      </c>
      <c r="I115" t="s">
        <v>432</v>
      </c>
      <c r="J115" t="s">
        <v>1366</v>
      </c>
      <c r="K115">
        <v>128189.00321824101</v>
      </c>
      <c r="U115" t="s">
        <v>1184</v>
      </c>
      <c r="V115">
        <v>1</v>
      </c>
      <c r="W115" t="s">
        <v>1047</v>
      </c>
      <c r="X115" t="s">
        <v>1037</v>
      </c>
      <c r="Y115" t="s">
        <v>995</v>
      </c>
      <c r="Z115" t="s">
        <v>432</v>
      </c>
      <c r="AA115" t="s">
        <v>438</v>
      </c>
      <c r="AB115">
        <v>124.35973650366201</v>
      </c>
      <c r="AC115">
        <v>7748.7080195751396</v>
      </c>
      <c r="AD115">
        <v>1019.04326508308</v>
      </c>
      <c r="AE115">
        <v>2.6535586351058601E-3</v>
      </c>
      <c r="AF115" s="70">
        <v>1.0310318544700401E-6</v>
      </c>
      <c r="AG115" s="70">
        <v>8.2798195488374006E-6</v>
      </c>
      <c r="AH115">
        <v>0.39993962079061102</v>
      </c>
    </row>
    <row r="116" spans="3:35" x14ac:dyDescent="0.25">
      <c r="D116" t="s">
        <v>1373</v>
      </c>
      <c r="E116">
        <v>1</v>
      </c>
      <c r="F116" t="s">
        <v>416</v>
      </c>
      <c r="G116" t="s">
        <v>1170</v>
      </c>
      <c r="H116" t="s">
        <v>1169</v>
      </c>
      <c r="I116" t="s">
        <v>432</v>
      </c>
      <c r="J116" t="s">
        <v>1367</v>
      </c>
      <c r="K116">
        <v>121611.71102168399</v>
      </c>
      <c r="U116" t="s">
        <v>1185</v>
      </c>
      <c r="V116">
        <v>1</v>
      </c>
      <c r="W116" t="s">
        <v>416</v>
      </c>
      <c r="X116" t="s">
        <v>440</v>
      </c>
      <c r="Y116" t="s">
        <v>1038</v>
      </c>
      <c r="Z116" t="s">
        <v>432</v>
      </c>
      <c r="AA116" t="s">
        <v>438</v>
      </c>
      <c r="AB116">
        <v>1794039.9715909101</v>
      </c>
      <c r="AC116">
        <v>26249395.9802454</v>
      </c>
      <c r="AD116">
        <v>21168647.666423399</v>
      </c>
      <c r="AE116">
        <v>39.152041226659897</v>
      </c>
      <c r="AF116">
        <v>1.37702198132552E-2</v>
      </c>
      <c r="AG116">
        <v>9.2438719896835594E-2</v>
      </c>
      <c r="AH116">
        <v>5474.5638742057099</v>
      </c>
    </row>
    <row r="117" spans="3:35" x14ac:dyDescent="0.25">
      <c r="D117" t="s">
        <v>1374</v>
      </c>
      <c r="E117">
        <v>1</v>
      </c>
      <c r="F117" t="s">
        <v>416</v>
      </c>
      <c r="G117" t="s">
        <v>1170</v>
      </c>
      <c r="H117" t="s">
        <v>1169</v>
      </c>
      <c r="I117" t="s">
        <v>432</v>
      </c>
      <c r="J117" t="s">
        <v>1368</v>
      </c>
      <c r="K117">
        <v>126632.99720480001</v>
      </c>
      <c r="U117" t="s">
        <v>1186</v>
      </c>
      <c r="V117">
        <v>1</v>
      </c>
      <c r="W117" t="s">
        <v>433</v>
      </c>
      <c r="X117" t="s">
        <v>431</v>
      </c>
      <c r="Y117" t="s">
        <v>441</v>
      </c>
      <c r="Z117" t="s">
        <v>432</v>
      </c>
      <c r="AA117" t="s">
        <v>438</v>
      </c>
      <c r="AB117">
        <v>1.6420169534683102E-2</v>
      </c>
      <c r="AC117">
        <v>0.95376805313802904</v>
      </c>
      <c r="AD117">
        <v>0.13843297630858301</v>
      </c>
      <c r="AE117" s="70">
        <v>3.4225726357336398E-7</v>
      </c>
      <c r="AF117" s="70">
        <v>1.3841863041574699E-10</v>
      </c>
      <c r="AG117" s="70">
        <v>1.0748358218280001E-9</v>
      </c>
      <c r="AH117" s="70">
        <v>5.1756625491048303E-5</v>
      </c>
    </row>
    <row r="118" spans="3:35" x14ac:dyDescent="0.25">
      <c r="D118" t="s">
        <v>1375</v>
      </c>
      <c r="E118">
        <v>1</v>
      </c>
      <c r="F118" t="s">
        <v>416</v>
      </c>
      <c r="G118" t="s">
        <v>1170</v>
      </c>
      <c r="H118" t="s">
        <v>1169</v>
      </c>
      <c r="I118" t="s">
        <v>432</v>
      </c>
      <c r="J118" t="s">
        <v>1369</v>
      </c>
      <c r="K118">
        <v>98730.199294238206</v>
      </c>
    </row>
    <row r="119" spans="3:35" x14ac:dyDescent="0.25">
      <c r="D119" t="s">
        <v>1376</v>
      </c>
      <c r="E119">
        <v>1</v>
      </c>
      <c r="F119" t="s">
        <v>416</v>
      </c>
      <c r="G119" t="s">
        <v>1170</v>
      </c>
      <c r="H119" t="s">
        <v>1169</v>
      </c>
      <c r="I119" t="s">
        <v>432</v>
      </c>
      <c r="J119" t="s">
        <v>1370</v>
      </c>
      <c r="K119">
        <v>84227.751465200301</v>
      </c>
    </row>
    <row r="120" spans="3:35" x14ac:dyDescent="0.25">
      <c r="S120" t="s">
        <v>1896</v>
      </c>
      <c r="U120" t="s">
        <v>840</v>
      </c>
      <c r="V120" t="s">
        <v>423</v>
      </c>
      <c r="W120" t="s">
        <v>416</v>
      </c>
      <c r="X120" t="s">
        <v>415</v>
      </c>
      <c r="Y120" t="s">
        <v>422</v>
      </c>
      <c r="Z120" t="s">
        <v>418</v>
      </c>
      <c r="AA120" t="s">
        <v>439</v>
      </c>
      <c r="AB120" t="s">
        <v>1147</v>
      </c>
    </row>
    <row r="121" spans="3:35" x14ac:dyDescent="0.25">
      <c r="C121" t="s">
        <v>1893</v>
      </c>
      <c r="D121" t="s">
        <v>840</v>
      </c>
      <c r="E121" t="s">
        <v>423</v>
      </c>
      <c r="F121" t="s">
        <v>416</v>
      </c>
      <c r="G121" t="s">
        <v>415</v>
      </c>
      <c r="H121" t="s">
        <v>422</v>
      </c>
      <c r="I121" t="s">
        <v>418</v>
      </c>
      <c r="J121" t="s">
        <v>439</v>
      </c>
      <c r="K121" t="s">
        <v>1147</v>
      </c>
      <c r="U121" t="s">
        <v>1185</v>
      </c>
      <c r="V121">
        <v>1</v>
      </c>
      <c r="W121" t="s">
        <v>416</v>
      </c>
      <c r="X121" t="s">
        <v>440</v>
      </c>
      <c r="Y121" t="s">
        <v>1038</v>
      </c>
      <c r="Z121" t="s">
        <v>432</v>
      </c>
      <c r="AA121" t="s">
        <v>438</v>
      </c>
      <c r="AB121">
        <v>1794039.9715909101</v>
      </c>
      <c r="AC121">
        <v>1794039.9715909101</v>
      </c>
      <c r="AD121">
        <v>1659994.0797162501</v>
      </c>
      <c r="AE121">
        <v>1558780.85591546</v>
      </c>
      <c r="AF121">
        <v>1501880.7688502001</v>
      </c>
      <c r="AG121">
        <v>1501485.7975568201</v>
      </c>
      <c r="AH121">
        <v>1169593.9558528501</v>
      </c>
    </row>
    <row r="122" spans="3:35" x14ac:dyDescent="0.25">
      <c r="D122" t="s">
        <v>1312</v>
      </c>
      <c r="E122">
        <v>1</v>
      </c>
      <c r="F122" t="s">
        <v>417</v>
      </c>
      <c r="G122" t="s">
        <v>461</v>
      </c>
      <c r="H122" t="s">
        <v>460</v>
      </c>
      <c r="I122" t="s">
        <v>462</v>
      </c>
      <c r="J122" t="s">
        <v>909</v>
      </c>
      <c r="K122">
        <v>5.1107008546201902</v>
      </c>
      <c r="U122" t="s">
        <v>1520</v>
      </c>
      <c r="V122">
        <v>1</v>
      </c>
      <c r="W122" t="s">
        <v>416</v>
      </c>
      <c r="X122" t="s">
        <v>440</v>
      </c>
      <c r="Y122" t="s">
        <v>1038</v>
      </c>
      <c r="Z122" t="s">
        <v>432</v>
      </c>
      <c r="AA122" t="s">
        <v>1365</v>
      </c>
      <c r="AB122">
        <v>1659994.0797162501</v>
      </c>
    </row>
    <row r="123" spans="3:35" x14ac:dyDescent="0.25">
      <c r="D123" t="s">
        <v>1313</v>
      </c>
      <c r="E123">
        <v>1</v>
      </c>
      <c r="F123" t="s">
        <v>417</v>
      </c>
      <c r="G123" t="s">
        <v>461</v>
      </c>
      <c r="H123" t="s">
        <v>460</v>
      </c>
      <c r="I123" t="s">
        <v>1188</v>
      </c>
      <c r="J123" t="s">
        <v>1264</v>
      </c>
      <c r="K123">
        <v>4.1157283081437201</v>
      </c>
      <c r="U123" t="s">
        <v>1521</v>
      </c>
      <c r="V123">
        <v>1</v>
      </c>
      <c r="W123" t="s">
        <v>416</v>
      </c>
      <c r="X123" t="s">
        <v>440</v>
      </c>
      <c r="Y123" t="s">
        <v>1038</v>
      </c>
      <c r="Z123" t="s">
        <v>432</v>
      </c>
      <c r="AA123" t="s">
        <v>1366</v>
      </c>
      <c r="AB123">
        <v>1558780.85591546</v>
      </c>
      <c r="AI123">
        <v>973872.61671132396</v>
      </c>
    </row>
    <row r="124" spans="3:35" x14ac:dyDescent="0.25">
      <c r="D124" t="s">
        <v>1314</v>
      </c>
      <c r="E124">
        <v>1</v>
      </c>
      <c r="F124" t="s">
        <v>417</v>
      </c>
      <c r="G124" t="s">
        <v>461</v>
      </c>
      <c r="H124" t="s">
        <v>460</v>
      </c>
      <c r="I124" t="s">
        <v>1188</v>
      </c>
      <c r="J124" t="s">
        <v>1265</v>
      </c>
      <c r="K124">
        <v>3.7365396427619002</v>
      </c>
      <c r="U124" t="s">
        <v>1522</v>
      </c>
      <c r="V124">
        <v>1</v>
      </c>
      <c r="W124" t="s">
        <v>416</v>
      </c>
      <c r="X124" t="s">
        <v>440</v>
      </c>
      <c r="Y124" t="s">
        <v>1038</v>
      </c>
      <c r="Z124" t="s">
        <v>432</v>
      </c>
      <c r="AA124" t="s">
        <v>1367</v>
      </c>
      <c r="AB124">
        <v>1501880.7688502001</v>
      </c>
    </row>
    <row r="125" spans="3:35" x14ac:dyDescent="0.25">
      <c r="D125" t="s">
        <v>1315</v>
      </c>
      <c r="E125">
        <v>1</v>
      </c>
      <c r="F125" t="s">
        <v>417</v>
      </c>
      <c r="G125" t="s">
        <v>461</v>
      </c>
      <c r="H125" t="s">
        <v>460</v>
      </c>
      <c r="I125" t="s">
        <v>1188</v>
      </c>
      <c r="J125" t="s">
        <v>1266</v>
      </c>
      <c r="K125">
        <v>3.34030665552085</v>
      </c>
      <c r="U125" t="s">
        <v>1523</v>
      </c>
      <c r="V125">
        <v>1</v>
      </c>
      <c r="W125" t="s">
        <v>416</v>
      </c>
      <c r="X125" t="s">
        <v>440</v>
      </c>
      <c r="Y125" t="s">
        <v>1038</v>
      </c>
      <c r="Z125" t="s">
        <v>432</v>
      </c>
      <c r="AA125" t="s">
        <v>1368</v>
      </c>
      <c r="AB125">
        <v>1501485.7975568201</v>
      </c>
    </row>
    <row r="126" spans="3:35" x14ac:dyDescent="0.25">
      <c r="D126" t="s">
        <v>1316</v>
      </c>
      <c r="E126">
        <v>1</v>
      </c>
      <c r="F126" t="s">
        <v>417</v>
      </c>
      <c r="G126" t="s">
        <v>461</v>
      </c>
      <c r="H126" t="s">
        <v>460</v>
      </c>
      <c r="I126" t="s">
        <v>1188</v>
      </c>
      <c r="J126" t="s">
        <v>1267</v>
      </c>
      <c r="K126">
        <v>3.9483963043530701</v>
      </c>
      <c r="U126" t="s">
        <v>1524</v>
      </c>
      <c r="V126">
        <v>1</v>
      </c>
      <c r="W126" t="s">
        <v>416</v>
      </c>
      <c r="X126" t="s">
        <v>440</v>
      </c>
      <c r="Y126" t="s">
        <v>1038</v>
      </c>
      <c r="Z126" t="s">
        <v>432</v>
      </c>
      <c r="AA126" t="s">
        <v>1369</v>
      </c>
      <c r="AB126">
        <v>1169593.9558528501</v>
      </c>
    </row>
    <row r="127" spans="3:35" x14ac:dyDescent="0.25">
      <c r="D127" t="s">
        <v>1317</v>
      </c>
      <c r="E127">
        <v>1</v>
      </c>
      <c r="F127" t="s">
        <v>417</v>
      </c>
      <c r="G127" t="s">
        <v>461</v>
      </c>
      <c r="H127" t="s">
        <v>460</v>
      </c>
      <c r="I127" t="s">
        <v>1188</v>
      </c>
      <c r="J127" t="s">
        <v>1268</v>
      </c>
      <c r="K127">
        <v>3.0940422384194401</v>
      </c>
      <c r="U127" t="s">
        <v>1525</v>
      </c>
      <c r="V127">
        <v>1</v>
      </c>
      <c r="W127" t="s">
        <v>416</v>
      </c>
      <c r="X127" t="s">
        <v>440</v>
      </c>
      <c r="Y127" t="s">
        <v>1038</v>
      </c>
      <c r="Z127" t="s">
        <v>432</v>
      </c>
      <c r="AA127" t="s">
        <v>1370</v>
      </c>
      <c r="AB127">
        <v>973872.61671132396</v>
      </c>
    </row>
    <row r="128" spans="3:35" x14ac:dyDescent="0.25">
      <c r="D128" t="s">
        <v>1318</v>
      </c>
      <c r="E128">
        <v>1</v>
      </c>
      <c r="F128" t="s">
        <v>417</v>
      </c>
      <c r="G128" t="s">
        <v>461</v>
      </c>
      <c r="H128" t="s">
        <v>460</v>
      </c>
      <c r="I128" t="s">
        <v>1188</v>
      </c>
      <c r="J128" t="s">
        <v>1252</v>
      </c>
      <c r="K128">
        <v>2.7016903866997199</v>
      </c>
    </row>
    <row r="130" spans="3:11" x14ac:dyDescent="0.25">
      <c r="C130" t="s">
        <v>1894</v>
      </c>
      <c r="D130" t="s">
        <v>840</v>
      </c>
      <c r="E130" t="s">
        <v>423</v>
      </c>
      <c r="F130" t="s">
        <v>416</v>
      </c>
      <c r="G130" t="s">
        <v>415</v>
      </c>
      <c r="H130" t="s">
        <v>422</v>
      </c>
      <c r="I130" t="s">
        <v>418</v>
      </c>
      <c r="J130" t="s">
        <v>439</v>
      </c>
      <c r="K130" t="s">
        <v>1147</v>
      </c>
    </row>
    <row r="131" spans="3:11" x14ac:dyDescent="0.25">
      <c r="D131" t="s">
        <v>1319</v>
      </c>
      <c r="E131">
        <v>1</v>
      </c>
      <c r="F131" t="s">
        <v>417</v>
      </c>
      <c r="G131" t="s">
        <v>1059</v>
      </c>
      <c r="H131" t="s">
        <v>1060</v>
      </c>
      <c r="I131" t="s">
        <v>459</v>
      </c>
      <c r="J131" t="s">
        <v>909</v>
      </c>
      <c r="K131">
        <v>0.87908311429228303</v>
      </c>
    </row>
    <row r="132" spans="3:11" x14ac:dyDescent="0.25">
      <c r="D132" t="s">
        <v>1320</v>
      </c>
      <c r="E132">
        <v>1</v>
      </c>
      <c r="F132" t="s">
        <v>417</v>
      </c>
      <c r="G132" t="s">
        <v>1059</v>
      </c>
      <c r="H132" t="s">
        <v>1060</v>
      </c>
      <c r="I132" t="s">
        <v>432</v>
      </c>
      <c r="J132" t="s">
        <v>1264</v>
      </c>
      <c r="K132">
        <v>0.87471858146888504</v>
      </c>
    </row>
    <row r="133" spans="3:11" x14ac:dyDescent="0.25">
      <c r="D133" t="s">
        <v>1321</v>
      </c>
      <c r="E133">
        <v>1</v>
      </c>
      <c r="F133" t="s">
        <v>417</v>
      </c>
      <c r="G133" t="s">
        <v>1059</v>
      </c>
      <c r="H133" t="s">
        <v>1060</v>
      </c>
      <c r="I133" t="s">
        <v>432</v>
      </c>
      <c r="J133" t="s">
        <v>1265</v>
      </c>
      <c r="K133">
        <v>0.85837014289721902</v>
      </c>
    </row>
    <row r="134" spans="3:11" x14ac:dyDescent="0.25">
      <c r="D134" t="s">
        <v>1322</v>
      </c>
      <c r="E134">
        <v>1</v>
      </c>
      <c r="F134" t="s">
        <v>417</v>
      </c>
      <c r="G134" t="s">
        <v>1059</v>
      </c>
      <c r="H134" t="s">
        <v>1060</v>
      </c>
      <c r="I134" t="s">
        <v>432</v>
      </c>
      <c r="J134" t="s">
        <v>1266</v>
      </c>
      <c r="K134">
        <v>0.84910379541478598</v>
      </c>
    </row>
    <row r="135" spans="3:11" x14ac:dyDescent="0.25">
      <c r="D135" t="s">
        <v>1323</v>
      </c>
      <c r="E135">
        <v>1</v>
      </c>
      <c r="F135" t="s">
        <v>417</v>
      </c>
      <c r="G135" t="s">
        <v>1059</v>
      </c>
      <c r="H135" t="s">
        <v>1060</v>
      </c>
      <c r="I135" t="s">
        <v>432</v>
      </c>
      <c r="J135" t="s">
        <v>1267</v>
      </c>
      <c r="K135">
        <v>0.87128901115810398</v>
      </c>
    </row>
    <row r="136" spans="3:11" x14ac:dyDescent="0.25">
      <c r="D136" t="s">
        <v>1324</v>
      </c>
      <c r="E136">
        <v>1</v>
      </c>
      <c r="F136" t="s">
        <v>417</v>
      </c>
      <c r="G136" t="s">
        <v>1059</v>
      </c>
      <c r="H136" t="s">
        <v>1060</v>
      </c>
      <c r="I136" t="s">
        <v>432</v>
      </c>
      <c r="J136" t="s">
        <v>1268</v>
      </c>
      <c r="K136">
        <v>0.71062771362907995</v>
      </c>
    </row>
    <row r="137" spans="3:11" x14ac:dyDescent="0.25">
      <c r="D137" t="s">
        <v>1325</v>
      </c>
      <c r="E137">
        <v>1</v>
      </c>
      <c r="F137" t="s">
        <v>417</v>
      </c>
      <c r="G137" t="s">
        <v>1059</v>
      </c>
      <c r="H137" t="s">
        <v>1060</v>
      </c>
      <c r="I137" t="s">
        <v>432</v>
      </c>
      <c r="J137" t="s">
        <v>1252</v>
      </c>
      <c r="K137">
        <v>0.52061478830121899</v>
      </c>
    </row>
    <row r="139" spans="3:11" x14ac:dyDescent="0.25">
      <c r="C139" t="s">
        <v>1895</v>
      </c>
      <c r="D139" t="s">
        <v>840</v>
      </c>
      <c r="E139" t="s">
        <v>423</v>
      </c>
      <c r="F139" t="s">
        <v>416</v>
      </c>
      <c r="G139" t="s">
        <v>415</v>
      </c>
      <c r="H139" t="s">
        <v>422</v>
      </c>
      <c r="I139" t="s">
        <v>418</v>
      </c>
      <c r="J139" t="s">
        <v>439</v>
      </c>
      <c r="K139" t="s">
        <v>1147</v>
      </c>
    </row>
    <row r="140" spans="3:11" x14ac:dyDescent="0.25">
      <c r="D140" t="s">
        <v>1326</v>
      </c>
      <c r="E140">
        <v>1</v>
      </c>
      <c r="F140" t="s">
        <v>417</v>
      </c>
      <c r="G140" t="s">
        <v>499</v>
      </c>
      <c r="H140" t="s">
        <v>500</v>
      </c>
      <c r="I140" t="s">
        <v>432</v>
      </c>
      <c r="J140" t="s">
        <v>909</v>
      </c>
      <c r="K140" s="70">
        <v>7.4935102471300203E-5</v>
      </c>
    </row>
    <row r="141" spans="3:11" x14ac:dyDescent="0.25">
      <c r="D141" t="s">
        <v>1327</v>
      </c>
      <c r="E141">
        <v>1</v>
      </c>
      <c r="F141" t="s">
        <v>417</v>
      </c>
      <c r="G141" t="s">
        <v>499</v>
      </c>
      <c r="H141" t="s">
        <v>500</v>
      </c>
      <c r="I141" t="s">
        <v>432</v>
      </c>
      <c r="J141" t="s">
        <v>1264</v>
      </c>
      <c r="K141">
        <v>1.6544022713102499E-4</v>
      </c>
    </row>
    <row r="142" spans="3:11" x14ac:dyDescent="0.25">
      <c r="D142" t="s">
        <v>1328</v>
      </c>
      <c r="E142">
        <v>1</v>
      </c>
      <c r="F142" t="s">
        <v>417</v>
      </c>
      <c r="G142" t="s">
        <v>499</v>
      </c>
      <c r="H142" t="s">
        <v>500</v>
      </c>
      <c r="I142" t="s">
        <v>432</v>
      </c>
      <c r="J142" t="s">
        <v>1265</v>
      </c>
      <c r="K142">
        <v>1.32550893784773E-4</v>
      </c>
    </row>
    <row r="143" spans="3:11" x14ac:dyDescent="0.25">
      <c r="D143" t="s">
        <v>1329</v>
      </c>
      <c r="E143">
        <v>1</v>
      </c>
      <c r="F143" t="s">
        <v>417</v>
      </c>
      <c r="G143" t="s">
        <v>499</v>
      </c>
      <c r="H143" t="s">
        <v>500</v>
      </c>
      <c r="I143" t="s">
        <v>432</v>
      </c>
      <c r="J143" t="s">
        <v>1266</v>
      </c>
      <c r="K143" s="70">
        <v>9.8855266703975705E-5</v>
      </c>
    </row>
    <row r="144" spans="3:11" x14ac:dyDescent="0.25">
      <c r="D144" t="s">
        <v>1330</v>
      </c>
      <c r="E144">
        <v>1</v>
      </c>
      <c r="F144" t="s">
        <v>417</v>
      </c>
      <c r="G144" t="s">
        <v>499</v>
      </c>
      <c r="H144" t="s">
        <v>500</v>
      </c>
      <c r="I144" t="s">
        <v>432</v>
      </c>
      <c r="J144" t="s">
        <v>1267</v>
      </c>
      <c r="K144">
        <v>1.5471523742508801E-4</v>
      </c>
    </row>
    <row r="145" spans="3:16" x14ac:dyDescent="0.25">
      <c r="D145" t="s">
        <v>1331</v>
      </c>
      <c r="E145">
        <v>1</v>
      </c>
      <c r="F145" t="s">
        <v>417</v>
      </c>
      <c r="G145" t="s">
        <v>499</v>
      </c>
      <c r="H145" t="s">
        <v>500</v>
      </c>
      <c r="I145" t="s">
        <v>432</v>
      </c>
      <c r="J145" t="s">
        <v>1268</v>
      </c>
      <c r="K145" s="70">
        <v>6.9053611556827102E-5</v>
      </c>
    </row>
    <row r="146" spans="3:16" x14ac:dyDescent="0.25">
      <c r="D146" t="s">
        <v>1332</v>
      </c>
      <c r="E146">
        <v>1</v>
      </c>
      <c r="F146" t="s">
        <v>417</v>
      </c>
      <c r="G146" t="s">
        <v>499</v>
      </c>
      <c r="H146" t="s">
        <v>500</v>
      </c>
      <c r="I146" t="s">
        <v>432</v>
      </c>
      <c r="J146" t="s">
        <v>1252</v>
      </c>
      <c r="K146" s="70">
        <v>4.4703290102273003E-5</v>
      </c>
    </row>
    <row r="148" spans="3:16" x14ac:dyDescent="0.25">
      <c r="D148" t="s">
        <v>840</v>
      </c>
      <c r="E148" t="s">
        <v>423</v>
      </c>
      <c r="F148" t="s">
        <v>416</v>
      </c>
      <c r="G148" t="s">
        <v>415</v>
      </c>
      <c r="H148" t="s">
        <v>422</v>
      </c>
      <c r="I148" t="s">
        <v>418</v>
      </c>
      <c r="J148" t="s">
        <v>439</v>
      </c>
      <c r="K148" t="s">
        <v>1147</v>
      </c>
    </row>
    <row r="149" spans="3:16" x14ac:dyDescent="0.25">
      <c r="D149" t="s">
        <v>1451</v>
      </c>
      <c r="E149">
        <v>1</v>
      </c>
      <c r="F149" t="s">
        <v>417</v>
      </c>
      <c r="G149" t="s">
        <v>1449</v>
      </c>
      <c r="H149" t="s">
        <v>1448</v>
      </c>
      <c r="I149" t="s">
        <v>432</v>
      </c>
      <c r="J149" t="s">
        <v>909</v>
      </c>
      <c r="K149">
        <v>-9.8929249642282294E-3</v>
      </c>
    </row>
    <row r="150" spans="3:16" x14ac:dyDescent="0.25">
      <c r="D150" t="s">
        <v>1452</v>
      </c>
      <c r="E150">
        <v>1</v>
      </c>
      <c r="F150" t="s">
        <v>417</v>
      </c>
      <c r="G150" t="s">
        <v>1453</v>
      </c>
      <c r="H150" t="s">
        <v>1454</v>
      </c>
      <c r="I150" t="s">
        <v>432</v>
      </c>
      <c r="J150" t="s">
        <v>909</v>
      </c>
      <c r="K150">
        <v>0.39372435188934102</v>
      </c>
    </row>
    <row r="151" spans="3:16" x14ac:dyDescent="0.25">
      <c r="D151" t="s">
        <v>1455</v>
      </c>
      <c r="E151">
        <v>1</v>
      </c>
      <c r="F151" t="s">
        <v>417</v>
      </c>
      <c r="G151" t="s">
        <v>1456</v>
      </c>
      <c r="H151" t="s">
        <v>1450</v>
      </c>
      <c r="I151" t="s">
        <v>419</v>
      </c>
      <c r="J151" t="s">
        <v>909</v>
      </c>
      <c r="K151">
        <v>1.7927209307690199</v>
      </c>
    </row>
    <row r="152" spans="3:16" x14ac:dyDescent="0.25">
      <c r="D152" t="s">
        <v>1457</v>
      </c>
      <c r="E152">
        <v>1</v>
      </c>
      <c r="F152" t="s">
        <v>417</v>
      </c>
      <c r="G152" t="s">
        <v>532</v>
      </c>
      <c r="H152" t="s">
        <v>533</v>
      </c>
      <c r="I152" t="s">
        <v>432</v>
      </c>
      <c r="J152" t="s">
        <v>909</v>
      </c>
      <c r="K152">
        <v>-1.1427622344466801E-2</v>
      </c>
    </row>
    <row r="155" spans="3:16" x14ac:dyDescent="0.25">
      <c r="C155" t="s">
        <v>840</v>
      </c>
      <c r="D155" t="s">
        <v>423</v>
      </c>
      <c r="E155" t="s">
        <v>416</v>
      </c>
      <c r="F155" t="s">
        <v>415</v>
      </c>
      <c r="G155" t="s">
        <v>422</v>
      </c>
      <c r="H155" t="s">
        <v>418</v>
      </c>
      <c r="I155" t="s">
        <v>439</v>
      </c>
      <c r="J155" t="s">
        <v>1147</v>
      </c>
      <c r="K155" t="s">
        <v>1148</v>
      </c>
      <c r="L155" t="s">
        <v>1149</v>
      </c>
      <c r="M155" t="s">
        <v>1150</v>
      </c>
      <c r="N155" t="s">
        <v>1151</v>
      </c>
      <c r="O155" t="s">
        <v>1152</v>
      </c>
      <c r="P155" t="s">
        <v>1153</v>
      </c>
    </row>
    <row r="156" spans="3:16" x14ac:dyDescent="0.25">
      <c r="C156" t="s">
        <v>1899</v>
      </c>
      <c r="D156">
        <v>1</v>
      </c>
      <c r="E156" t="s">
        <v>433</v>
      </c>
      <c r="F156" t="s">
        <v>431</v>
      </c>
      <c r="G156" t="s">
        <v>1263</v>
      </c>
      <c r="H156" t="s">
        <v>432</v>
      </c>
      <c r="I156" t="s">
        <v>1171</v>
      </c>
      <c r="J156">
        <v>3.27453801360841E-2</v>
      </c>
      <c r="K156">
        <v>0.34407472443674503</v>
      </c>
      <c r="L156">
        <v>0.47892328443129301</v>
      </c>
      <c r="M156" s="70">
        <v>1.9523738011915399E-6</v>
      </c>
      <c r="N156" s="70">
        <v>3.8271817448310097E-9</v>
      </c>
      <c r="O156" s="70">
        <v>3.2129839410024002E-9</v>
      </c>
      <c r="P156">
        <v>1.62625538667014E-4</v>
      </c>
    </row>
    <row r="157" spans="3:16" x14ac:dyDescent="0.25">
      <c r="C157" t="s">
        <v>1284</v>
      </c>
      <c r="D157">
        <v>1</v>
      </c>
      <c r="E157" t="s">
        <v>433</v>
      </c>
      <c r="F157" t="s">
        <v>431</v>
      </c>
      <c r="G157" t="s">
        <v>1192</v>
      </c>
      <c r="H157" t="s">
        <v>432</v>
      </c>
      <c r="I157" t="s">
        <v>1171</v>
      </c>
      <c r="J157">
        <v>4.8410119656207597E-2</v>
      </c>
      <c r="K157">
        <v>0.12947677602759899</v>
      </c>
      <c r="L157">
        <v>0.108074226069935</v>
      </c>
      <c r="M157" s="70">
        <v>4.1465919846752199E-7</v>
      </c>
      <c r="N157" s="70">
        <v>4.2079498394363296E-9</v>
      </c>
      <c r="O157" s="70">
        <v>1.8511661733594601E-9</v>
      </c>
      <c r="P157" s="70">
        <v>9.9278976069397799E-5</v>
      </c>
    </row>
    <row r="158" spans="3:16" x14ac:dyDescent="0.25">
      <c r="C158" t="s">
        <v>1900</v>
      </c>
      <c r="D158">
        <v>1</v>
      </c>
      <c r="E158" t="s">
        <v>433</v>
      </c>
      <c r="F158" t="s">
        <v>431</v>
      </c>
      <c r="G158" t="s">
        <v>1255</v>
      </c>
      <c r="H158" t="s">
        <v>432</v>
      </c>
      <c r="I158" t="s">
        <v>1171</v>
      </c>
      <c r="J158">
        <v>1.6584060573758899E-2</v>
      </c>
      <c r="K158">
        <v>9.6463463786685605E-2</v>
      </c>
      <c r="L158">
        <v>6.5668029471418199E-2</v>
      </c>
      <c r="M158" s="70">
        <v>2.8962454875991598E-7</v>
      </c>
      <c r="N158" s="70">
        <v>9.6060142071269395E-10</v>
      </c>
      <c r="O158" s="70">
        <v>1.90801346013669E-9</v>
      </c>
      <c r="P158" s="70">
        <v>5.5415855490188398E-5</v>
      </c>
    </row>
    <row r="159" spans="3:16" x14ac:dyDescent="0.25">
      <c r="C159" t="s">
        <v>1901</v>
      </c>
      <c r="D159">
        <v>1</v>
      </c>
      <c r="E159" t="s">
        <v>433</v>
      </c>
      <c r="F159" t="s">
        <v>431</v>
      </c>
      <c r="G159" t="s">
        <v>1261</v>
      </c>
      <c r="H159" t="s">
        <v>432</v>
      </c>
      <c r="I159" t="s">
        <v>1171</v>
      </c>
      <c r="J159">
        <v>2.61610425922475E-2</v>
      </c>
      <c r="K159">
        <v>0.175472262579907</v>
      </c>
      <c r="L159">
        <v>0.205739089411488</v>
      </c>
      <c r="M159" s="70">
        <v>7.8747724817301996E-7</v>
      </c>
      <c r="N159" s="70">
        <v>2.1586180698443801E-9</v>
      </c>
      <c r="O159" s="70">
        <v>2.0969822592612699E-9</v>
      </c>
      <c r="P159" s="70">
        <v>9.4610540903469602E-5</v>
      </c>
    </row>
    <row r="160" spans="3:16" x14ac:dyDescent="0.25">
      <c r="C160" t="s">
        <v>1902</v>
      </c>
      <c r="D160">
        <v>1</v>
      </c>
      <c r="E160" t="s">
        <v>433</v>
      </c>
      <c r="F160" t="s">
        <v>431</v>
      </c>
      <c r="G160" t="s">
        <v>1259</v>
      </c>
      <c r="H160" t="s">
        <v>432</v>
      </c>
      <c r="I160" t="s">
        <v>1171</v>
      </c>
      <c r="J160">
        <v>8.4488561457447903E-2</v>
      </c>
      <c r="K160">
        <v>0.17356514553246399</v>
      </c>
      <c r="L160">
        <v>0.14883166031706099</v>
      </c>
      <c r="M160" s="70">
        <v>6.2948690730927101E-7</v>
      </c>
      <c r="N160" s="70">
        <v>7.8523982972199793E-9</v>
      </c>
      <c r="O160" s="70">
        <v>1.56909730140862E-9</v>
      </c>
      <c r="P160">
        <v>1.4335830581452299E-4</v>
      </c>
    </row>
    <row r="161" spans="1:22" x14ac:dyDescent="0.25">
      <c r="C161" t="s">
        <v>1903</v>
      </c>
      <c r="D161">
        <v>1</v>
      </c>
      <c r="E161" t="s">
        <v>433</v>
      </c>
      <c r="F161" t="s">
        <v>431</v>
      </c>
      <c r="G161" t="s">
        <v>1262</v>
      </c>
      <c r="H161" t="s">
        <v>432</v>
      </c>
      <c r="I161" t="s">
        <v>1171</v>
      </c>
      <c r="J161">
        <v>3.0636019413625301E-2</v>
      </c>
      <c r="K161">
        <v>0.25469388753914801</v>
      </c>
      <c r="L161">
        <v>0.33715609034761002</v>
      </c>
      <c r="M161" s="70">
        <v>1.35739227207592E-6</v>
      </c>
      <c r="N161" s="70">
        <v>3.0890670413404499E-9</v>
      </c>
      <c r="O161" s="70">
        <v>2.0931433689984402E-9</v>
      </c>
      <c r="P161">
        <v>1.2227940269400701E-4</v>
      </c>
    </row>
    <row r="162" spans="1:22" x14ac:dyDescent="0.25">
      <c r="C162" t="s">
        <v>1904</v>
      </c>
      <c r="D162">
        <v>1</v>
      </c>
      <c r="E162" t="s">
        <v>433</v>
      </c>
      <c r="F162" t="s">
        <v>431</v>
      </c>
      <c r="G162" t="s">
        <v>1260</v>
      </c>
      <c r="H162" t="s">
        <v>432</v>
      </c>
      <c r="I162" t="s">
        <v>1171</v>
      </c>
      <c r="J162">
        <v>0.112878989498265</v>
      </c>
      <c r="K162">
        <v>0.223402462265444</v>
      </c>
      <c r="L162">
        <v>0.203300959165468</v>
      </c>
      <c r="M162" s="70">
        <v>9.1851755385847405E-7</v>
      </c>
      <c r="N162" s="70">
        <v>1.07967966429707E-8</v>
      </c>
      <c r="O162" s="70">
        <v>1.36338082997789E-9</v>
      </c>
      <c r="P162">
        <v>1.7943134706591599E-4</v>
      </c>
    </row>
    <row r="163" spans="1:22" x14ac:dyDescent="0.25">
      <c r="C163" t="s">
        <v>1285</v>
      </c>
      <c r="D163">
        <v>1</v>
      </c>
      <c r="E163" t="s">
        <v>433</v>
      </c>
      <c r="F163" t="s">
        <v>505</v>
      </c>
      <c r="G163" t="s">
        <v>506</v>
      </c>
      <c r="H163" t="s">
        <v>432</v>
      </c>
      <c r="I163" t="s">
        <v>909</v>
      </c>
      <c r="J163">
        <v>3.32840433370492E-2</v>
      </c>
      <c r="K163">
        <v>0.65070767492604698</v>
      </c>
      <c r="L163">
        <v>1.16561510883971</v>
      </c>
      <c r="M163" s="70">
        <v>4.1870801841296598E-6</v>
      </c>
      <c r="N163" s="70">
        <v>1.28761248079914E-9</v>
      </c>
      <c r="O163" s="70">
        <v>2.8190635327070402E-9</v>
      </c>
      <c r="P163">
        <v>1.6278018477426201E-4</v>
      </c>
    </row>
    <row r="164" spans="1:22" x14ac:dyDescent="0.25">
      <c r="C164" t="s">
        <v>1286</v>
      </c>
      <c r="D164">
        <v>1</v>
      </c>
      <c r="E164" t="s">
        <v>433</v>
      </c>
      <c r="F164" t="s">
        <v>431</v>
      </c>
      <c r="G164" t="s">
        <v>1287</v>
      </c>
      <c r="H164" t="s">
        <v>432</v>
      </c>
      <c r="I164" t="s">
        <v>909</v>
      </c>
      <c r="J164">
        <v>8.2319679057797999E-3</v>
      </c>
      <c r="K164">
        <v>6.6735738075033899E-2</v>
      </c>
      <c r="L164">
        <v>0.22323660343900001</v>
      </c>
      <c r="M164" s="70">
        <v>6.0785076071021101E-8</v>
      </c>
      <c r="N164" s="70">
        <v>1.6895089333304299E-10</v>
      </c>
      <c r="O164" s="70">
        <v>1.5264665944023201E-9</v>
      </c>
      <c r="P164" s="70">
        <v>4.9733958273417797E-5</v>
      </c>
    </row>
    <row r="165" spans="1:22" x14ac:dyDescent="0.25">
      <c r="C165" t="s">
        <v>1290</v>
      </c>
      <c r="D165">
        <v>1</v>
      </c>
      <c r="E165" t="s">
        <v>433</v>
      </c>
      <c r="F165" t="s">
        <v>431</v>
      </c>
      <c r="G165" t="s">
        <v>842</v>
      </c>
      <c r="H165" t="s">
        <v>432</v>
      </c>
      <c r="I165" t="s">
        <v>909</v>
      </c>
      <c r="J165">
        <v>3.7453943378596101E-3</v>
      </c>
      <c r="K165">
        <v>4.6869296392422197E-2</v>
      </c>
      <c r="L165">
        <v>-6.2492623809148797E-3</v>
      </c>
      <c r="M165" s="70">
        <v>1.7071395503342101E-8</v>
      </c>
      <c r="N165" s="70">
        <v>2.4235865568658802E-11</v>
      </c>
      <c r="O165" s="70">
        <v>4.7526419609627399E-10</v>
      </c>
      <c r="P165" s="70">
        <v>1.7413829656873399E-5</v>
      </c>
    </row>
    <row r="166" spans="1:22" x14ac:dyDescent="0.25">
      <c r="C166" t="s">
        <v>1288</v>
      </c>
      <c r="D166">
        <v>1</v>
      </c>
      <c r="E166" t="s">
        <v>433</v>
      </c>
      <c r="F166" t="s">
        <v>480</v>
      </c>
      <c r="G166" t="s">
        <v>1034</v>
      </c>
      <c r="H166" t="s">
        <v>432</v>
      </c>
      <c r="I166" t="s">
        <v>909</v>
      </c>
      <c r="J166">
        <v>2.33167985403466E-2</v>
      </c>
      <c r="K166">
        <v>0.27980726115235099</v>
      </c>
      <c r="L166">
        <v>1.04428337176611</v>
      </c>
      <c r="M166" s="70">
        <v>6.0288734288702605E-7</v>
      </c>
      <c r="N166" s="70">
        <v>8.8880277983063399E-10</v>
      </c>
      <c r="O166" s="70">
        <v>1.7781374769359199E-9</v>
      </c>
      <c r="P166" s="70">
        <v>8.7927918688659895E-5</v>
      </c>
    </row>
    <row r="167" spans="1:22" x14ac:dyDescent="0.25">
      <c r="C167" t="s">
        <v>1289</v>
      </c>
      <c r="D167">
        <v>1</v>
      </c>
      <c r="E167" t="s">
        <v>433</v>
      </c>
      <c r="F167" t="s">
        <v>431</v>
      </c>
      <c r="G167" t="s">
        <v>844</v>
      </c>
      <c r="H167" t="s">
        <v>432</v>
      </c>
      <c r="I167" t="s">
        <v>909</v>
      </c>
      <c r="J167">
        <v>2.0408812202523299E-2</v>
      </c>
      <c r="K167">
        <v>0.113750924009374</v>
      </c>
      <c r="L167">
        <v>1.02409405909372</v>
      </c>
      <c r="M167" s="70">
        <v>1.9824184777474399E-7</v>
      </c>
      <c r="N167" s="70">
        <v>4.9059580255368703E-10</v>
      </c>
      <c r="O167" s="70">
        <v>1.6113011724849801E-9</v>
      </c>
      <c r="P167" s="70">
        <v>7.5665744538927095E-5</v>
      </c>
    </row>
    <row r="170" spans="1:22" x14ac:dyDescent="0.25">
      <c r="B170" s="9" t="s">
        <v>2028</v>
      </c>
    </row>
    <row r="171" spans="1:22" x14ac:dyDescent="0.25">
      <c r="Q171" t="s">
        <v>1946</v>
      </c>
    </row>
    <row r="172" spans="1:22" x14ac:dyDescent="0.25">
      <c r="Q172" t="str">
        <f t="shared" ref="Q172:V172" si="41">J173</f>
        <v>EF v3.1 | climate change | global warming potential (GWP100)</v>
      </c>
      <c r="R172" t="str">
        <f t="shared" si="41"/>
        <v>EF v3.1 | material resources: metals/minerals | abiotic depletion potential (ADP): elements (ultimate reserves)</v>
      </c>
      <c r="S172" t="str">
        <f t="shared" si="41"/>
        <v>EF v3.1 | acidification | accumulated exceedance (AE)</v>
      </c>
      <c r="T172" t="str">
        <f t="shared" si="41"/>
        <v>EF v3.1 | ecotoxicity: freshwater | comparative toxic unit for ecosystems (CTUe)</v>
      </c>
      <c r="U172" t="str">
        <f t="shared" si="41"/>
        <v>EF v3.1 | particulate matter formation | impact on human health</v>
      </c>
      <c r="V172" t="str">
        <f t="shared" si="41"/>
        <v>EF v3.1 | photochemical oxidant formation: human health | tropospheric ozone concentration increase</v>
      </c>
    </row>
    <row r="173" spans="1:22" x14ac:dyDescent="0.25">
      <c r="C173" t="s">
        <v>840</v>
      </c>
      <c r="D173" t="s">
        <v>423</v>
      </c>
      <c r="E173" t="s">
        <v>416</v>
      </c>
      <c r="F173" t="s">
        <v>415</v>
      </c>
      <c r="G173" t="s">
        <v>422</v>
      </c>
      <c r="H173" t="s">
        <v>418</v>
      </c>
      <c r="I173" t="s">
        <v>439</v>
      </c>
      <c r="J173" t="s">
        <v>1147</v>
      </c>
      <c r="K173" t="s">
        <v>1150</v>
      </c>
      <c r="L173" t="s">
        <v>1934</v>
      </c>
      <c r="M173" t="s">
        <v>1148</v>
      </c>
      <c r="N173" t="s">
        <v>1152</v>
      </c>
      <c r="O173" t="s">
        <v>1153</v>
      </c>
      <c r="Q173" t="s">
        <v>1947</v>
      </c>
      <c r="R173" t="s">
        <v>1948</v>
      </c>
      <c r="S173" t="s">
        <v>1949</v>
      </c>
      <c r="T173" t="s">
        <v>1950</v>
      </c>
      <c r="U173" t="s">
        <v>1891</v>
      </c>
      <c r="V173" t="s">
        <v>1892</v>
      </c>
    </row>
    <row r="174" spans="1:22" x14ac:dyDescent="0.25">
      <c r="B174" t="s">
        <v>1566</v>
      </c>
      <c r="C174" t="s">
        <v>1935</v>
      </c>
      <c r="D174">
        <v>1</v>
      </c>
      <c r="E174" t="s">
        <v>433</v>
      </c>
      <c r="F174" t="s">
        <v>431</v>
      </c>
      <c r="G174" t="s">
        <v>441</v>
      </c>
      <c r="H174" t="s">
        <v>432</v>
      </c>
      <c r="I174" t="s">
        <v>1370</v>
      </c>
      <c r="J174">
        <f t="shared" ref="J174:O174" si="42">J184</f>
        <v>9.4193563212036698E-3</v>
      </c>
      <c r="K174">
        <f t="shared" si="42"/>
        <v>4.0014770939963601E-7</v>
      </c>
      <c r="L174">
        <f t="shared" si="42"/>
        <v>4.9697680101818397E-5</v>
      </c>
      <c r="M174">
        <f t="shared" si="42"/>
        <v>0.95051004782503001</v>
      </c>
      <c r="N174">
        <f t="shared" si="42"/>
        <v>9.5487156488280099E-10</v>
      </c>
      <c r="O174">
        <f t="shared" si="42"/>
        <v>3.3200667626044598E-5</v>
      </c>
      <c r="P174" t="str">
        <f>B174</f>
        <v>AGS</v>
      </c>
      <c r="Q174" s="52">
        <f t="shared" ref="Q174:Q180" si="43">J174/MAX($J$174:$J$180)</f>
        <v>2.8865147892155482E-2</v>
      </c>
      <c r="R174" s="52">
        <f t="shared" ref="R174:R180" si="44">K174/MAX($K$174:$K$180)</f>
        <v>3.1699357331498736E-2</v>
      </c>
      <c r="S174" s="52">
        <f t="shared" ref="S174:S180" si="45">L174/MAX($L$174:$L$180)</f>
        <v>5.3158394909694193E-2</v>
      </c>
      <c r="T174" s="52">
        <f t="shared" ref="T174:T180" si="46">M174/MAX($M$174:$M$180)</f>
        <v>0.5339295695275732</v>
      </c>
      <c r="U174" s="52">
        <f t="shared" ref="U174:U180" si="47">N174/MAX($N$174:$N$180)</f>
        <v>0.24483288447687598</v>
      </c>
      <c r="V174" s="52">
        <f t="shared" ref="V174:V180" si="48">O174/MAX($O$174:$O$180)</f>
        <v>0.13658660193083338</v>
      </c>
    </row>
    <row r="175" spans="1:22" x14ac:dyDescent="0.25">
      <c r="B175" t="s">
        <v>1944</v>
      </c>
      <c r="C175" t="s">
        <v>1940</v>
      </c>
      <c r="D175">
        <v>1</v>
      </c>
      <c r="E175" t="s">
        <v>433</v>
      </c>
      <c r="F175" t="s">
        <v>431</v>
      </c>
      <c r="G175" t="s">
        <v>1941</v>
      </c>
      <c r="H175" t="s">
        <v>432</v>
      </c>
      <c r="I175" t="s">
        <v>1252</v>
      </c>
      <c r="J175">
        <f t="shared" ref="J175:O175" si="49">J186</f>
        <v>1.1420033416564701E-2</v>
      </c>
      <c r="K175">
        <f t="shared" si="49"/>
        <v>2.6082250821574402E-7</v>
      </c>
      <c r="L175">
        <f t="shared" si="49"/>
        <v>6.0034860419730102E-5</v>
      </c>
      <c r="M175">
        <f t="shared" si="49"/>
        <v>0.833317033868051</v>
      </c>
      <c r="N175">
        <f t="shared" si="49"/>
        <v>1.21437422453193E-9</v>
      </c>
      <c r="O175">
        <f t="shared" si="49"/>
        <v>5.2240750836006597E-5</v>
      </c>
      <c r="P175" t="str">
        <f t="shared" ref="P175:P179" si="50">B175</f>
        <v>EGS</v>
      </c>
      <c r="Q175" s="52">
        <f t="shared" si="43"/>
        <v>3.4996123117293221E-2</v>
      </c>
      <c r="R175" s="52">
        <f t="shared" si="44"/>
        <v>2.0662134741277004E-2</v>
      </c>
      <c r="S175" s="52">
        <f t="shared" si="45"/>
        <v>6.4215408284694006E-2</v>
      </c>
      <c r="T175" s="52">
        <f t="shared" si="46"/>
        <v>0.46809879200252896</v>
      </c>
      <c r="U175" s="52">
        <f t="shared" si="47"/>
        <v>0.31137040326780929</v>
      </c>
      <c r="V175" s="52">
        <f t="shared" si="48"/>
        <v>0.2149169624952981</v>
      </c>
    </row>
    <row r="176" spans="1:22" x14ac:dyDescent="0.25">
      <c r="A176" t="s">
        <v>2118</v>
      </c>
      <c r="B176" s="31" t="s">
        <v>1943</v>
      </c>
      <c r="C176" t="s">
        <v>1936</v>
      </c>
      <c r="D176">
        <v>1</v>
      </c>
      <c r="E176" t="s">
        <v>433</v>
      </c>
      <c r="F176" t="s">
        <v>1937</v>
      </c>
      <c r="G176" t="s">
        <v>1937</v>
      </c>
      <c r="H176" t="s">
        <v>432</v>
      </c>
      <c r="I176" t="s">
        <v>1252</v>
      </c>
      <c r="J176">
        <f t="shared" ref="J176:O176" si="51">J185</f>
        <v>2.17461705539033E-2</v>
      </c>
      <c r="K176">
        <f t="shared" si="51"/>
        <v>1.26232120485932E-5</v>
      </c>
      <c r="L176">
        <f t="shared" si="51"/>
        <v>9.3489805676497801E-4</v>
      </c>
      <c r="M176">
        <f t="shared" si="51"/>
        <v>1.7802161597194399</v>
      </c>
      <c r="N176">
        <f t="shared" si="51"/>
        <v>3.9000952299485199E-9</v>
      </c>
      <c r="O176">
        <f t="shared" si="51"/>
        <v>2.4102798605609701E-4</v>
      </c>
      <c r="P176" t="str">
        <f t="shared" si="50"/>
        <v>Large solar</v>
      </c>
      <c r="Q176" s="52">
        <f t="shared" si="43"/>
        <v>6.6640055617541688E-2</v>
      </c>
      <c r="R176" s="52">
        <f t="shared" si="44"/>
        <v>1</v>
      </c>
      <c r="S176" s="52">
        <f t="shared" si="45"/>
        <v>1</v>
      </c>
      <c r="T176" s="52">
        <f t="shared" si="46"/>
        <v>1</v>
      </c>
      <c r="U176" s="52">
        <f t="shared" si="47"/>
        <v>1</v>
      </c>
      <c r="V176" s="52">
        <f t="shared" si="48"/>
        <v>0.99158227649040465</v>
      </c>
    </row>
    <row r="177" spans="2:26" x14ac:dyDescent="0.25">
      <c r="B177" t="s">
        <v>1945</v>
      </c>
      <c r="C177" t="s">
        <v>1942</v>
      </c>
      <c r="D177">
        <v>1</v>
      </c>
      <c r="E177" t="s">
        <v>433</v>
      </c>
      <c r="F177" t="s">
        <v>431</v>
      </c>
      <c r="G177" t="s">
        <v>1243</v>
      </c>
      <c r="H177" t="s">
        <v>432</v>
      </c>
      <c r="I177" t="s">
        <v>1252</v>
      </c>
      <c r="J177">
        <f t="shared" ref="J177:O177" si="52">J190</f>
        <v>1.9219242911998301E-2</v>
      </c>
      <c r="K177">
        <f t="shared" si="52"/>
        <v>4.5343121777933704E-6</v>
      </c>
      <c r="L177">
        <f t="shared" si="52"/>
        <v>3.5977602383086899E-4</v>
      </c>
      <c r="M177">
        <f t="shared" si="52"/>
        <v>0.91071969363263405</v>
      </c>
      <c r="N177">
        <f t="shared" si="52"/>
        <v>3.4464610474503101E-9</v>
      </c>
      <c r="O177">
        <f t="shared" si="52"/>
        <v>1.3184297707379499E-4</v>
      </c>
      <c r="P177" t="str">
        <f t="shared" si="50"/>
        <v>Wind onshore &gt;3 MW</v>
      </c>
      <c r="Q177" s="52">
        <f t="shared" si="43"/>
        <v>5.8896411826068397E-2</v>
      </c>
      <c r="R177" s="52">
        <f t="shared" si="44"/>
        <v>0.35920431030853983</v>
      </c>
      <c r="S177" s="52">
        <f t="shared" si="45"/>
        <v>0.38482914926125716</v>
      </c>
      <c r="T177" s="52">
        <f t="shared" si="46"/>
        <v>0.51157815227121772</v>
      </c>
      <c r="U177" s="52">
        <f t="shared" si="47"/>
        <v>0.88368638308757463</v>
      </c>
      <c r="V177" s="52">
        <f t="shared" si="48"/>
        <v>0.54239825625759053</v>
      </c>
    </row>
    <row r="178" spans="2:26" x14ac:dyDescent="0.25">
      <c r="B178" t="s">
        <v>2025</v>
      </c>
      <c r="J178">
        <f t="shared" ref="J178:O178" si="53">J188</f>
        <v>2.1206398566660199E-3</v>
      </c>
      <c r="K178">
        <f t="shared" si="53"/>
        <v>3.1841479204569102E-8</v>
      </c>
      <c r="L178">
        <f t="shared" si="53"/>
        <v>1.2066726547761899E-5</v>
      </c>
      <c r="M178">
        <f t="shared" si="53"/>
        <v>3.9721038565379202E-2</v>
      </c>
      <c r="N178">
        <f t="shared" si="53"/>
        <v>4.7072881127694897E-10</v>
      </c>
      <c r="O178">
        <f t="shared" si="53"/>
        <v>1.4096220182166701E-5</v>
      </c>
      <c r="P178" t="str">
        <f t="shared" si="50"/>
        <v>Hydro, run-of-river</v>
      </c>
      <c r="Q178" s="52">
        <f t="shared" si="43"/>
        <v>6.49859512702264E-3</v>
      </c>
      <c r="R178" s="52">
        <f t="shared" si="44"/>
        <v>2.5224545925391223E-3</v>
      </c>
      <c r="S178" s="52">
        <f t="shared" si="45"/>
        <v>1.2906997143107045E-2</v>
      </c>
      <c r="T178" s="52">
        <f t="shared" si="46"/>
        <v>2.2312480621251744E-2</v>
      </c>
      <c r="U178" s="52">
        <f t="shared" si="47"/>
        <v>0.12069674803380698</v>
      </c>
      <c r="V178" s="52">
        <f t="shared" si="48"/>
        <v>5.7991448739440975E-2</v>
      </c>
    </row>
    <row r="179" spans="2:26" x14ac:dyDescent="0.25">
      <c r="B179" t="s">
        <v>2024</v>
      </c>
      <c r="J179">
        <f t="shared" ref="J179:O179" si="54">J187</f>
        <v>3.5362467469489001E-3</v>
      </c>
      <c r="K179">
        <f t="shared" si="54"/>
        <v>4.7289381419784102E-8</v>
      </c>
      <c r="L179">
        <f t="shared" si="54"/>
        <v>1.6152715103905101E-5</v>
      </c>
      <c r="M179">
        <f t="shared" si="54"/>
        <v>3.37212373762968E-2</v>
      </c>
      <c r="N179">
        <f t="shared" si="54"/>
        <v>6.7865284236046996E-10</v>
      </c>
      <c r="O179">
        <f t="shared" si="54"/>
        <v>1.67064512970431E-5</v>
      </c>
      <c r="P179" t="str">
        <f t="shared" si="50"/>
        <v>Hydro, reservoir</v>
      </c>
      <c r="Q179" s="52">
        <f t="shared" si="43"/>
        <v>1.0836651874402175E-2</v>
      </c>
      <c r="R179" s="52">
        <f t="shared" si="44"/>
        <v>3.7462241177398498E-3</v>
      </c>
      <c r="S179" s="52">
        <f t="shared" si="45"/>
        <v>1.7277514898039515E-2</v>
      </c>
      <c r="T179" s="52">
        <f t="shared" si="46"/>
        <v>1.8942215074382443E-2</v>
      </c>
      <c r="U179" s="52">
        <f t="shared" si="47"/>
        <v>0.17400930037532134</v>
      </c>
      <c r="V179" s="52">
        <f t="shared" si="48"/>
        <v>6.8729865275240401E-2</v>
      </c>
    </row>
    <row r="180" spans="2:26" x14ac:dyDescent="0.25">
      <c r="B180" t="s">
        <v>681</v>
      </c>
      <c r="C180" t="s">
        <v>1938</v>
      </c>
      <c r="D180">
        <v>1</v>
      </c>
      <c r="E180" t="s">
        <v>433</v>
      </c>
      <c r="F180" t="s">
        <v>431</v>
      </c>
      <c r="G180" t="s">
        <v>1939</v>
      </c>
      <c r="H180" t="s">
        <v>432</v>
      </c>
      <c r="I180" t="s">
        <v>1252</v>
      </c>
      <c r="J180">
        <f t="shared" ref="J180:O180" si="55">J189</f>
        <v>0.32632281519553602</v>
      </c>
      <c r="K180">
        <f t="shared" si="55"/>
        <v>1.01449512908865E-7</v>
      </c>
      <c r="L180">
        <f t="shared" si="55"/>
        <v>1.7604954149417901E-4</v>
      </c>
      <c r="M180">
        <f t="shared" si="55"/>
        <v>0.10638632241000499</v>
      </c>
      <c r="N180">
        <f t="shared" si="55"/>
        <v>5.4970054874578496E-10</v>
      </c>
      <c r="O180">
        <f t="shared" si="55"/>
        <v>2.4307411676334999E-4</v>
      </c>
      <c r="P180" t="str">
        <f>B180</f>
        <v>Natural gas</v>
      </c>
      <c r="Q180" s="52">
        <f t="shared" si="43"/>
        <v>1</v>
      </c>
      <c r="R180" s="52">
        <f t="shared" si="44"/>
        <v>8.0367431457487939E-3</v>
      </c>
      <c r="S180" s="52">
        <f t="shared" si="45"/>
        <v>0.18830881101984762</v>
      </c>
      <c r="T180" s="52">
        <f t="shared" si="46"/>
        <v>5.9760339680756162E-2</v>
      </c>
      <c r="U180" s="52">
        <f t="shared" si="47"/>
        <v>0.14094541705666014</v>
      </c>
      <c r="V180" s="52">
        <f t="shared" si="48"/>
        <v>1</v>
      </c>
    </row>
    <row r="182" spans="2:26" x14ac:dyDescent="0.25">
      <c r="B182" s="9" t="s">
        <v>2027</v>
      </c>
    </row>
    <row r="183" spans="2:26" x14ac:dyDescent="0.25">
      <c r="C183" t="s">
        <v>840</v>
      </c>
      <c r="D183" t="s">
        <v>423</v>
      </c>
      <c r="E183" t="s">
        <v>416</v>
      </c>
      <c r="F183" t="s">
        <v>415</v>
      </c>
      <c r="G183" t="s">
        <v>422</v>
      </c>
      <c r="H183" t="s">
        <v>418</v>
      </c>
      <c r="I183" t="s">
        <v>439</v>
      </c>
      <c r="J183" t="s">
        <v>1147</v>
      </c>
      <c r="K183" t="s">
        <v>1150</v>
      </c>
      <c r="L183" t="s">
        <v>1934</v>
      </c>
      <c r="M183" t="s">
        <v>1148</v>
      </c>
      <c r="N183" t="s">
        <v>1152</v>
      </c>
      <c r="O183" t="s">
        <v>1153</v>
      </c>
      <c r="Y183" t="s">
        <v>439</v>
      </c>
      <c r="Z183" t="s">
        <v>1370</v>
      </c>
    </row>
    <row r="184" spans="2:26" x14ac:dyDescent="0.25">
      <c r="B184" t="s">
        <v>1566</v>
      </c>
      <c r="C184" t="s">
        <v>1935</v>
      </c>
      <c r="D184">
        <v>1</v>
      </c>
      <c r="E184" t="s">
        <v>433</v>
      </c>
      <c r="F184" t="s">
        <v>431</v>
      </c>
      <c r="G184" t="s">
        <v>441</v>
      </c>
      <c r="H184" t="s">
        <v>432</v>
      </c>
      <c r="I184" t="s">
        <v>1370</v>
      </c>
      <c r="J184">
        <v>9.4193563212036698E-3</v>
      </c>
      <c r="K184" s="70">
        <v>4.0014770939963601E-7</v>
      </c>
      <c r="L184" s="70">
        <v>4.9697680101818397E-5</v>
      </c>
      <c r="M184">
        <v>0.95051004782503001</v>
      </c>
      <c r="N184" s="70">
        <v>9.5487156488280099E-10</v>
      </c>
      <c r="O184" s="70">
        <v>3.3200667626044598E-5</v>
      </c>
      <c r="Y184" t="s">
        <v>1147</v>
      </c>
      <c r="Z184">
        <v>9.4193563212036698E-3</v>
      </c>
    </row>
    <row r="185" spans="2:26" x14ac:dyDescent="0.25">
      <c r="B185" t="s">
        <v>674</v>
      </c>
      <c r="C185" t="s">
        <v>1936</v>
      </c>
      <c r="D185">
        <v>1</v>
      </c>
      <c r="E185" t="s">
        <v>433</v>
      </c>
      <c r="F185" t="s">
        <v>1937</v>
      </c>
      <c r="G185" t="s">
        <v>1937</v>
      </c>
      <c r="H185" t="s">
        <v>432</v>
      </c>
      <c r="I185" t="s">
        <v>1252</v>
      </c>
      <c r="J185">
        <v>2.17461705539033E-2</v>
      </c>
      <c r="K185" s="70">
        <v>1.26232120485932E-5</v>
      </c>
      <c r="L185">
        <v>9.3489805676497801E-4</v>
      </c>
      <c r="M185">
        <v>1.7802161597194399</v>
      </c>
      <c r="N185" s="70">
        <v>3.9000952299485199E-9</v>
      </c>
      <c r="O185">
        <v>2.4102798605609701E-4</v>
      </c>
      <c r="Y185" t="s">
        <v>1150</v>
      </c>
      <c r="Z185" s="70">
        <v>4.0014770939963601E-7</v>
      </c>
    </row>
    <row r="186" spans="2:26" x14ac:dyDescent="0.25">
      <c r="B186" t="s">
        <v>1944</v>
      </c>
      <c r="C186" t="s">
        <v>1940</v>
      </c>
      <c r="D186">
        <v>1</v>
      </c>
      <c r="E186" t="s">
        <v>433</v>
      </c>
      <c r="F186" t="s">
        <v>431</v>
      </c>
      <c r="G186" t="s">
        <v>1941</v>
      </c>
      <c r="H186" t="s">
        <v>432</v>
      </c>
      <c r="I186" t="s">
        <v>1252</v>
      </c>
      <c r="J186">
        <v>1.1420033416564701E-2</v>
      </c>
      <c r="K186" s="70">
        <v>2.6082250821574402E-7</v>
      </c>
      <c r="L186" s="70">
        <v>6.0034860419730102E-5</v>
      </c>
      <c r="M186">
        <v>0.833317033868051</v>
      </c>
      <c r="N186" s="70">
        <v>1.21437422453193E-9</v>
      </c>
      <c r="O186" s="70">
        <v>5.2240750836006597E-5</v>
      </c>
      <c r="Y186" t="s">
        <v>1934</v>
      </c>
      <c r="Z186" s="70">
        <v>4.9697680101818397E-5</v>
      </c>
    </row>
    <row r="187" spans="2:26" x14ac:dyDescent="0.25">
      <c r="B187" t="s">
        <v>2024</v>
      </c>
      <c r="C187" t="s">
        <v>2023</v>
      </c>
      <c r="D187">
        <v>1</v>
      </c>
      <c r="E187" t="s">
        <v>433</v>
      </c>
      <c r="F187" t="s">
        <v>431</v>
      </c>
      <c r="G187" t="s">
        <v>1228</v>
      </c>
      <c r="H187" t="s">
        <v>432</v>
      </c>
      <c r="I187" t="s">
        <v>1252</v>
      </c>
      <c r="J187">
        <v>3.5362467469489001E-3</v>
      </c>
      <c r="K187" s="70">
        <v>4.7289381419784102E-8</v>
      </c>
      <c r="L187" s="70">
        <v>1.6152715103905101E-5</v>
      </c>
      <c r="M187">
        <v>3.37212373762968E-2</v>
      </c>
      <c r="N187" s="70">
        <v>6.7865284236046996E-10</v>
      </c>
      <c r="O187" s="70">
        <v>1.67064512970431E-5</v>
      </c>
      <c r="Y187" t="s">
        <v>1148</v>
      </c>
      <c r="Z187">
        <v>0.95051004782503001</v>
      </c>
    </row>
    <row r="188" spans="2:26" x14ac:dyDescent="0.25">
      <c r="B188" t="s">
        <v>2025</v>
      </c>
      <c r="C188" t="s">
        <v>2022</v>
      </c>
      <c r="D188">
        <v>1</v>
      </c>
      <c r="E188" t="s">
        <v>433</v>
      </c>
      <c r="F188" t="s">
        <v>431</v>
      </c>
      <c r="G188" t="s">
        <v>842</v>
      </c>
      <c r="H188" t="s">
        <v>432</v>
      </c>
      <c r="I188" t="s">
        <v>1252</v>
      </c>
      <c r="J188">
        <v>2.1206398566660199E-3</v>
      </c>
      <c r="K188" s="70">
        <v>3.1841479204569102E-8</v>
      </c>
      <c r="L188" s="70">
        <v>1.2066726547761899E-5</v>
      </c>
      <c r="M188">
        <v>3.9721038565379202E-2</v>
      </c>
      <c r="N188" s="70">
        <v>4.7072881127694897E-10</v>
      </c>
      <c r="O188" s="70">
        <v>1.4096220182166701E-5</v>
      </c>
      <c r="Y188" t="s">
        <v>1152</v>
      </c>
      <c r="Z188" s="70">
        <v>9.5487156488280099E-10</v>
      </c>
    </row>
    <row r="189" spans="2:26" x14ac:dyDescent="0.25">
      <c r="B189" t="s">
        <v>1999</v>
      </c>
      <c r="C189" t="s">
        <v>1938</v>
      </c>
      <c r="D189">
        <v>1</v>
      </c>
      <c r="E189" t="s">
        <v>433</v>
      </c>
      <c r="F189" t="s">
        <v>431</v>
      </c>
      <c r="G189" t="s">
        <v>1939</v>
      </c>
      <c r="H189" t="s">
        <v>432</v>
      </c>
      <c r="I189" t="s">
        <v>1252</v>
      </c>
      <c r="J189">
        <v>0.32632281519553602</v>
      </c>
      <c r="K189" s="70">
        <v>1.01449512908865E-7</v>
      </c>
      <c r="L189">
        <v>1.7604954149417901E-4</v>
      </c>
      <c r="M189">
        <v>0.10638632241000499</v>
      </c>
      <c r="N189" s="70">
        <v>5.4970054874578496E-10</v>
      </c>
      <c r="O189">
        <v>2.4307411676334999E-4</v>
      </c>
      <c r="Y189" t="s">
        <v>1153</v>
      </c>
      <c r="Z189" s="70">
        <v>3.3200667626044598E-5</v>
      </c>
    </row>
    <row r="190" spans="2:26" x14ac:dyDescent="0.25">
      <c r="B190" t="s">
        <v>2026</v>
      </c>
      <c r="C190" t="s">
        <v>1942</v>
      </c>
      <c r="D190">
        <v>1</v>
      </c>
      <c r="E190" t="s">
        <v>433</v>
      </c>
      <c r="F190" t="s">
        <v>431</v>
      </c>
      <c r="G190" t="s">
        <v>1243</v>
      </c>
      <c r="H190" t="s">
        <v>432</v>
      </c>
      <c r="I190" t="s">
        <v>1252</v>
      </c>
      <c r="J190">
        <v>1.9219242911998301E-2</v>
      </c>
      <c r="K190" s="70">
        <v>4.5343121777933704E-6</v>
      </c>
      <c r="L190">
        <v>3.5977602383086899E-4</v>
      </c>
      <c r="M190">
        <v>0.91071969363263405</v>
      </c>
      <c r="N190" s="70">
        <v>3.4464610474503101E-9</v>
      </c>
      <c r="O190">
        <v>1.3184297707379499E-4</v>
      </c>
    </row>
    <row r="193" spans="1:15" x14ac:dyDescent="0.25">
      <c r="B193" t="s">
        <v>840</v>
      </c>
      <c r="C193" t="s">
        <v>423</v>
      </c>
      <c r="D193" t="s">
        <v>416</v>
      </c>
      <c r="E193" t="s">
        <v>415</v>
      </c>
      <c r="F193" t="s">
        <v>422</v>
      </c>
      <c r="G193" t="s">
        <v>418</v>
      </c>
      <c r="H193" t="s">
        <v>439</v>
      </c>
      <c r="I193" t="s">
        <v>1147</v>
      </c>
      <c r="J193" t="s">
        <v>1150</v>
      </c>
      <c r="K193" t="s">
        <v>1934</v>
      </c>
      <c r="L193" t="s">
        <v>1148</v>
      </c>
      <c r="M193" t="s">
        <v>1152</v>
      </c>
      <c r="N193" t="s">
        <v>1153</v>
      </c>
    </row>
    <row r="194" spans="1:15" x14ac:dyDescent="0.25">
      <c r="B194" t="s">
        <v>1935</v>
      </c>
      <c r="C194">
        <v>1</v>
      </c>
      <c r="D194" t="s">
        <v>433</v>
      </c>
      <c r="E194" t="s">
        <v>431</v>
      </c>
      <c r="F194" t="s">
        <v>441</v>
      </c>
      <c r="G194" t="s">
        <v>432</v>
      </c>
      <c r="H194" t="s">
        <v>1370</v>
      </c>
      <c r="I194">
        <v>9.4193563212036698E-3</v>
      </c>
      <c r="J194" s="70">
        <v>4.0014770939963601E-7</v>
      </c>
      <c r="K194" s="70">
        <v>4.9697680101818397E-5</v>
      </c>
      <c r="L194">
        <v>0.95051004782503001</v>
      </c>
      <c r="M194" s="70">
        <v>9.5487156488280099E-10</v>
      </c>
      <c r="N194" s="70">
        <v>3.3200667626044598E-5</v>
      </c>
    </row>
    <row r="195" spans="1:15" x14ac:dyDescent="0.25">
      <c r="B195" t="s">
        <v>1936</v>
      </c>
      <c r="C195">
        <v>1</v>
      </c>
      <c r="D195" t="s">
        <v>433</v>
      </c>
      <c r="E195" t="s">
        <v>1937</v>
      </c>
      <c r="F195" t="s">
        <v>1937</v>
      </c>
      <c r="G195" t="s">
        <v>432</v>
      </c>
      <c r="H195" t="s">
        <v>1252</v>
      </c>
      <c r="I195">
        <v>2.17461705539033E-2</v>
      </c>
      <c r="J195" s="70">
        <v>1.26232120485932E-5</v>
      </c>
      <c r="K195">
        <v>9.3489805676497801E-4</v>
      </c>
      <c r="L195">
        <v>1.7802161597194399</v>
      </c>
      <c r="M195" s="70">
        <v>3.9000952299485199E-9</v>
      </c>
      <c r="N195">
        <v>2.4102798605609701E-4</v>
      </c>
    </row>
    <row r="196" spans="1:15" x14ac:dyDescent="0.25">
      <c r="B196" t="s">
        <v>1940</v>
      </c>
      <c r="C196">
        <v>1</v>
      </c>
      <c r="D196" t="s">
        <v>433</v>
      </c>
      <c r="E196" t="s">
        <v>431</v>
      </c>
      <c r="F196" t="s">
        <v>1941</v>
      </c>
      <c r="G196" t="s">
        <v>432</v>
      </c>
      <c r="H196" t="s">
        <v>1252</v>
      </c>
      <c r="I196">
        <v>1.1420033416564701E-2</v>
      </c>
      <c r="J196" s="70">
        <v>2.6082250821574402E-7</v>
      </c>
      <c r="K196" s="70">
        <v>6.0034860419730102E-5</v>
      </c>
      <c r="L196">
        <v>0.833317033868051</v>
      </c>
      <c r="M196" s="70">
        <v>1.21437422453193E-9</v>
      </c>
      <c r="N196" s="70">
        <v>5.2240750836006597E-5</v>
      </c>
    </row>
    <row r="197" spans="1:15" x14ac:dyDescent="0.25">
      <c r="A197" t="s">
        <v>2080</v>
      </c>
      <c r="B197" t="s">
        <v>2077</v>
      </c>
      <c r="C197">
        <v>1</v>
      </c>
      <c r="D197" t="s">
        <v>433</v>
      </c>
      <c r="E197" t="s">
        <v>431</v>
      </c>
      <c r="F197" t="s">
        <v>2078</v>
      </c>
      <c r="G197" t="s">
        <v>419</v>
      </c>
      <c r="H197" t="s">
        <v>1252</v>
      </c>
      <c r="I197">
        <v>0.203334723764968</v>
      </c>
      <c r="J197" s="70">
        <v>1.6747723360550801E-5</v>
      </c>
      <c r="K197">
        <v>2.2996856676131602E-3</v>
      </c>
      <c r="L197">
        <v>3.4355462136455999</v>
      </c>
      <c r="M197" s="70">
        <v>1.5251015082128302E-8</v>
      </c>
      <c r="N197">
        <v>1.22294908417303E-3</v>
      </c>
    </row>
    <row r="198" spans="1:15" x14ac:dyDescent="0.25">
      <c r="A198" t="s">
        <v>2079</v>
      </c>
      <c r="B198" t="s">
        <v>2075</v>
      </c>
      <c r="C198">
        <v>1</v>
      </c>
      <c r="D198" t="s">
        <v>433</v>
      </c>
      <c r="E198" t="s">
        <v>431</v>
      </c>
      <c r="F198" t="s">
        <v>2076</v>
      </c>
      <c r="G198" t="s">
        <v>419</v>
      </c>
      <c r="H198" t="s">
        <v>1252</v>
      </c>
      <c r="I198">
        <v>0.23611002580013901</v>
      </c>
      <c r="J198" s="70">
        <v>1.9469408371372101E-5</v>
      </c>
      <c r="K198">
        <v>2.7022129390543098E-3</v>
      </c>
      <c r="L198">
        <v>4.0232901482542696</v>
      </c>
      <c r="M198" s="70">
        <v>1.8394485175304501E-8</v>
      </c>
      <c r="N198">
        <v>1.2932280774757101E-3</v>
      </c>
    </row>
    <row r="199" spans="1:15" x14ac:dyDescent="0.25">
      <c r="B199" t="s">
        <v>2023</v>
      </c>
      <c r="C199">
        <v>1</v>
      </c>
      <c r="D199" t="s">
        <v>433</v>
      </c>
      <c r="E199" t="s">
        <v>431</v>
      </c>
      <c r="F199" t="s">
        <v>1228</v>
      </c>
      <c r="G199" t="s">
        <v>432</v>
      </c>
      <c r="H199" t="s">
        <v>1252</v>
      </c>
      <c r="I199">
        <v>3.5362467469489001E-3</v>
      </c>
      <c r="J199" s="70">
        <v>4.7289381419784102E-8</v>
      </c>
      <c r="K199" s="70">
        <v>1.6152715103905101E-5</v>
      </c>
      <c r="L199">
        <v>3.37212373762968E-2</v>
      </c>
      <c r="M199" s="70">
        <v>6.7865284236046996E-10</v>
      </c>
      <c r="N199" s="70">
        <v>1.67064512970431E-5</v>
      </c>
    </row>
    <row r="200" spans="1:15" x14ac:dyDescent="0.25">
      <c r="B200" t="s">
        <v>2022</v>
      </c>
      <c r="C200">
        <v>1</v>
      </c>
      <c r="D200" t="s">
        <v>433</v>
      </c>
      <c r="E200" t="s">
        <v>431</v>
      </c>
      <c r="F200" t="s">
        <v>842</v>
      </c>
      <c r="G200" t="s">
        <v>432</v>
      </c>
      <c r="H200" t="s">
        <v>1252</v>
      </c>
      <c r="I200">
        <v>2.1206398566660199E-3</v>
      </c>
      <c r="J200" s="70">
        <v>3.1841479204569102E-8</v>
      </c>
      <c r="K200" s="70">
        <v>1.2066726547761899E-5</v>
      </c>
      <c r="L200">
        <v>3.9721038565379202E-2</v>
      </c>
      <c r="M200" s="70">
        <v>4.7072881127694897E-10</v>
      </c>
      <c r="N200" s="70">
        <v>1.4096220182166701E-5</v>
      </c>
    </row>
    <row r="201" spans="1:15" x14ac:dyDescent="0.25">
      <c r="B201" t="s">
        <v>1938</v>
      </c>
      <c r="C201">
        <v>1</v>
      </c>
      <c r="D201" t="s">
        <v>433</v>
      </c>
      <c r="E201" t="s">
        <v>431</v>
      </c>
      <c r="F201" t="s">
        <v>1939</v>
      </c>
      <c r="G201" t="s">
        <v>432</v>
      </c>
      <c r="H201" t="s">
        <v>1252</v>
      </c>
      <c r="I201">
        <v>0.32632281519553602</v>
      </c>
      <c r="J201" s="70">
        <v>1.01449512908865E-7</v>
      </c>
      <c r="K201">
        <v>1.7604954149417901E-4</v>
      </c>
      <c r="L201">
        <v>0.10638632241000499</v>
      </c>
      <c r="M201" s="70">
        <v>5.4970054874578496E-10</v>
      </c>
      <c r="N201">
        <v>2.4307411676334999E-4</v>
      </c>
    </row>
    <row r="202" spans="1:15" x14ac:dyDescent="0.25">
      <c r="B202" t="s">
        <v>1942</v>
      </c>
      <c r="C202">
        <v>1</v>
      </c>
      <c r="D202" t="s">
        <v>433</v>
      </c>
      <c r="E202" t="s">
        <v>431</v>
      </c>
      <c r="F202" t="s">
        <v>1243</v>
      </c>
      <c r="G202" t="s">
        <v>432</v>
      </c>
      <c r="H202" t="s">
        <v>1252</v>
      </c>
      <c r="I202">
        <v>1.9219242911998301E-2</v>
      </c>
      <c r="J202" s="70">
        <v>4.5343121777933704E-6</v>
      </c>
      <c r="K202">
        <v>3.5977602383086899E-4</v>
      </c>
      <c r="L202">
        <v>0.91071969363263405</v>
      </c>
      <c r="M202" s="70">
        <v>3.4464610474503101E-9</v>
      </c>
      <c r="N202">
        <v>1.3184297707379499E-4</v>
      </c>
    </row>
    <row r="203" spans="1:15" x14ac:dyDescent="0.25">
      <c r="J203" s="9" t="s">
        <v>2041</v>
      </c>
      <c r="M203" t="s">
        <v>674</v>
      </c>
      <c r="N203" t="s">
        <v>675</v>
      </c>
      <c r="O203" t="s">
        <v>1566</v>
      </c>
    </row>
    <row r="204" spans="1:15" x14ac:dyDescent="0.25">
      <c r="L204" t="s">
        <v>2030</v>
      </c>
      <c r="M204" t="s">
        <v>2031</v>
      </c>
      <c r="N204" t="s">
        <v>2039</v>
      </c>
      <c r="O204" t="s">
        <v>2040</v>
      </c>
    </row>
    <row r="205" spans="1:15" x14ac:dyDescent="0.25">
      <c r="L205" t="s">
        <v>1949</v>
      </c>
      <c r="M205" t="s">
        <v>2031</v>
      </c>
      <c r="N205" t="s">
        <v>2038</v>
      </c>
      <c r="O205" t="s">
        <v>448</v>
      </c>
    </row>
    <row r="206" spans="1:15" x14ac:dyDescent="0.25">
      <c r="L206" t="s">
        <v>1950</v>
      </c>
      <c r="M206" t="s">
        <v>2032</v>
      </c>
      <c r="N206" t="s">
        <v>2038</v>
      </c>
      <c r="O206" t="s">
        <v>1073</v>
      </c>
    </row>
    <row r="207" spans="1:15" x14ac:dyDescent="0.25">
      <c r="L207" t="s">
        <v>1891</v>
      </c>
      <c r="M207" t="s">
        <v>2033</v>
      </c>
      <c r="N207" t="s">
        <v>2037</v>
      </c>
      <c r="O207" t="s">
        <v>448</v>
      </c>
    </row>
    <row r="208" spans="1:15" x14ac:dyDescent="0.25">
      <c r="L208" t="s">
        <v>2034</v>
      </c>
      <c r="M208" t="s">
        <v>2035</v>
      </c>
      <c r="N208" t="s">
        <v>2036</v>
      </c>
      <c r="O208" t="s">
        <v>448</v>
      </c>
    </row>
    <row r="209" spans="3:9" x14ac:dyDescent="0.25">
      <c r="D209" t="s">
        <v>1147</v>
      </c>
      <c r="E209" t="s">
        <v>1150</v>
      </c>
      <c r="F209" t="s">
        <v>1934</v>
      </c>
      <c r="G209" t="s">
        <v>1148</v>
      </c>
      <c r="H209" t="s">
        <v>1152</v>
      </c>
      <c r="I209" t="s">
        <v>1153</v>
      </c>
    </row>
    <row r="210" spans="3:9" x14ac:dyDescent="0.25">
      <c r="C210" t="s">
        <v>1566</v>
      </c>
      <c r="D210">
        <v>9.4193563212036698E-3</v>
      </c>
      <c r="E210" s="70">
        <v>4.0014770939963601E-7</v>
      </c>
      <c r="F210" s="70">
        <v>4.9697680101818397E-5</v>
      </c>
      <c r="G210">
        <v>0.95051004782503001</v>
      </c>
      <c r="H210" s="70">
        <v>9.5487156488280099E-10</v>
      </c>
      <c r="I210" s="70">
        <v>3.3200667626044598E-5</v>
      </c>
    </row>
    <row r="211" spans="3:9" x14ac:dyDescent="0.25">
      <c r="C211" t="s">
        <v>674</v>
      </c>
      <c r="D211">
        <v>2.17461705539033E-2</v>
      </c>
      <c r="E211" s="70">
        <v>1.26232120485932E-5</v>
      </c>
      <c r="F211">
        <v>9.3489805676497801E-4</v>
      </c>
      <c r="G211">
        <v>1.7802161597194399</v>
      </c>
      <c r="H211" s="70">
        <v>3.9000952299485199E-9</v>
      </c>
      <c r="I211">
        <v>2.4102798605609701E-4</v>
      </c>
    </row>
    <row r="212" spans="3:9" x14ac:dyDescent="0.25">
      <c r="C212" t="s">
        <v>1944</v>
      </c>
      <c r="D212">
        <v>1.1420033416564701E-2</v>
      </c>
      <c r="E212" s="70">
        <v>2.6082250821574402E-7</v>
      </c>
      <c r="F212" s="70">
        <v>6.0034860419730102E-5</v>
      </c>
      <c r="G212">
        <v>0.833317033868051</v>
      </c>
      <c r="H212" s="70">
        <v>1.21437422453193E-9</v>
      </c>
      <c r="I212" s="70">
        <v>5.2240750836006597E-5</v>
      </c>
    </row>
    <row r="213" spans="3:9" x14ac:dyDescent="0.25">
      <c r="C213" t="s">
        <v>2024</v>
      </c>
      <c r="D213">
        <v>3.5362467469489001E-3</v>
      </c>
      <c r="E213" s="70">
        <v>4.7289381419784102E-8</v>
      </c>
      <c r="F213" s="70">
        <v>1.6152715103905101E-5</v>
      </c>
      <c r="G213">
        <v>3.37212373762968E-2</v>
      </c>
      <c r="H213" s="70">
        <v>6.7865284236046996E-10</v>
      </c>
      <c r="I213" s="70">
        <v>1.67064512970431E-5</v>
      </c>
    </row>
    <row r="214" spans="3:9" x14ac:dyDescent="0.25">
      <c r="C214" t="s">
        <v>2025</v>
      </c>
      <c r="D214">
        <v>2.1206398566660199E-3</v>
      </c>
      <c r="E214" s="70">
        <v>3.1841479204569102E-8</v>
      </c>
      <c r="F214" s="70">
        <v>1.2066726547761899E-5</v>
      </c>
      <c r="G214">
        <v>3.9721038565379202E-2</v>
      </c>
      <c r="H214" s="70">
        <v>4.7072881127694897E-10</v>
      </c>
      <c r="I214" s="70">
        <v>1.4096220182166701E-5</v>
      </c>
    </row>
    <row r="215" spans="3:9" x14ac:dyDescent="0.25">
      <c r="C215" t="s">
        <v>1999</v>
      </c>
      <c r="D215">
        <v>0.32632281519553602</v>
      </c>
      <c r="E215" s="70">
        <v>1.01449512908865E-7</v>
      </c>
      <c r="F215">
        <v>1.7604954149417901E-4</v>
      </c>
      <c r="G215">
        <v>0.10638632241000499</v>
      </c>
      <c r="H215" s="70">
        <v>5.4970054874578496E-10</v>
      </c>
      <c r="I215">
        <v>2.4307411676334999E-4</v>
      </c>
    </row>
    <row r="216" spans="3:9" x14ac:dyDescent="0.25">
      <c r="C216" t="s">
        <v>2026</v>
      </c>
      <c r="D216">
        <v>1.9219242911998301E-2</v>
      </c>
      <c r="E216" s="70">
        <v>4.5343121777933704E-6</v>
      </c>
      <c r="F216">
        <v>3.5977602383086899E-4</v>
      </c>
      <c r="G216">
        <v>0.91071969363263405</v>
      </c>
      <c r="H216" s="70">
        <v>3.4464610474503101E-9</v>
      </c>
      <c r="I216">
        <v>1.3184297707379499E-4</v>
      </c>
    </row>
  </sheetData>
  <autoFilter ref="I47:V68" xr:uid="{62980299-CD8E-46FE-8182-8202C49CA977}">
    <sortState xmlns:xlrd2="http://schemas.microsoft.com/office/spreadsheetml/2017/richdata2" ref="I48:V68">
      <sortCondition ref="I47:I68"/>
    </sortState>
  </autoFilter>
  <sortState xmlns:xlrd2="http://schemas.microsoft.com/office/spreadsheetml/2017/richdata2" ref="B195:N202">
    <sortCondition ref="B194:B202"/>
  </sortState>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C3349-3C80-428F-A675-04612647CB7F}">
  <sheetPr filterMode="1"/>
  <dimension ref="A4:Y1677"/>
  <sheetViews>
    <sheetView tabSelected="1" topLeftCell="J1" workbookViewId="0">
      <pane ySplit="26" topLeftCell="A27" activePane="bottomLeft" state="frozenSplit"/>
      <selection pane="bottomLeft" activeCell="X28" sqref="X28"/>
    </sheetView>
  </sheetViews>
  <sheetFormatPr defaultRowHeight="15" x14ac:dyDescent="0.25"/>
  <cols>
    <col min="3" max="3" width="21.28515625" customWidth="1"/>
    <col min="4" max="4" width="12" bestFit="1" customWidth="1"/>
    <col min="9" max="9" width="42" customWidth="1"/>
    <col min="14" max="14" width="99.85546875" bestFit="1" customWidth="1"/>
    <col min="19" max="19" width="11" bestFit="1" customWidth="1"/>
  </cols>
  <sheetData>
    <row r="4" spans="2:25" x14ac:dyDescent="0.25">
      <c r="D4" t="s">
        <v>2229</v>
      </c>
      <c r="E4" t="s">
        <v>2271</v>
      </c>
      <c r="F4" t="s">
        <v>2279</v>
      </c>
      <c r="G4" t="s">
        <v>2280</v>
      </c>
      <c r="H4" t="s">
        <v>2285</v>
      </c>
      <c r="I4" t="s">
        <v>2291</v>
      </c>
      <c r="J4" t="s">
        <v>2292</v>
      </c>
      <c r="S4" t="s">
        <v>2229</v>
      </c>
      <c r="T4" t="s">
        <v>2271</v>
      </c>
      <c r="U4" t="s">
        <v>2279</v>
      </c>
      <c r="V4" t="s">
        <v>2280</v>
      </c>
      <c r="W4" t="s">
        <v>2285</v>
      </c>
      <c r="X4" t="s">
        <v>2291</v>
      </c>
      <c r="Y4" t="s">
        <v>2292</v>
      </c>
    </row>
    <row r="5" spans="2:25" x14ac:dyDescent="0.25">
      <c r="B5" t="str">
        <f>LCIA_CC!B8</f>
        <v>Well construction</v>
      </c>
      <c r="C5" t="str">
        <f>LCIA_CC!C8</f>
        <v>Energy use, vertical</v>
      </c>
      <c r="D5">
        <f>SUMIFS($G$25:$G$1676,$D$25:$D$1676,D4,$L$25:$L$1676,$O$9)</f>
        <v>7.2327017679131285E-5</v>
      </c>
      <c r="E5">
        <f>SUMIFS($G$25:$G$1676,$D$25:$D$1676,E4,$L$25:$L$1676,$O$9)</f>
        <v>2.4002297960183243E-7</v>
      </c>
      <c r="F5">
        <f>SUMIFS($G$25:$G$1676,$D$25:$D$1676,F4,$L$25:$L$1676,$O$9)</f>
        <v>3.6490710602340418E-4</v>
      </c>
      <c r="G5">
        <f>SUMIFS($G$25:$G$1676,$D$25:$D$1676,G4,$L$25:$L$1676,$O$9)</f>
        <v>1.070490530916685E-9</v>
      </c>
      <c r="H5">
        <f>SUMIFS($G$25:$G$1676,$D$25:$D$1676,H4,$L$25:$L$1676,$O$9)</f>
        <v>2.0558946135236524E-12</v>
      </c>
      <c r="I5">
        <f>SUMIFS($G$25:$G$1676,$D$25:$D$1676,I4,$L$25:$L$1676,$O$9)</f>
        <v>3.5800002423797988E-12</v>
      </c>
      <c r="J5">
        <f>SUMIFS($G$25:$G$1676,$D$25:$D$1676,J4,$L$25:$L$1676,$O$9)</f>
        <v>2.5382401288278629E-7</v>
      </c>
      <c r="Q5" t="str">
        <f>LCIA_CC!B8</f>
        <v>Well construction</v>
      </c>
      <c r="R5" t="str">
        <f>LCIA_CC!C8</f>
        <v>Energy use, vertical</v>
      </c>
      <c r="S5">
        <f>SUMIFS($F$25:$F$1676,$D$25:$D$1676,D4,$L$25:$L$1676,$O$9)</f>
        <v>1.0507706690942477E-2</v>
      </c>
      <c r="T5">
        <f>SUMIFS($F$25:$F$1676,$D$25:$D$1676,E4,$L$25:$L$1676,$O$9)</f>
        <v>7.0603162368485057E-3</v>
      </c>
      <c r="U5">
        <f>SUMIFS($F$25:$F$1676,$D$25:$D$1676,F4,$L$25:$L$1676,$O$9)</f>
        <v>1.427260029645118E-3</v>
      </c>
      <c r="V5">
        <f>SUMIFS($F$25:$F$1676,$D$25:$D$1676,G4,$L$25:$L$1676,$O$9)</f>
        <v>7.3933636790597702E-3</v>
      </c>
      <c r="W5">
        <f>SUMIFS($F$25:$F$1676,$D$25:$D$1676,H4,$L$25:$L$1676,$O$9)</f>
        <v>3.6237833675218059E-2</v>
      </c>
      <c r="X5">
        <f>SUMIFS($F$25:$F$1676,$D$25:$D$1676,I4,$L$25:$L$1676,$O$9)</f>
        <v>7.3000068689717508E-3</v>
      </c>
      <c r="Y5">
        <f>SUMIFS($F$25:$F$1676,$D$25:$D$1676,J4,$L$25:$L$1676,$O$9)</f>
        <v>1.1391781651193596E-2</v>
      </c>
    </row>
    <row r="6" spans="2:25" x14ac:dyDescent="0.25">
      <c r="C6" t="str">
        <f>LCIA_CC!C9</f>
        <v>Energy use, horizontal</v>
      </c>
      <c r="D6">
        <f>SUMIFS($G$25:$G$1676,$D$25:$D$1676,D4,$L$25:$L$1676,$O$15)</f>
        <v>3.7589524119660149E-4</v>
      </c>
      <c r="E6">
        <f>SUMIFS($G$25:$G$1676,$D$25:$D$1676,E4,$L$25:$L$1676,$O$15)</f>
        <v>1.2474383529875781E-6</v>
      </c>
      <c r="F6">
        <f>SUMIFS($G$25:$G$1676,$D$25:$D$1676,F4,$L$25:$L$1676,$O$15)</f>
        <v>1.9945402263141614E-3</v>
      </c>
      <c r="G6">
        <f>SUMIFS($G$25:$G$1676,$D$25:$D$1676,G4,$L$25:$L$1676,$O$15)</f>
        <v>5.6338906559912097E-9</v>
      </c>
      <c r="H6">
        <f>SUMIFS($G$25:$G$1676,$D$25:$D$1676,H4,$L$25:$L$1676,$O$15)</f>
        <v>1.0684817740635788E-11</v>
      </c>
      <c r="I6">
        <f>SUMIFS($G$25:$G$1676,$D$25:$D$1676,I4,$L$25:$L$1676,$O$15)</f>
        <v>1.8605841880046802E-11</v>
      </c>
      <c r="J6">
        <f>SUMIFS($G$25:$G$1676,$D$25:$D$1676,J4,$L$25:$L$1676,$O$15)</f>
        <v>1.3191645612617989E-6</v>
      </c>
      <c r="M6">
        <v>2</v>
      </c>
      <c r="N6" t="str">
        <f>I27</f>
        <v>heat and power co-generation unit construction, 1MWel, 6.4 MWth</v>
      </c>
      <c r="O6" t="s">
        <v>822</v>
      </c>
      <c r="R6" t="str">
        <f>LCIA_CC!C9</f>
        <v>Energy use, horizontal</v>
      </c>
      <c r="S6">
        <f>SUMIFS($F$25:$F$1676,$D$25:$D$1676,D4,$L$25:$L$1676,$O$15)</f>
        <v>5.4610255859541851E-2</v>
      </c>
      <c r="T6">
        <f>SUMIFS($F$25:$F$1676,$D$25:$D$1676,E4,$L$25:$L$1676,$O$15)</f>
        <v>3.6693608556463871E-2</v>
      </c>
      <c r="U6">
        <f>SUMIFS($F$25:$F$1676,$D$25:$D$1676,F4,$L$25:$L$1676,$O$15)</f>
        <v>7.8012389880808405E-3</v>
      </c>
      <c r="V6">
        <f>SUMIFS($F$25:$F$1676,$D$25:$D$1676,G4,$L$25:$L$1676,$O$15)</f>
        <v>3.8910575427632106E-2</v>
      </c>
      <c r="W6">
        <f>SUMIFS($F$25:$F$1676,$D$25:$D$1676,H4,$L$25:$L$1676,$O$15)</f>
        <v>0.18833389882351792</v>
      </c>
      <c r="X6">
        <f>SUMIFS($F$25:$F$1676,$D$25:$D$1676,I4,$L$25:$L$1676,$O$15)</f>
        <v>3.7939319645703684E-2</v>
      </c>
      <c r="Y6">
        <f>SUMIFS($F$25:$F$1676,$D$25:$D$1676,J4,$L$25:$L$1676,$O$15)</f>
        <v>5.9204936811185951E-2</v>
      </c>
    </row>
    <row r="7" spans="2:25" x14ac:dyDescent="0.25">
      <c r="C7" t="str">
        <f>LCIA_CC!C10</f>
        <v>Casing, steel</v>
      </c>
      <c r="D7">
        <f>SUMIFS($G$25:$G$1676,$D$25:$D$1676,D4,$L$25:$L$1676,$O$12)</f>
        <v>4.5598780271852062E-3</v>
      </c>
      <c r="E7">
        <f>SUMIFS($G$25:$G$1676,$D$25:$D$1676,E4,$L$25:$L$1676,$O$12)</f>
        <v>2.529100135136258E-5</v>
      </c>
      <c r="F7">
        <f>SUMIFS($G$25:$G$1676,$D$25:$D$1676,F4,$L$25:$L$1676,$O$12)</f>
        <v>1.3319984689645429E-2</v>
      </c>
      <c r="G7">
        <f>SUMIFS($G$25:$G$1676,$D$25:$D$1676,G4,$L$25:$L$1676,$O$12)</f>
        <v>1.134135270221865E-7</v>
      </c>
      <c r="H7">
        <f>SUMIFS($G$25:$G$1676,$D$25:$D$1676,H4,$L$25:$L$1676,$O$12)</f>
        <v>3.1276753809549749E-11</v>
      </c>
      <c r="I7">
        <f>SUMIFS($G$25:$G$1676,$D$25:$D$1676,I4,$L$25:$L$1676,$O$12)</f>
        <v>3.7578741960448042E-10</v>
      </c>
      <c r="J7">
        <f>SUMIFS($G$25:$G$1676,$D$25:$D$1676,J4,$L$25:$L$1676,$O$12)</f>
        <v>1.5192065466516231E-5</v>
      </c>
      <c r="M7">
        <v>2</v>
      </c>
      <c r="N7" t="str">
        <f>I151</f>
        <v>CO2 pumping, supercritical, into geothermal well, per meter</v>
      </c>
      <c r="O7" t="str">
        <f>L151</f>
        <v>CO2</v>
      </c>
      <c r="R7" t="str">
        <f>LCIA_CC!C10</f>
        <v>Casing, steel</v>
      </c>
      <c r="S7">
        <f>SUMIFS($F$25:$F$1676,$D$25:$D$1676,D4,$L$25:$L$1676,$O$12)</f>
        <v>0.66246144792944073</v>
      </c>
      <c r="T7">
        <f>SUMIFS($F$25:$F$1676,$D$25:$D$1676,E4,$L$25:$L$1676,$O$12)</f>
        <v>0.74393905026674978</v>
      </c>
      <c r="U7">
        <f>SUMIFS($F$25:$F$1676,$D$25:$D$1676,F4,$L$25:$L$1676,$O$12)</f>
        <v>5.2098414717625489E-2</v>
      </c>
      <c r="V7">
        <f>SUMIFS($F$25:$F$1676,$D$25:$D$1676,G4,$L$25:$L$1676,$O$12)</f>
        <v>0.78329273093323348</v>
      </c>
      <c r="W7">
        <f>SUMIFS($F$25:$F$1676,$D$25:$D$1676,H4,$L$25:$L$1676,$O$12)</f>
        <v>0.55129372633971718</v>
      </c>
      <c r="X7">
        <f>SUMIFS($F$25:$F$1676,$D$25:$D$1676,I4,$L$25:$L$1676,$O$12)</f>
        <v>0.76627110577017876</v>
      </c>
      <c r="Y7">
        <f>SUMIFS($F$25:$F$1676,$D$25:$D$1676,J4,$L$25:$L$1676,$O$12)</f>
        <v>0.68182947176519215</v>
      </c>
    </row>
    <row r="8" spans="2:25" x14ac:dyDescent="0.25">
      <c r="C8" t="str">
        <f>LCIA_CC!C11</f>
        <v>Casing, cement</v>
      </c>
      <c r="D8">
        <f>SUMIFS($G$25:$G$1676,$D$25:$D$1676,D4,$L$25:$L$1676,$O$11)</f>
        <v>8.3479520424421675E-4</v>
      </c>
      <c r="E8">
        <f>SUMIFS($G$25:$G$1676,$D$25:$D$1676,E4,$L$25:$L$1676,$O$11)</f>
        <v>1.780272545198845E-6</v>
      </c>
      <c r="F8">
        <f>SUMIFS($G$25:$G$1676,$D$25:$D$1676,F4,$L$25:$L$1676,$O$11)</f>
        <v>4.2973519624352408E-4</v>
      </c>
      <c r="G8">
        <f>SUMIFS($G$25:$G$1676,$D$25:$D$1676,G4,$L$25:$L$1676,$O$11)</f>
        <v>2.4479704988753271E-9</v>
      </c>
      <c r="H8">
        <f>SUMIFS($G$25:$G$1676,$D$25:$D$1676,H4,$L$25:$L$1676,$O$11)</f>
        <v>3.2514064726915879E-12</v>
      </c>
      <c r="I8">
        <f>SUMIFS($G$25:$G$1676,$D$25:$D$1676,I4,$L$25:$L$1676,$O$11)</f>
        <v>1.1531912290615579E-11</v>
      </c>
      <c r="J8">
        <f>SUMIFS($G$25:$G$1676,$D$25:$D$1676,J4,$L$25:$L$1676,$O$11)</f>
        <v>1.70627645536972E-6</v>
      </c>
      <c r="M8">
        <v>2</v>
      </c>
      <c r="N8" t="str">
        <f>I177</f>
        <v>well construction, plasma pulse geothermal drilling, advanced geothermal system, 6000 m vertical, per m</v>
      </c>
      <c r="O8" t="s">
        <v>2295</v>
      </c>
      <c r="R8" t="str">
        <f>LCIA_CC!C11</f>
        <v>Casing, cement</v>
      </c>
      <c r="S8">
        <f>SUMIFS($F$25:$F$1676,$D$25:$D$1676,D4,$L$25:$L$1676,$O$11)</f>
        <v>0.1212794808175064</v>
      </c>
      <c r="T8">
        <f>SUMIFS($F$25:$F$1676,$D$25:$D$1676,E4,$L$25:$L$1676,$O$11)</f>
        <v>5.236701576546491E-2</v>
      </c>
      <c r="U8">
        <f>SUMIFS($F$25:$F$1676,$D$25:$D$1676,F4,$L$25:$L$1676,$O$11)</f>
        <v>1.68082193743507E-3</v>
      </c>
      <c r="V8">
        <f>SUMIFS($F$25:$F$1676,$D$25:$D$1676,G4,$L$25:$L$1676,$O$11)</f>
        <v>1.6906955877784648E-2</v>
      </c>
      <c r="W8">
        <f>SUMIFS($F$25:$F$1676,$D$25:$D$1676,H4,$L$25:$L$1676,$O$11)</f>
        <v>5.7310295086567528E-2</v>
      </c>
      <c r="X8">
        <f>SUMIFS($F$25:$F$1676,$D$25:$D$1676,I4,$L$25:$L$1676,$O$11)</f>
        <v>2.351481375261387E-2</v>
      </c>
      <c r="Y8">
        <f>SUMIFS($F$25:$F$1676,$D$25:$D$1676,J4,$L$25:$L$1676,$O$11)</f>
        <v>7.6578762566174172E-2</v>
      </c>
    </row>
    <row r="9" spans="2:25" x14ac:dyDescent="0.25">
      <c r="C9" t="str">
        <f>LCIA_CC!C12</f>
        <v>Casing, water</v>
      </c>
      <c r="D9">
        <f>SUMIFS($G$25:$G$1676,$D$25:$D$1676,D4,$L$25:$L$1676,$O$23)</f>
        <v>0</v>
      </c>
      <c r="E9">
        <f>SUMIFS($G$25:$G$1676,$D$25:$D$1676,E4,$L$25:$L$1676,$O$23)</f>
        <v>0</v>
      </c>
      <c r="F9">
        <f>SUMIFS($G$25:$G$1676,$D$25:$D$1676,F4,$L$25:$L$1676,$O$23)</f>
        <v>0</v>
      </c>
      <c r="G9">
        <f>SUMIFS($G$25:$G$1676,$D$25:$D$1676,G4,$L$25:$L$1676,$O$23)</f>
        <v>0</v>
      </c>
      <c r="H9">
        <f>SUMIFS($G$25:$G$1676,$D$25:$D$1676,H4,$L$25:$L$1676,$O$23)</f>
        <v>0</v>
      </c>
      <c r="I9">
        <f>SUMIFS($G$25:$G$1676,$D$25:$D$1676,I4,$L$25:$L$1676,$O$23)</f>
        <v>0</v>
      </c>
      <c r="J9">
        <f>SUMIFS($G$25:$G$1676,$D$25:$D$1676,J4,$L$25:$L$1676,$O$23)</f>
        <v>0</v>
      </c>
      <c r="M9">
        <v>3</v>
      </c>
      <c r="N9" s="308" t="s">
        <v>1034</v>
      </c>
      <c r="O9" t="str">
        <f>L178</f>
        <v>Energy use, vertical</v>
      </c>
      <c r="R9" t="str">
        <f>LCIA_CC!C12</f>
        <v>Casing, water</v>
      </c>
      <c r="S9">
        <f>SUMIFS($F$25:$F$1676,$D$25:$D$1676,D4,$L$25:$L$1676,$O$23)</f>
        <v>0</v>
      </c>
      <c r="T9">
        <f>SUMIFS($F$25:$F$1676,$D$25:$D$1676,E4,$L$25:$L$1676,$O$23)</f>
        <v>0</v>
      </c>
      <c r="U9">
        <f>SUMIFS($F$25:$F$1676,$D$25:$D$1676,F4,$L$25:$L$1676,$O$23)</f>
        <v>0</v>
      </c>
      <c r="V9">
        <f>SUMIFS($F$25:$F$1676,$D$25:$D$1676,G4,$L$25:$L$1676,$O$23)</f>
        <v>0</v>
      </c>
      <c r="W9">
        <f>SUMIFS($F$25:$F$1676,$D$25:$D$1676,H4,$L$25:$L$1676,$O$23)</f>
        <v>0</v>
      </c>
      <c r="X9">
        <f>SUMIFS($F$25:$F$1676,$D$25:$D$1676,I4,$L$25:$L$1676,$O$23)</f>
        <v>0</v>
      </c>
      <c r="Y9">
        <f>SUMIFS($F$25:$F$1676,$D$25:$D$1676,J4,$L$25:$L$1676,$O$23)</f>
        <v>0</v>
      </c>
    </row>
    <row r="10" spans="2:25" x14ac:dyDescent="0.25">
      <c r="C10" t="str">
        <f>LCIA_CC!C13</f>
        <v>Drilling equipment</v>
      </c>
      <c r="D10">
        <f>SUMIFS($G$25:$G$1676,$D$25:$D$1676,D4,$L$25:$L$1676,$O$22)</f>
        <v>4.4590222699555698E-4</v>
      </c>
      <c r="E10">
        <f>SUMIFS($G$25:$G$1676,$D$25:$D$1676,E4,$L$25:$L$1676,$O$22)</f>
        <v>1.485957406367619E-6</v>
      </c>
      <c r="F10">
        <f>SUMIFS($G$25:$G$1676,$D$25:$D$1676,F4,$L$25:$L$1676,$O$22)</f>
        <v>1.4177200389790001E-3</v>
      </c>
      <c r="G10">
        <f>SUMIFS($G$25:$G$1676,$D$25:$D$1676,G4,$L$25:$L$1676,$O$22)</f>
        <v>9.7531792110368234E-9</v>
      </c>
      <c r="H10">
        <f>SUMIFS($G$25:$G$1676,$D$25:$D$1676,H4,$L$25:$L$1676,$O$22)</f>
        <v>3.431121248726366E-12</v>
      </c>
      <c r="I10">
        <f>SUMIFS($G$25:$G$1676,$D$25:$D$1676,I4,$L$25:$L$1676,$O$22)</f>
        <v>2.3002078794046528E-11</v>
      </c>
      <c r="J10">
        <f>SUMIFS($G$25:$G$1676,$D$25:$D$1676,J4,$L$25:$L$1676,$O$22)</f>
        <v>1.360765223918349E-6</v>
      </c>
      <c r="M10">
        <v>3</v>
      </c>
      <c r="N10" t="str">
        <f>I200</f>
        <v>diesel, burned in diesel-electric generating set, 10MW, for oil and gas extraction</v>
      </c>
      <c r="O10" t="str">
        <f>L200</f>
        <v>Energy use, vertical</v>
      </c>
      <c r="R10" t="str">
        <f>LCIA_CC!C13</f>
        <v>Drilling equipment</v>
      </c>
      <c r="S10">
        <f>SUMIFS($F$25:$F$1676,$D$25:$D$1676,D4,$L$25:$L$1676,$O$22)</f>
        <v>6.4780907114040456E-2</v>
      </c>
      <c r="T10">
        <f>SUMIFS($F$25:$F$1676,$D$25:$D$1676,E4,$L$25:$L$1676,$O$22)</f>
        <v>4.3709686551039302E-2</v>
      </c>
      <c r="U10">
        <f>SUMIFS($F$25:$F$1676,$D$25:$D$1676,F4,$L$25:$L$1676,$O$22)</f>
        <v>5.5451239821344162E-3</v>
      </c>
      <c r="V10">
        <f>SUMIFS($F$25:$F$1676,$D$25:$D$1676,G4,$L$25:$L$1676,$O$22)</f>
        <v>6.7360521977239782E-2</v>
      </c>
      <c r="W10">
        <f>SUMIFS($F$25:$F$1676,$D$25:$D$1676,H4,$L$25:$L$1676,$O$22)</f>
        <v>6.0478003256085752E-2</v>
      </c>
      <c r="X10">
        <f>SUMIFS($F$25:$F$1676,$D$25:$D$1676,I4,$L$25:$L$1676,$O$22)</f>
        <v>4.6903721181188442E-2</v>
      </c>
      <c r="Y10">
        <f>SUMIFS($F$25:$F$1676,$D$25:$D$1676,J4,$L$25:$L$1676,$O$22)</f>
        <v>6.1072000766822107E-2</v>
      </c>
    </row>
    <row r="11" spans="2:25" x14ac:dyDescent="0.25">
      <c r="C11" t="s">
        <v>2297</v>
      </c>
      <c r="D11">
        <f>SUMIFS($G$25:$G$1676,$D$25:$D$1676,D4,$L$25:$L$1676,$O$13)</f>
        <v>4.5597300911004472E-5</v>
      </c>
      <c r="E11">
        <f>SUMIFS($G$25:$G$1676,$D$25:$D$1676,E4,$L$25:$L$1676,$O$13)</f>
        <v>2.5061473110075838E-7</v>
      </c>
      <c r="F11">
        <f>SUMIFS($G$25:$G$1676,$D$25:$D$1676,F4,$L$25:$L$1676,$O$13)</f>
        <v>0.23461550012062471</v>
      </c>
      <c r="G11">
        <f>SUMIFS($G$25:$G$1676,$D$25:$D$1676,G4,$L$25:$L$1676,$O$13)</f>
        <v>1.6425422775664971E-10</v>
      </c>
      <c r="H11">
        <f>SUMIFS($G$25:$G$1676,$D$25:$D$1676,H4,$L$25:$L$1676,$O$13)</f>
        <v>1.0587953513248045E-12</v>
      </c>
      <c r="I11">
        <f>SUMIFS($G$25:$G$1676,$D$25:$D$1676,I4,$L$25:$L$1676,$O$13)</f>
        <v>5.0264612393796975E-12</v>
      </c>
      <c r="J11">
        <f>SUMIFS($G$25:$G$1676,$D$25:$D$1676,J4,$L$25:$L$1676,$O$13)</f>
        <v>3.9711631744854702E-7</v>
      </c>
      <c r="M11">
        <v>3</v>
      </c>
      <c r="N11" t="str">
        <f>I191</f>
        <v>market for cement, Portland</v>
      </c>
      <c r="O11" t="str">
        <f>L191</f>
        <v>Casing, cement</v>
      </c>
      <c r="R11" t="s">
        <v>2297</v>
      </c>
      <c r="S11">
        <f>SUMIFS($F$25:$F$1676,$D$25:$D$1676,D4,$L$25:$L$1676,$O$13)</f>
        <v>6.6243995569821735E-3</v>
      </c>
      <c r="T11">
        <f>SUMIFS($F$25:$F$1676,$D$25:$D$1676,E4,$L$25:$L$1676,$O$13)</f>
        <v>7.3718743851915684E-3</v>
      </c>
      <c r="U11">
        <f>SUMIFS($F$25:$F$1676,$D$25:$D$1676,F4,$L$25:$L$1676,$O$13)</f>
        <v>0.91765087642850673</v>
      </c>
      <c r="V11">
        <f>SUMIFS($F$25:$F$1676,$D$25:$D$1676,G4,$L$25:$L$1676,$O$13)</f>
        <v>1.1344250197039241E-3</v>
      </c>
      <c r="W11">
        <f>SUMIFS($F$25:$F$1676,$D$25:$D$1676,H4,$L$25:$L$1676,$O$13)</f>
        <v>1.8662654002308827E-2</v>
      </c>
      <c r="X11">
        <f>SUMIFS($F$25:$F$1676,$D$25:$D$1676,I4,$L$25:$L$1676,$O$13)</f>
        <v>1.0249496952463978E-2</v>
      </c>
      <c r="Y11">
        <f>SUMIFS($F$25:$F$1676,$D$25:$D$1676,J4,$L$25:$L$1676,$O$13)</f>
        <v>1.782283057903198E-2</v>
      </c>
    </row>
    <row r="12" spans="2:25" x14ac:dyDescent="0.25">
      <c r="B12" t="str">
        <f>LCIA_CC!B14</f>
        <v>CO₂</v>
      </c>
      <c r="C12" t="s">
        <v>1205</v>
      </c>
      <c r="D12">
        <f>SUMIFS($G$25:$G$1676,$D$25:$D$1676,D4,$L$25:$L$1676,$O$7)</f>
        <v>4.8766130174830923E-5</v>
      </c>
      <c r="E12">
        <f>SUMIFS($G$25:$G$1676,$D$25:$D$1676,E4,$L$25:$L$1676,$O$7)</f>
        <v>2.7103433925683709E-7</v>
      </c>
      <c r="F12">
        <f>SUMIFS($G$25:$G$1676,$D$25:$D$1676,F4,$L$25:$L$1676,$O$7)</f>
        <v>5.94129125305796E-4</v>
      </c>
      <c r="G12">
        <f>SUMIFS($G$25:$G$1676,$D$25:$D$1676,G4,$L$25:$L$1676,$O$7)</f>
        <v>1.33739205064514E-9</v>
      </c>
      <c r="H12">
        <f>SUMIFS($G$25:$G$1676,$D$25:$D$1676,H4,$L$25:$L$1676,$O$7)</f>
        <v>1.3328515248334871E-12</v>
      </c>
      <c r="I12">
        <f>SUMIFS($G$25:$G$1676,$D$25:$D$1676,I4,$L$25:$L$1676,$O$7)</f>
        <v>3.049231683315711E-12</v>
      </c>
      <c r="J12">
        <f>SUMIFS($G$25:$G$1676,$D$25:$D$1676,J4,$L$25:$L$1676,$O$7)</f>
        <v>2.087508731685653E-7</v>
      </c>
      <c r="M12">
        <v>3</v>
      </c>
      <c r="N12" t="str">
        <f>I184</f>
        <v>market for steel, chromium steel 18/8</v>
      </c>
      <c r="O12" t="str">
        <f>L184</f>
        <v>Casing, steel</v>
      </c>
      <c r="Q12" t="str">
        <f>LCIA_CC!B14</f>
        <v>CO₂</v>
      </c>
      <c r="R12" t="s">
        <v>1205</v>
      </c>
      <c r="S12">
        <f>SUMIFS($F$25:$F$1676,$D$25:$D$1676,D4,$L$25:$L$1676,$O$7)</f>
        <v>7.0847687181396493E-3</v>
      </c>
      <c r="T12">
        <f>SUMIFS($F$25:$F$1676,$D$25:$D$1676,E4,$L$25:$L$1676,$O$7)</f>
        <v>7.9725205868744417E-3</v>
      </c>
      <c r="U12">
        <f>SUMIFS($F$25:$F$1676,$D$25:$D$1676,F4,$L$25:$L$1676,$O$7)</f>
        <v>2.3238154012341738E-3</v>
      </c>
      <c r="V12">
        <f>SUMIFS($F$25:$F$1676,$D$25:$D$1676,G4,$L$25:$L$1676,$O$7)</f>
        <v>9.2367242178554108E-3</v>
      </c>
      <c r="W12">
        <f>SUMIFS($F$25:$F$1676,$D$25:$D$1676,H4,$L$25:$L$1676,$O$7)</f>
        <v>2.349325279270743E-2</v>
      </c>
      <c r="X12">
        <f>SUMIFS($F$25:$F$1676,$D$25:$D$1676,I4,$L$25:$L$1676,$O$7)</f>
        <v>6.2177124933639897E-3</v>
      </c>
      <c r="Y12">
        <f>SUMIFS($F$25:$F$1676,$D$25:$D$1676,J4,$L$25:$L$1676,$O$7)</f>
        <v>9.3688707369482208E-3</v>
      </c>
    </row>
    <row r="13" spans="2:25" x14ac:dyDescent="0.25">
      <c r="C13" t="str">
        <f>LCIA_CC!C14</f>
        <v>Capture</v>
      </c>
      <c r="M13">
        <v>3</v>
      </c>
      <c r="N13" t="str">
        <f>I208</f>
        <v>market for drilling waste</v>
      </c>
      <c r="O13" t="str">
        <f>L208</f>
        <v>Drilling waste</v>
      </c>
      <c r="R13" t="str">
        <f>LCIA_CC!C14</f>
        <v>Capture</v>
      </c>
    </row>
    <row r="14" spans="2:25" x14ac:dyDescent="0.25">
      <c r="C14" t="str">
        <f>LCIA_CC!C15</f>
        <v>Storage</v>
      </c>
      <c r="M14">
        <v>2</v>
      </c>
      <c r="N14" t="str">
        <f>I223</f>
        <v>well construction, plasma pulse geothermal drilling, advanced geothermal system, 42000 m horizontal, per m</v>
      </c>
      <c r="O14" t="s">
        <v>2295</v>
      </c>
      <c r="R14" t="str">
        <f>LCIA_CC!C15</f>
        <v>Storage</v>
      </c>
    </row>
    <row r="15" spans="2:25" x14ac:dyDescent="0.25">
      <c r="C15" t="str">
        <f>LCIA_CC!C16</f>
        <v>Transport</v>
      </c>
      <c r="M15">
        <v>3</v>
      </c>
      <c r="N15" t="str">
        <f>I224</f>
        <v>market for electricity, medium voltage</v>
      </c>
      <c r="O15" t="str">
        <f>L224</f>
        <v>Energy use, horizontal</v>
      </c>
      <c r="R15" t="str">
        <f>LCIA_CC!C16</f>
        <v>Transport</v>
      </c>
    </row>
    <row r="16" spans="2:25" x14ac:dyDescent="0.25">
      <c r="C16" t="str">
        <f>LCIA_CC!C17</f>
        <v>Conditioning</v>
      </c>
      <c r="M16">
        <v>3</v>
      </c>
      <c r="N16" t="str">
        <f>I230</f>
        <v>diesel, burned in diesel-electric generating set, 10MW, for oil and gas extraction</v>
      </c>
      <c r="O16" t="str">
        <f>L230</f>
        <v>Energy use, horizontal</v>
      </c>
      <c r="R16" t="str">
        <f>LCIA_CC!C17</f>
        <v>Conditioning</v>
      </c>
    </row>
    <row r="17" spans="1:25" x14ac:dyDescent="0.25">
      <c r="C17" t="str">
        <f>LCIA_CC!C18</f>
        <v>Pumping</v>
      </c>
      <c r="M17">
        <v>3</v>
      </c>
      <c r="N17" t="str">
        <f>I238</f>
        <v>market for drilling waste</v>
      </c>
      <c r="O17" t="str">
        <f>L238</f>
        <v>Drilling waste</v>
      </c>
      <c r="R17" t="str">
        <f>LCIA_CC!C18</f>
        <v>Pumping</v>
      </c>
    </row>
    <row r="18" spans="1:25" x14ac:dyDescent="0.25">
      <c r="B18" t="str">
        <f>LCIA_CC!B19</f>
        <v>Surface plant</v>
      </c>
      <c r="D18">
        <f>SUMIFS($G$25:$G$1676,$D$25:$D$1676,D4,$L$25:$L$1676,$O$6)</f>
        <v>4.4678314048984412E-4</v>
      </c>
      <c r="E18">
        <f>SUMIFS($G$25:$G$1676,$D$25:$D$1676,E4,$L$25:$L$1676,$O$6)</f>
        <v>3.307598171156395E-6</v>
      </c>
      <c r="F18">
        <f>SUMIFS($G$25:$G$1676,$D$25:$D$1676,F4,$L$25:$L$1676,$O$6)</f>
        <v>2.8582619408503351E-3</v>
      </c>
      <c r="G18">
        <f>SUMIFS($G$25:$G$1676,$D$25:$D$1676,G4,$L$25:$L$1676,$O$6)</f>
        <v>1.074020014783934E-8</v>
      </c>
      <c r="H18">
        <f>SUMIFS($G$25:$G$1676,$D$25:$D$1676,H4,$L$25:$L$1676,$O$6)</f>
        <v>3.3766037350251872E-12</v>
      </c>
      <c r="I18">
        <f>SUMIFS($G$25:$G$1676,$D$25:$D$1676,I4,$L$25:$L$1676,$O$6)</f>
        <v>4.8970221084598532E-11</v>
      </c>
      <c r="J18">
        <f>SUMIFS($G$25:$G$1676,$D$25:$D$1676,J4,$L$25:$L$1676,$O$6)</f>
        <v>1.7289210668771821E-6</v>
      </c>
      <c r="M18">
        <v>2</v>
      </c>
      <c r="N18" s="417" t="s">
        <v>1517</v>
      </c>
      <c r="O18" t="s">
        <v>829</v>
      </c>
      <c r="Q18" t="str">
        <f>LCIA_CC!B19</f>
        <v>Surface plant</v>
      </c>
      <c r="S18">
        <f>SUMIFS($F$25:$F$1676,$D$25:$D$1676,D4,$L$25:$L$1676,$O$6)</f>
        <v>6.4908886683986589E-2</v>
      </c>
      <c r="T18">
        <f>SUMIFS($F$25:$F$1676,$D$25:$D$1676,E4,$L$25:$L$1676,$O$6)</f>
        <v>9.7293555440087692E-2</v>
      </c>
      <c r="U18">
        <f>SUMIFS($F$25:$F$1676,$D$25:$D$1676,F4,$L$25:$L$1676,$O$6)</f>
        <v>1.117951104566846E-2</v>
      </c>
      <c r="V18">
        <f>SUMIFS($F$25:$F$1676,$D$25:$D$1676,G4,$L$25:$L$1676,$O$6)</f>
        <v>7.4177401280579647E-2</v>
      </c>
      <c r="W18">
        <f>SUMIFS($F$25:$F$1676,$D$25:$D$1676,H4,$L$25:$L$1676,$O$6)</f>
        <v>5.9517060715113888E-2</v>
      </c>
      <c r="X18">
        <f>SUMIFS($F$25:$F$1676,$D$25:$D$1676,I4,$L$25:$L$1676,$O$6)</f>
        <v>9.9855565946833105E-2</v>
      </c>
      <c r="Y18">
        <f>SUMIFS($F$25:$F$1676,$D$25:$D$1676,J4,$L$25:$L$1676,$O$6)</f>
        <v>7.7595067000649581E-2</v>
      </c>
    </row>
    <row r="19" spans="1:25" x14ac:dyDescent="0.25">
      <c r="B19" t="str">
        <f>LCIA_CC!B20</f>
        <v>Maintenance</v>
      </c>
      <c r="D19">
        <f>SUMIFS($G$25:$G$1676,$D$25:$D$1676,D4,$L$25:$L$1676,$O$20)</f>
        <v>2.4383065087415451E-6</v>
      </c>
      <c r="E19">
        <f>SUMIFS($G$25:$G$1676,$D$25:$D$1676,E4,$L$25:$L$1676,$O$20)</f>
        <v>1.3551716962841619E-8</v>
      </c>
      <c r="F19">
        <f>SUMIFS($G$25:$G$1676,$D$25:$D$1676,F4,$L$25:$L$1676,$O$20)</f>
        <v>2.9706456265289639E-5</v>
      </c>
      <c r="G19">
        <f>SUMIFS($G$25:$G$1676,$D$25:$D$1676,G4,$L$25:$L$1676,$O$20)</f>
        <v>6.6869602532254742E-11</v>
      </c>
      <c r="H19">
        <f>SUMIFS($G$25:$G$1676,$D$25:$D$1676,H4,$L$25:$L$1676,$O$20)</f>
        <v>6.664257624166794E-14</v>
      </c>
      <c r="I19">
        <f>SUMIFS($G$25:$G$1676,$D$25:$D$1676,I4,$L$25:$L$1676,$O$20)</f>
        <v>1.5246158416578429E-13</v>
      </c>
      <c r="J19">
        <f>SUMIFS($G$25:$G$1676,$D$25:$D$1676,J4,$L$25:$L$1676,$O$20)</f>
        <v>1.043754365842818E-8</v>
      </c>
      <c r="O19" t="s">
        <v>1205</v>
      </c>
      <c r="Q19" t="str">
        <f>LCIA_CC!B20</f>
        <v>Maintenance</v>
      </c>
      <c r="S19">
        <f>SUMIFS($F$25:$F$1676,$D$25:$D$1676,D4,$L$25:$L$1676,$O$20)</f>
        <v>3.5423843590698221E-4</v>
      </c>
      <c r="T19">
        <f>SUMIFS($F$25:$F$1676,$D$25:$D$1676,E4,$L$25:$L$1676,$O$20)</f>
        <v>3.9862602934371519E-4</v>
      </c>
      <c r="U19">
        <f>SUMIFS($F$25:$F$1676,$D$25:$D$1676,F4,$L$25:$L$1676,$O$20)</f>
        <v>1.161907700617081E-4</v>
      </c>
      <c r="V19">
        <f>SUMIFS($F$25:$F$1676,$D$25:$D$1676,G4,$L$25:$L$1676,$O$20)</f>
        <v>4.6183621089275479E-4</v>
      </c>
      <c r="W19">
        <f>SUMIFS($F$25:$F$1676,$D$25:$D$1676,H4,$L$25:$L$1676,$O$20)</f>
        <v>1.1746626396352581E-3</v>
      </c>
      <c r="X19">
        <f>SUMIFS($F$25:$F$1676,$D$25:$D$1676,I4,$L$25:$L$1676,$O$20)</f>
        <v>3.1088562466819689E-4</v>
      </c>
      <c r="Y19">
        <f>SUMIFS($F$25:$F$1676,$D$25:$D$1676,J4,$L$25:$L$1676,$O$20)</f>
        <v>4.6844353684740732E-4</v>
      </c>
    </row>
    <row r="20" spans="1:25" x14ac:dyDescent="0.25">
      <c r="B20" t="str">
        <f>LCIA_CC!B21</f>
        <v>EoL</v>
      </c>
      <c r="D20">
        <f>SUMIFS($G$25:$G$1676,$D$25:$D$1676,D4,$I$25:$I$1676,$N$18)</f>
        <v>5.0824759011603853E-5</v>
      </c>
      <c r="E20">
        <f>SUMIFS($G$25:$G$1676,$D$25:$D$1676,E4,$I$25:$I$1676,$N$18)</f>
        <v>1.0838816828927999E-7</v>
      </c>
      <c r="F20">
        <f>SUMIFS($G$25:$G$1676,$D$25:$D$1676,F4,$I$25:$I$1676,$N$18)</f>
        <v>2.616352810466299E-5</v>
      </c>
      <c r="G20">
        <f>SUMIFS($G$25:$G$1676,$D$25:$D$1676,G4,$I$25:$I$1676,$N$18)</f>
        <v>1.4903956088906421E-10</v>
      </c>
      <c r="H20">
        <f>SUMIFS($G$25:$G$1676,$D$25:$D$1676,H4,$I$25:$I$1676,$N$18)</f>
        <v>1.9795507878237921E-13</v>
      </c>
      <c r="I20">
        <f>SUMIFS($G$25:$G$1676,$D$25:$D$1676,I4,$I$25:$I$1676,$N$18)</f>
        <v>7.0209634666519493E-13</v>
      </c>
      <c r="J20">
        <f>SUMIFS($G$25:$G$1676,$D$25:$D$1676,J4,$I$25:$I$1676,$N$18)</f>
        <v>1.03883071213679E-7</v>
      </c>
      <c r="O20" t="s">
        <v>823</v>
      </c>
      <c r="Q20" t="str">
        <f>LCIA_CC!B21</f>
        <v>EoL</v>
      </c>
      <c r="S20">
        <f>SUMIFS($F$25:$F$1676,$D$25:$D$1676,D4,$I$25:$I$1676,$N$18)</f>
        <v>7.3838473846801521E-3</v>
      </c>
      <c r="T20">
        <f>SUMIFS($F$25:$F$1676,$D$25:$D$1676,E4,$I$25:$I$1676,$N$18)</f>
        <v>3.188256164991085E-3</v>
      </c>
      <c r="U20">
        <f>SUMIFS($F$25:$F$1676,$D$25:$D$1676,F4,$I$25:$I$1676,$N$18)</f>
        <v>1.023333261585954E-4</v>
      </c>
      <c r="V20">
        <f>SUMIFS($F$25:$F$1676,$D$25:$D$1676,G4,$I$25:$I$1676,$N$18)</f>
        <v>1.0293446269689459E-3</v>
      </c>
      <c r="W20">
        <f>SUMIFS($F$25:$F$1676,$D$25:$D$1676,H4,$I$25:$I$1676,$N$18)</f>
        <v>3.489217381520231E-3</v>
      </c>
      <c r="X20">
        <f>SUMIFS($F$25:$F$1676,$D$25:$D$1676,I4,$I$25:$I$1676,$N$18)</f>
        <v>1.431650225232626E-3</v>
      </c>
      <c r="Y20">
        <f>SUMIFS($F$25:$F$1676,$D$25:$D$1676,J4,$I$25:$I$1676,$N$18)</f>
        <v>4.6623377003661044E-3</v>
      </c>
    </row>
    <row r="21" spans="1:25" x14ac:dyDescent="0.25">
      <c r="B21" t="s">
        <v>1205</v>
      </c>
      <c r="D21">
        <f>SUM(D5:D12,D18:$D$20)</f>
        <v>6.8832073543967356E-3</v>
      </c>
      <c r="E21">
        <f>SUM(E5:E12,$D18:E$20)</f>
        <v>5.3404208577247406E-4</v>
      </c>
      <c r="F21">
        <f>SUM(F5:F12,$D18:F$20)</f>
        <v>0.25615412417242284</v>
      </c>
      <c r="G21">
        <f>SUM(G5:G12,$D18:G$20)</f>
        <v>3.4177524461003941E-3</v>
      </c>
      <c r="H21">
        <f>SUM(H5:H12,$D18:H$20)</f>
        <v>3.4176186821290385E-3</v>
      </c>
      <c r="I21">
        <f>SUM(I5:I12,$D18:I$20)</f>
        <v>3.4176191194451224E-3</v>
      </c>
      <c r="J21">
        <f>SUM(J5:J12,$D18:J$20)</f>
        <v>3.439899883454492E-3</v>
      </c>
      <c r="Q21" t="s">
        <v>1205</v>
      </c>
      <c r="S21">
        <f>SUM(D5:D12,D18:$D$20)</f>
        <v>6.8832073543967356E-3</v>
      </c>
      <c r="T21">
        <f>SUM(E5:E12,$D18:E$20)</f>
        <v>5.3404208577247406E-4</v>
      </c>
      <c r="U21">
        <f>SUM(F5:F12,$D18:F$20)</f>
        <v>0.25615412417242284</v>
      </c>
      <c r="V21">
        <f>SUM(G5:G12,$D18:G$20)</f>
        <v>3.4177524461003941E-3</v>
      </c>
      <c r="W21">
        <f>SUM(H5:H12,$D18:H$20)</f>
        <v>3.4176186821290385E-3</v>
      </c>
      <c r="X21">
        <f>SUM(I5:I12,$D18:I$20)</f>
        <v>3.4176191194451224E-3</v>
      </c>
      <c r="Y21">
        <f>SUM(J5:J12,$D18:J$20)</f>
        <v>3.439899883454492E-3</v>
      </c>
    </row>
    <row r="22" spans="1:25" x14ac:dyDescent="0.25">
      <c r="B22" t="s">
        <v>2361</v>
      </c>
      <c r="D22">
        <f>SUM(D5:D12,D18:D20)/SUMIFS($G$25:$G$1676,$D$25:$D$1676,D4,$L$25:$L$1676,$O$19)</f>
        <v>0.99965651033630809</v>
      </c>
      <c r="E22">
        <f>SUM(E5:E12,E18:E20)/SUMIFS($G$25:$G$1676,$D$25:$D$1676,E4,$L$25:$L$1676,$O$19)</f>
        <v>0.99999450998305506</v>
      </c>
      <c r="F22">
        <f>SUM(F5:F12,F18:F20)/SUMIFS($G$25:$G$1676,$D$25:$D$1676,F4,$L$25:$L$1676,$O$19)</f>
        <v>0.9999255866265504</v>
      </c>
      <c r="G22">
        <f>SUM(G5:G12,G18:G20)/SUMIFS($G$25:$G$1676,$D$25:$D$1676,G4,$L$25:$L$1676,$O$19)</f>
        <v>0.99990387925094981</v>
      </c>
      <c r="H22">
        <f>SUM(H5:H12,H18:H20)/SUMIFS($G$25:$G$1676,$D$25:$D$1676,H4,$L$25:$L$1676,$O$19)</f>
        <v>0.99999060471239198</v>
      </c>
      <c r="I22">
        <f>SUM(I5:I12,I18:I20)/SUMIFS($G$25:$G$1676,$D$25:$D$1676,I4,$L$25:$L$1676,$O$19)</f>
        <v>0.99999427846121824</v>
      </c>
      <c r="J22">
        <f>SUM(J5:J12,J18:J20)/SUMIFS($G$25:$G$1676,$D$25:$D$1676,J4,$L$25:$L$1676,$O$19)</f>
        <v>0.99999450311441118</v>
      </c>
      <c r="O22" t="str">
        <f>C10</f>
        <v>Drilling equipment</v>
      </c>
      <c r="Q22" t="s">
        <v>2361</v>
      </c>
      <c r="S22">
        <f>SUM(D5:D12,D18:D20)/SUMIFS($F$25:$F$1676,$D$25:$D$1676,D4,$L$25:$L$1676,$O$19)</f>
        <v>6.8808709857191295E-3</v>
      </c>
      <c r="T22">
        <f>SUM(E5:E12,E18:E20)/SUMIFS($F$25:$F$1676,$D$25:$D$1676,E4,$L$25:$L$1676,$O$19)</f>
        <v>3.3995879762284563E-5</v>
      </c>
      <c r="U22">
        <f>SUM(F5:F12,F18:F20)/SUMIFS($F$25:$F$1676,$D$25:$D$1676,F4,$L$25:$L$1676,$O$19)</f>
        <v>0.25565064842835628</v>
      </c>
      <c r="V22">
        <f>SUM(G5:G12,G18:G20)/SUMIFS($F$25:$F$1676,$D$25:$D$1676,G4,$L$25:$L$1676,$O$19)</f>
        <v>1.4477681350866897E-7</v>
      </c>
      <c r="W22">
        <f>SUM(H5:H12,H18:H20)/SUMIFS($F$25:$F$1676,$D$25:$D$1676,H4,$L$25:$L$1676,$O$19)</f>
        <v>5.6732842151334671E-11</v>
      </c>
      <c r="X22">
        <f>SUM(I5:I12,I18:I20)/SUMIFS($F$25:$F$1676,$D$25:$D$1676,I4,$L$25:$L$1676,$O$19)</f>
        <v>4.9040772474969397E-10</v>
      </c>
      <c r="Y22">
        <f>SUM(J5:J12,J18:J20)/SUMIFS($F$25:$F$1676,$D$25:$D$1676,J4,$L$25:$L$1676,$O$19)</f>
        <v>2.2281204592315287E-5</v>
      </c>
    </row>
    <row r="23" spans="1:25" x14ac:dyDescent="0.25">
      <c r="O23" t="s">
        <v>1102</v>
      </c>
    </row>
    <row r="24" spans="1:25" x14ac:dyDescent="0.25">
      <c r="B24" s="516" t="s">
        <v>2221</v>
      </c>
      <c r="C24" s="516" t="s">
        <v>418</v>
      </c>
      <c r="D24" s="516" t="s">
        <v>2222</v>
      </c>
      <c r="E24" s="516" t="s">
        <v>2223</v>
      </c>
      <c r="F24" s="516" t="s">
        <v>2224</v>
      </c>
      <c r="G24" s="516" t="s">
        <v>2225</v>
      </c>
      <c r="H24" s="516" t="s">
        <v>2226</v>
      </c>
      <c r="I24" s="516" t="s">
        <v>2227</v>
      </c>
      <c r="J24" s="516" t="s">
        <v>2228</v>
      </c>
      <c r="K24" s="516" t="s">
        <v>416</v>
      </c>
      <c r="L24" s="567" t="s">
        <v>2294</v>
      </c>
      <c r="M24" s="567" t="s">
        <v>2296</v>
      </c>
    </row>
    <row r="25" spans="1:25" hidden="1" x14ac:dyDescent="0.25">
      <c r="A25" s="516">
        <v>0</v>
      </c>
      <c r="B25" t="s">
        <v>441</v>
      </c>
      <c r="C25" t="s">
        <v>432</v>
      </c>
      <c r="D25" t="s">
        <v>2229</v>
      </c>
      <c r="E25">
        <v>0</v>
      </c>
      <c r="F25">
        <v>1</v>
      </c>
      <c r="G25">
        <v>6.8832353058994643E-3</v>
      </c>
      <c r="H25">
        <v>1</v>
      </c>
      <c r="I25" t="s">
        <v>441</v>
      </c>
      <c r="J25" t="s">
        <v>432</v>
      </c>
      <c r="K25" t="s">
        <v>433</v>
      </c>
      <c r="L25" t="s">
        <v>1205</v>
      </c>
    </row>
    <row r="26" spans="1:25" hidden="1" x14ac:dyDescent="0.25">
      <c r="A26" s="516">
        <v>1</v>
      </c>
      <c r="B26" t="s">
        <v>441</v>
      </c>
      <c r="C26" t="s">
        <v>432</v>
      </c>
      <c r="D26" t="s">
        <v>2229</v>
      </c>
      <c r="E26">
        <v>1</v>
      </c>
      <c r="F26">
        <v>0.99964579278245347</v>
      </c>
      <c r="G26">
        <v>6.8807972142740439E-3</v>
      </c>
      <c r="H26">
        <v>1.1210128731148259E-9</v>
      </c>
      <c r="I26" t="s">
        <v>2099</v>
      </c>
      <c r="J26" t="s">
        <v>432</v>
      </c>
      <c r="K26" t="s">
        <v>416</v>
      </c>
    </row>
    <row r="27" spans="1:25" x14ac:dyDescent="0.25">
      <c r="A27" s="568">
        <v>2</v>
      </c>
      <c r="B27" s="417" t="s">
        <v>441</v>
      </c>
      <c r="C27" s="417" t="s">
        <v>432</v>
      </c>
      <c r="D27" s="417" t="s">
        <v>2229</v>
      </c>
      <c r="E27" s="417">
        <v>2</v>
      </c>
      <c r="F27" s="417">
        <v>6.4908886683986589E-2</v>
      </c>
      <c r="G27" s="417">
        <v>4.4678314048984412E-4</v>
      </c>
      <c r="H27" s="417">
        <v>2.2420257462296519E-9</v>
      </c>
      <c r="I27" s="417" t="s">
        <v>1122</v>
      </c>
      <c r="J27" s="417" t="s">
        <v>432</v>
      </c>
      <c r="K27" s="417" t="s">
        <v>416</v>
      </c>
      <c r="L27" t="str">
        <f>$B$18</f>
        <v>Surface plant</v>
      </c>
    </row>
    <row r="28" spans="1:25" x14ac:dyDescent="0.25">
      <c r="A28" s="516">
        <v>3</v>
      </c>
      <c r="B28" t="s">
        <v>441</v>
      </c>
      <c r="C28" t="s">
        <v>432</v>
      </c>
      <c r="D28" t="s">
        <v>2229</v>
      </c>
      <c r="E28">
        <v>3</v>
      </c>
      <c r="F28">
        <v>5.9126929153865352E-4</v>
      </c>
      <c r="G28">
        <v>4.0698456628130231E-6</v>
      </c>
      <c r="H28">
        <v>7.1066873184536906E-7</v>
      </c>
      <c r="I28" t="s">
        <v>2230</v>
      </c>
      <c r="J28" t="s">
        <v>462</v>
      </c>
      <c r="K28" t="s">
        <v>417</v>
      </c>
      <c r="L28" t="s">
        <v>2295</v>
      </c>
    </row>
    <row r="29" spans="1:25" hidden="1" x14ac:dyDescent="0.25">
      <c r="A29" s="516">
        <v>4</v>
      </c>
      <c r="B29" t="s">
        <v>441</v>
      </c>
      <c r="C29" t="s">
        <v>432</v>
      </c>
      <c r="D29" t="s">
        <v>2229</v>
      </c>
      <c r="E29">
        <v>4</v>
      </c>
      <c r="F29">
        <v>2.277971722576758E-5</v>
      </c>
      <c r="G29">
        <v>1.567981538668096E-7</v>
      </c>
      <c r="H29">
        <v>1.7496624768159701E-7</v>
      </c>
      <c r="I29" t="s">
        <v>2231</v>
      </c>
      <c r="L29" t="s">
        <v>2295</v>
      </c>
    </row>
    <row r="30" spans="1:25" hidden="1" x14ac:dyDescent="0.25">
      <c r="A30" s="516">
        <v>5</v>
      </c>
      <c r="B30" t="s">
        <v>441</v>
      </c>
      <c r="C30" t="s">
        <v>432</v>
      </c>
      <c r="D30" t="s">
        <v>2229</v>
      </c>
      <c r="E30">
        <v>4</v>
      </c>
      <c r="F30">
        <v>2.6548531971973431E-5</v>
      </c>
      <c r="G30">
        <v>1.827397925892882E-7</v>
      </c>
      <c r="H30">
        <v>3.0368190207504018E-7</v>
      </c>
      <c r="I30" t="s">
        <v>2231</v>
      </c>
      <c r="L30" t="s">
        <v>2295</v>
      </c>
    </row>
    <row r="31" spans="1:25" hidden="1" x14ac:dyDescent="0.25">
      <c r="A31" s="516">
        <v>6</v>
      </c>
      <c r="B31" t="s">
        <v>441</v>
      </c>
      <c r="C31" t="s">
        <v>432</v>
      </c>
      <c r="D31" t="s">
        <v>2229</v>
      </c>
      <c r="E31">
        <v>4</v>
      </c>
      <c r="F31">
        <v>5.2963206515340908E-4</v>
      </c>
      <c r="G31">
        <v>3.645582130000391E-6</v>
      </c>
      <c r="H31">
        <v>1.857699888005772E-7</v>
      </c>
      <c r="I31" t="s">
        <v>2232</v>
      </c>
      <c r="J31" t="s">
        <v>462</v>
      </c>
      <c r="K31" t="s">
        <v>417</v>
      </c>
      <c r="L31" t="s">
        <v>2295</v>
      </c>
    </row>
    <row r="32" spans="1:25" hidden="1" x14ac:dyDescent="0.25">
      <c r="A32" s="516">
        <v>7</v>
      </c>
      <c r="B32" t="s">
        <v>441</v>
      </c>
      <c r="C32" t="s">
        <v>432</v>
      </c>
      <c r="D32" t="s">
        <v>2229</v>
      </c>
      <c r="E32">
        <v>4</v>
      </c>
      <c r="F32">
        <v>4.211113058447191E-6</v>
      </c>
      <c r="G32">
        <v>2.898608208103798E-8</v>
      </c>
      <c r="H32">
        <v>4.6250593288154462E-8</v>
      </c>
      <c r="I32" t="s">
        <v>2231</v>
      </c>
      <c r="L32" t="s">
        <v>2295</v>
      </c>
    </row>
    <row r="33" spans="1:12" hidden="1" x14ac:dyDescent="0.25">
      <c r="A33" s="516">
        <v>8</v>
      </c>
      <c r="B33" t="s">
        <v>441</v>
      </c>
      <c r="C33" t="s">
        <v>432</v>
      </c>
      <c r="D33" t="s">
        <v>2229</v>
      </c>
      <c r="E33">
        <v>4</v>
      </c>
      <c r="F33">
        <v>1.8594430302943041E-6</v>
      </c>
      <c r="G33">
        <v>1.279898391543044E-8</v>
      </c>
      <c r="H33">
        <v>2.4503857874028319E-7</v>
      </c>
      <c r="I33" t="s">
        <v>2231</v>
      </c>
      <c r="L33" t="s">
        <v>2295</v>
      </c>
    </row>
    <row r="34" spans="1:12" hidden="1" x14ac:dyDescent="0.25">
      <c r="A34" s="516">
        <v>9</v>
      </c>
      <c r="B34" t="s">
        <v>441</v>
      </c>
      <c r="C34" t="s">
        <v>432</v>
      </c>
      <c r="D34" t="s">
        <v>2229</v>
      </c>
      <c r="E34">
        <v>4</v>
      </c>
      <c r="F34">
        <v>1.9312403764844391E-7</v>
      </c>
      <c r="G34">
        <v>1.329318194359627E-9</v>
      </c>
      <c r="H34">
        <v>2.57972749659869E-8</v>
      </c>
      <c r="I34" t="s">
        <v>2231</v>
      </c>
      <c r="L34" t="s">
        <v>2295</v>
      </c>
    </row>
    <row r="35" spans="1:12" hidden="1" x14ac:dyDescent="0.25">
      <c r="A35" s="516">
        <v>10</v>
      </c>
      <c r="B35" t="s">
        <v>441</v>
      </c>
      <c r="C35" t="s">
        <v>432</v>
      </c>
      <c r="D35" t="s">
        <v>2229</v>
      </c>
      <c r="E35">
        <v>4</v>
      </c>
      <c r="F35">
        <v>5.6611150303574136E-6</v>
      </c>
      <c r="G35">
        <v>3.8966786847714272E-8</v>
      </c>
      <c r="H35">
        <v>2.5683567968891642E-7</v>
      </c>
      <c r="I35" t="s">
        <v>2231</v>
      </c>
      <c r="L35" t="s">
        <v>2295</v>
      </c>
    </row>
    <row r="36" spans="1:12" hidden="1" x14ac:dyDescent="0.25">
      <c r="A36" s="516">
        <v>11</v>
      </c>
      <c r="B36" t="s">
        <v>441</v>
      </c>
      <c r="C36" t="s">
        <v>432</v>
      </c>
      <c r="D36" t="s">
        <v>2229</v>
      </c>
      <c r="E36">
        <v>4</v>
      </c>
      <c r="F36">
        <v>3.8420277023233129E-7</v>
      </c>
      <c r="G36">
        <v>2.644558072687562E-9</v>
      </c>
      <c r="H36">
        <v>2.581859502794226E-7</v>
      </c>
      <c r="I36" t="s">
        <v>2231</v>
      </c>
      <c r="L36" t="s">
        <v>2295</v>
      </c>
    </row>
    <row r="37" spans="1:12" x14ac:dyDescent="0.25">
      <c r="A37" s="516">
        <v>12</v>
      </c>
      <c r="B37" t="s">
        <v>441</v>
      </c>
      <c r="C37" t="s">
        <v>432</v>
      </c>
      <c r="D37" t="s">
        <v>2229</v>
      </c>
      <c r="E37">
        <v>3</v>
      </c>
      <c r="F37">
        <v>3.0480036590333761E-4</v>
      </c>
      <c r="G37">
        <v>2.098012639836929E-6</v>
      </c>
      <c r="H37">
        <v>9.6828614713931526E-7</v>
      </c>
      <c r="I37" t="s">
        <v>2233</v>
      </c>
      <c r="J37" t="s">
        <v>419</v>
      </c>
      <c r="K37" t="s">
        <v>417</v>
      </c>
      <c r="L37" t="s">
        <v>2295</v>
      </c>
    </row>
    <row r="38" spans="1:12" hidden="1" x14ac:dyDescent="0.25">
      <c r="A38" s="516">
        <v>13</v>
      </c>
      <c r="B38" t="s">
        <v>441</v>
      </c>
      <c r="C38" t="s">
        <v>432</v>
      </c>
      <c r="D38" t="s">
        <v>2229</v>
      </c>
      <c r="E38">
        <v>4</v>
      </c>
      <c r="F38">
        <v>2.089146453866406E-4</v>
      </c>
      <c r="G38">
        <v>1.4380086630447909E-6</v>
      </c>
      <c r="H38">
        <v>6.1534207375399252E-7</v>
      </c>
      <c r="I38" t="s">
        <v>2234</v>
      </c>
      <c r="J38" t="s">
        <v>419</v>
      </c>
      <c r="K38" t="s">
        <v>417</v>
      </c>
      <c r="L38" t="s">
        <v>2295</v>
      </c>
    </row>
    <row r="39" spans="1:12" hidden="1" x14ac:dyDescent="0.25">
      <c r="A39" s="516">
        <v>14</v>
      </c>
      <c r="B39" t="s">
        <v>441</v>
      </c>
      <c r="C39" t="s">
        <v>432</v>
      </c>
      <c r="D39" t="s">
        <v>2229</v>
      </c>
      <c r="E39">
        <v>4</v>
      </c>
      <c r="F39">
        <v>8.9817906945553717E-5</v>
      </c>
      <c r="G39">
        <v>6.1823778818962805E-7</v>
      </c>
      <c r="H39">
        <v>3.42977549305504E-7</v>
      </c>
      <c r="I39" t="s">
        <v>2231</v>
      </c>
      <c r="L39" t="s">
        <v>2295</v>
      </c>
    </row>
    <row r="40" spans="1:12" hidden="1" x14ac:dyDescent="0.25">
      <c r="A40" s="516">
        <v>15</v>
      </c>
      <c r="B40" t="s">
        <v>441</v>
      </c>
      <c r="C40" t="s">
        <v>432</v>
      </c>
      <c r="D40" t="s">
        <v>2229</v>
      </c>
      <c r="E40">
        <v>4</v>
      </c>
      <c r="F40">
        <v>1.9529936480676881E-6</v>
      </c>
      <c r="G40">
        <v>1.3442914830576899E-8</v>
      </c>
      <c r="H40">
        <v>9.966524079818768E-9</v>
      </c>
      <c r="I40" t="s">
        <v>2231</v>
      </c>
      <c r="L40" t="s">
        <v>2295</v>
      </c>
    </row>
    <row r="41" spans="1:12" hidden="1" x14ac:dyDescent="0.25">
      <c r="A41" s="516">
        <v>16</v>
      </c>
      <c r="B41" t="s">
        <v>441</v>
      </c>
      <c r="C41" t="s">
        <v>432</v>
      </c>
      <c r="D41" t="s">
        <v>2229</v>
      </c>
      <c r="E41">
        <v>4</v>
      </c>
      <c r="F41">
        <v>2.815241981975179E-7</v>
      </c>
      <c r="G41">
        <v>1.937797300498194E-9</v>
      </c>
      <c r="H41">
        <v>4.2410933244702012E-8</v>
      </c>
      <c r="I41" t="s">
        <v>2231</v>
      </c>
      <c r="L41" t="s">
        <v>2295</v>
      </c>
    </row>
    <row r="42" spans="1:12" hidden="1" x14ac:dyDescent="0.25">
      <c r="A42" s="516">
        <v>17</v>
      </c>
      <c r="B42" t="s">
        <v>441</v>
      </c>
      <c r="C42" t="s">
        <v>432</v>
      </c>
      <c r="D42" t="s">
        <v>2229</v>
      </c>
      <c r="E42">
        <v>4</v>
      </c>
      <c r="F42">
        <v>1.4740920096909249E-7</v>
      </c>
      <c r="G42">
        <v>1.014652216524887E-9</v>
      </c>
      <c r="H42">
        <v>2.1205466622350999E-8</v>
      </c>
      <c r="I42" t="s">
        <v>2231</v>
      </c>
      <c r="L42" t="s">
        <v>2295</v>
      </c>
    </row>
    <row r="43" spans="1:12" hidden="1" x14ac:dyDescent="0.25">
      <c r="A43" s="516">
        <v>18</v>
      </c>
      <c r="B43" t="s">
        <v>441</v>
      </c>
      <c r="C43" t="s">
        <v>432</v>
      </c>
      <c r="D43" t="s">
        <v>2229</v>
      </c>
      <c r="E43">
        <v>4</v>
      </c>
      <c r="F43">
        <v>3.6858945522938741E-6</v>
      </c>
      <c r="G43">
        <v>2.5370879516171691E-8</v>
      </c>
      <c r="H43">
        <v>1.6586741700496469E-7</v>
      </c>
      <c r="I43" t="s">
        <v>2231</v>
      </c>
      <c r="L43" t="s">
        <v>2295</v>
      </c>
    </row>
    <row r="44" spans="1:12" x14ac:dyDescent="0.25">
      <c r="A44" s="516">
        <v>19</v>
      </c>
      <c r="B44" t="s">
        <v>441</v>
      </c>
      <c r="C44" t="s">
        <v>432</v>
      </c>
      <c r="D44" t="s">
        <v>2229</v>
      </c>
      <c r="E44">
        <v>3</v>
      </c>
      <c r="F44">
        <v>2.9620248596753058E-2</v>
      </c>
      <c r="G44">
        <v>2.0388314091068969E-4</v>
      </c>
      <c r="H44">
        <v>5.5520994675419461E-7</v>
      </c>
      <c r="I44" t="s">
        <v>2235</v>
      </c>
      <c r="J44" t="s">
        <v>432</v>
      </c>
      <c r="K44" t="s">
        <v>437</v>
      </c>
      <c r="L44" t="s">
        <v>2295</v>
      </c>
    </row>
    <row r="45" spans="1:12" hidden="1" x14ac:dyDescent="0.25">
      <c r="A45" s="516">
        <v>20</v>
      </c>
      <c r="B45" t="s">
        <v>441</v>
      </c>
      <c r="C45" t="s">
        <v>432</v>
      </c>
      <c r="D45" t="s">
        <v>2229</v>
      </c>
      <c r="E45">
        <v>4</v>
      </c>
      <c r="F45">
        <v>2.2074414311087621E-2</v>
      </c>
      <c r="G45">
        <v>1.519433879431307E-4</v>
      </c>
      <c r="H45">
        <v>3.8864696272793622E-7</v>
      </c>
      <c r="I45" t="s">
        <v>2236</v>
      </c>
      <c r="J45" t="s">
        <v>432</v>
      </c>
      <c r="K45" t="s">
        <v>437</v>
      </c>
      <c r="L45" t="s">
        <v>2295</v>
      </c>
    </row>
    <row r="46" spans="1:12" hidden="1" x14ac:dyDescent="0.25">
      <c r="A46" s="516">
        <v>21</v>
      </c>
      <c r="B46" t="s">
        <v>441</v>
      </c>
      <c r="C46" t="s">
        <v>432</v>
      </c>
      <c r="D46" t="s">
        <v>2229</v>
      </c>
      <c r="E46">
        <v>4</v>
      </c>
      <c r="F46">
        <v>7.545834361745934E-3</v>
      </c>
      <c r="G46">
        <v>5.1939753491238972E-5</v>
      </c>
      <c r="H46">
        <v>1.6656298402625839E-7</v>
      </c>
      <c r="I46" t="s">
        <v>2237</v>
      </c>
      <c r="J46" t="s">
        <v>432</v>
      </c>
      <c r="K46" t="s">
        <v>437</v>
      </c>
      <c r="L46" t="s">
        <v>2295</v>
      </c>
    </row>
    <row r="47" spans="1:12" x14ac:dyDescent="0.25">
      <c r="A47" s="516">
        <v>22</v>
      </c>
      <c r="B47" t="s">
        <v>441</v>
      </c>
      <c r="C47" t="s">
        <v>432</v>
      </c>
      <c r="D47" t="s">
        <v>2229</v>
      </c>
      <c r="E47">
        <v>3</v>
      </c>
      <c r="F47">
        <v>1.2200611530834751E-3</v>
      </c>
      <c r="G47">
        <v>8.3979680042605832E-6</v>
      </c>
      <c r="H47">
        <v>3.1091757018234902E-8</v>
      </c>
      <c r="I47" t="s">
        <v>2238</v>
      </c>
      <c r="J47" t="s">
        <v>432</v>
      </c>
      <c r="K47" t="s">
        <v>428</v>
      </c>
      <c r="L47" t="s">
        <v>2295</v>
      </c>
    </row>
    <row r="48" spans="1:12" hidden="1" x14ac:dyDescent="0.25">
      <c r="A48" s="516">
        <v>23</v>
      </c>
      <c r="B48" t="s">
        <v>441</v>
      </c>
      <c r="C48" t="s">
        <v>432</v>
      </c>
      <c r="D48" t="s">
        <v>2229</v>
      </c>
      <c r="E48">
        <v>4</v>
      </c>
      <c r="F48">
        <v>3.221013777146826E-4</v>
      </c>
      <c r="G48">
        <v>2.217099575164563E-6</v>
      </c>
      <c r="H48">
        <v>9.3275271054704687E-9</v>
      </c>
      <c r="I48" t="s">
        <v>2239</v>
      </c>
      <c r="J48" t="s">
        <v>432</v>
      </c>
      <c r="K48" t="s">
        <v>428</v>
      </c>
      <c r="L48" t="s">
        <v>2295</v>
      </c>
    </row>
    <row r="49" spans="1:12" hidden="1" x14ac:dyDescent="0.25">
      <c r="A49" s="516">
        <v>24</v>
      </c>
      <c r="B49" t="s">
        <v>441</v>
      </c>
      <c r="C49" t="s">
        <v>432</v>
      </c>
      <c r="D49" t="s">
        <v>2229</v>
      </c>
      <c r="E49">
        <v>4</v>
      </c>
      <c r="F49">
        <v>1.011910804168923E-4</v>
      </c>
      <c r="G49">
        <v>6.9652201736766519E-7</v>
      </c>
      <c r="H49">
        <v>3.10917570182349E-9</v>
      </c>
      <c r="I49" t="s">
        <v>2240</v>
      </c>
      <c r="J49" t="s">
        <v>432</v>
      </c>
      <c r="K49" t="s">
        <v>428</v>
      </c>
      <c r="L49" t="s">
        <v>2295</v>
      </c>
    </row>
    <row r="50" spans="1:12" hidden="1" x14ac:dyDescent="0.25">
      <c r="A50" s="516">
        <v>25</v>
      </c>
      <c r="B50" t="s">
        <v>441</v>
      </c>
      <c r="C50" t="s">
        <v>432</v>
      </c>
      <c r="D50" t="s">
        <v>2229</v>
      </c>
      <c r="E50">
        <v>4</v>
      </c>
      <c r="F50">
        <v>7.5345244116554425E-4</v>
      </c>
      <c r="G50">
        <v>5.1861904443468126E-6</v>
      </c>
      <c r="H50">
        <v>1.8655054210940941E-8</v>
      </c>
      <c r="I50" t="s">
        <v>2241</v>
      </c>
      <c r="J50" t="s">
        <v>432</v>
      </c>
      <c r="K50" t="s">
        <v>428</v>
      </c>
      <c r="L50" t="s">
        <v>2295</v>
      </c>
    </row>
    <row r="51" spans="1:12" hidden="1" x14ac:dyDescent="0.25">
      <c r="A51" s="516">
        <v>26</v>
      </c>
      <c r="B51" t="s">
        <v>441</v>
      </c>
      <c r="C51" t="s">
        <v>432</v>
      </c>
      <c r="D51" t="s">
        <v>2229</v>
      </c>
      <c r="E51">
        <v>4</v>
      </c>
      <c r="F51">
        <v>6.3711127515698425E-7</v>
      </c>
      <c r="G51">
        <v>4.3853868229471823E-9</v>
      </c>
      <c r="H51">
        <v>2.7436920980741391E-7</v>
      </c>
      <c r="I51" t="s">
        <v>2231</v>
      </c>
      <c r="L51" t="s">
        <v>2295</v>
      </c>
    </row>
    <row r="52" spans="1:12" hidden="1" x14ac:dyDescent="0.25">
      <c r="A52" s="516">
        <v>27</v>
      </c>
      <c r="B52" t="s">
        <v>441</v>
      </c>
      <c r="C52" t="s">
        <v>432</v>
      </c>
      <c r="D52" t="s">
        <v>2229</v>
      </c>
      <c r="E52">
        <v>4</v>
      </c>
      <c r="F52">
        <v>4.2679098511628477E-5</v>
      </c>
      <c r="G52">
        <v>2.9377027769920253E-7</v>
      </c>
      <c r="H52">
        <v>1.9205844686518972E-6</v>
      </c>
      <c r="I52" t="s">
        <v>2231</v>
      </c>
      <c r="L52" t="s">
        <v>2295</v>
      </c>
    </row>
    <row r="53" spans="1:12" x14ac:dyDescent="0.25">
      <c r="A53" s="516">
        <v>28</v>
      </c>
      <c r="B53" t="s">
        <v>441</v>
      </c>
      <c r="C53" t="s">
        <v>432</v>
      </c>
      <c r="D53" t="s">
        <v>2229</v>
      </c>
      <c r="E53">
        <v>3</v>
      </c>
      <c r="F53">
        <v>7.1485933027764115E-4</v>
      </c>
      <c r="G53">
        <v>4.9205449809187053E-6</v>
      </c>
      <c r="H53">
        <v>7.1066873184536906E-7</v>
      </c>
      <c r="I53" t="s">
        <v>2242</v>
      </c>
      <c r="J53" t="s">
        <v>462</v>
      </c>
      <c r="K53" t="s">
        <v>417</v>
      </c>
      <c r="L53" t="s">
        <v>2295</v>
      </c>
    </row>
    <row r="54" spans="1:12" hidden="1" x14ac:dyDescent="0.25">
      <c r="A54" s="516">
        <v>29</v>
      </c>
      <c r="B54" t="s">
        <v>441</v>
      </c>
      <c r="C54" t="s">
        <v>432</v>
      </c>
      <c r="D54" t="s">
        <v>2229</v>
      </c>
      <c r="E54">
        <v>4</v>
      </c>
      <c r="F54">
        <v>1.219285756620353E-4</v>
      </c>
      <c r="G54">
        <v>8.3926307679495572E-7</v>
      </c>
      <c r="H54">
        <v>1.211620353323431E-7</v>
      </c>
      <c r="I54" t="s">
        <v>2243</v>
      </c>
      <c r="J54" t="s">
        <v>462</v>
      </c>
      <c r="K54" t="s">
        <v>417</v>
      </c>
      <c r="L54" t="s">
        <v>2295</v>
      </c>
    </row>
    <row r="55" spans="1:12" hidden="1" x14ac:dyDescent="0.25">
      <c r="A55" s="516">
        <v>30</v>
      </c>
      <c r="B55" t="s">
        <v>441</v>
      </c>
      <c r="C55" t="s">
        <v>432</v>
      </c>
      <c r="D55" t="s">
        <v>2229</v>
      </c>
      <c r="E55">
        <v>4</v>
      </c>
      <c r="F55">
        <v>2.4750684024041278E-7</v>
      </c>
      <c r="G55">
        <v>1.7036478211944269E-9</v>
      </c>
      <c r="H55">
        <v>1.953079858167785E-10</v>
      </c>
      <c r="I55" t="s">
        <v>2231</v>
      </c>
      <c r="L55" t="s">
        <v>2295</v>
      </c>
    </row>
    <row r="56" spans="1:12" hidden="1" x14ac:dyDescent="0.25">
      <c r="A56" s="516">
        <v>31</v>
      </c>
      <c r="B56" t="s">
        <v>441</v>
      </c>
      <c r="C56" t="s">
        <v>432</v>
      </c>
      <c r="D56" t="s">
        <v>2229</v>
      </c>
      <c r="E56">
        <v>4</v>
      </c>
      <c r="F56">
        <v>1.731651751439479E-12</v>
      </c>
      <c r="G56">
        <v>1.191936647303087E-14</v>
      </c>
      <c r="H56">
        <v>1.027239778012812E-15</v>
      </c>
      <c r="I56" t="s">
        <v>2231</v>
      </c>
      <c r="L56" t="s">
        <v>2295</v>
      </c>
    </row>
    <row r="57" spans="1:12" hidden="1" x14ac:dyDescent="0.25">
      <c r="A57" s="516">
        <v>32</v>
      </c>
      <c r="B57" t="s">
        <v>441</v>
      </c>
      <c r="C57" t="s">
        <v>432</v>
      </c>
      <c r="D57" t="s">
        <v>2229</v>
      </c>
      <c r="E57">
        <v>4</v>
      </c>
      <c r="F57">
        <v>1.5816024582359129E-13</v>
      </c>
      <c r="G57">
        <v>1.088654188042682E-15</v>
      </c>
      <c r="H57">
        <v>1.2988089147288379E-16</v>
      </c>
      <c r="I57" t="s">
        <v>2231</v>
      </c>
      <c r="L57" t="s">
        <v>2295</v>
      </c>
    </row>
    <row r="58" spans="1:12" hidden="1" x14ac:dyDescent="0.25">
      <c r="A58" s="516">
        <v>33</v>
      </c>
      <c r="B58" t="s">
        <v>441</v>
      </c>
      <c r="C58" t="s">
        <v>432</v>
      </c>
      <c r="D58" t="s">
        <v>2229</v>
      </c>
      <c r="E58">
        <v>4</v>
      </c>
      <c r="F58">
        <v>0</v>
      </c>
      <c r="G58">
        <v>0</v>
      </c>
      <c r="H58">
        <v>6.6293371689284574E-13</v>
      </c>
      <c r="I58" t="s">
        <v>2231</v>
      </c>
      <c r="L58" t="s">
        <v>2295</v>
      </c>
    </row>
    <row r="59" spans="1:12" hidden="1" x14ac:dyDescent="0.25">
      <c r="A59" s="516">
        <v>34</v>
      </c>
      <c r="B59" t="s">
        <v>441</v>
      </c>
      <c r="C59" t="s">
        <v>432</v>
      </c>
      <c r="D59" t="s">
        <v>2229</v>
      </c>
      <c r="E59">
        <v>4</v>
      </c>
      <c r="F59">
        <v>5.2872572028943093E-4</v>
      </c>
      <c r="G59">
        <v>3.6393435450333362E-6</v>
      </c>
      <c r="H59">
        <v>4.2992950214197398E-7</v>
      </c>
      <c r="I59" t="s">
        <v>2244</v>
      </c>
      <c r="J59" t="s">
        <v>462</v>
      </c>
      <c r="K59" t="s">
        <v>417</v>
      </c>
      <c r="L59" t="s">
        <v>2295</v>
      </c>
    </row>
    <row r="60" spans="1:12" hidden="1" x14ac:dyDescent="0.25">
      <c r="A60" s="516">
        <v>35</v>
      </c>
      <c r="B60" t="s">
        <v>441</v>
      </c>
      <c r="C60" t="s">
        <v>432</v>
      </c>
      <c r="D60" t="s">
        <v>2229</v>
      </c>
      <c r="E60">
        <v>4</v>
      </c>
      <c r="F60">
        <v>6.0135608551042294E-6</v>
      </c>
      <c r="G60">
        <v>4.1392754392028407E-8</v>
      </c>
      <c r="H60">
        <v>2.4197016639519881E-8</v>
      </c>
      <c r="I60" t="s">
        <v>2231</v>
      </c>
      <c r="L60" t="s">
        <v>2295</v>
      </c>
    </row>
    <row r="61" spans="1:12" hidden="1" x14ac:dyDescent="0.25">
      <c r="A61" s="516">
        <v>36</v>
      </c>
      <c r="B61" t="s">
        <v>441</v>
      </c>
      <c r="C61" t="s">
        <v>432</v>
      </c>
      <c r="D61" t="s">
        <v>2229</v>
      </c>
      <c r="E61">
        <v>4</v>
      </c>
      <c r="F61">
        <v>4.0626201204113624E-6</v>
      </c>
      <c r="G61">
        <v>2.796397024727302E-8</v>
      </c>
      <c r="H61">
        <v>1.1160135859892259E-8</v>
      </c>
      <c r="I61" t="s">
        <v>2231</v>
      </c>
      <c r="L61" t="s">
        <v>2295</v>
      </c>
    </row>
    <row r="62" spans="1:12" hidden="1" x14ac:dyDescent="0.25">
      <c r="A62" s="516">
        <v>37</v>
      </c>
      <c r="B62" t="s">
        <v>441</v>
      </c>
      <c r="C62" t="s">
        <v>432</v>
      </c>
      <c r="D62" t="s">
        <v>2229</v>
      </c>
      <c r="E62">
        <v>4</v>
      </c>
      <c r="F62">
        <v>0</v>
      </c>
      <c r="G62">
        <v>0</v>
      </c>
      <c r="H62">
        <v>1.515269049822246E-12</v>
      </c>
      <c r="I62" t="s">
        <v>2231</v>
      </c>
      <c r="L62" t="s">
        <v>2295</v>
      </c>
    </row>
    <row r="63" spans="1:12" hidden="1" x14ac:dyDescent="0.25">
      <c r="A63" s="516">
        <v>38</v>
      </c>
      <c r="B63" t="s">
        <v>441</v>
      </c>
      <c r="C63" t="s">
        <v>432</v>
      </c>
      <c r="D63" t="s">
        <v>2229</v>
      </c>
      <c r="E63">
        <v>4</v>
      </c>
      <c r="F63">
        <v>2.6882806195498239E-8</v>
      </c>
      <c r="G63">
        <v>1.8504068072650629E-10</v>
      </c>
      <c r="H63">
        <v>5.9726098922404826E-10</v>
      </c>
      <c r="I63" t="s">
        <v>2231</v>
      </c>
      <c r="L63" t="s">
        <v>2295</v>
      </c>
    </row>
    <row r="64" spans="1:12" hidden="1" x14ac:dyDescent="0.25">
      <c r="A64" s="516">
        <v>39</v>
      </c>
      <c r="B64" t="s">
        <v>441</v>
      </c>
      <c r="C64" t="s">
        <v>432</v>
      </c>
      <c r="D64" t="s">
        <v>2229</v>
      </c>
      <c r="E64">
        <v>4</v>
      </c>
      <c r="F64">
        <v>1.2230994045179119E-13</v>
      </c>
      <c r="G64">
        <v>8.4188810038023037E-16</v>
      </c>
      <c r="H64">
        <v>1.2988089147288379E-16</v>
      </c>
      <c r="I64" t="s">
        <v>2231</v>
      </c>
      <c r="L64" t="s">
        <v>2295</v>
      </c>
    </row>
    <row r="65" spans="1:12" hidden="1" x14ac:dyDescent="0.25">
      <c r="A65" s="516">
        <v>40</v>
      </c>
      <c r="B65" t="s">
        <v>441</v>
      </c>
      <c r="C65" t="s">
        <v>432</v>
      </c>
      <c r="D65" t="s">
        <v>2229</v>
      </c>
      <c r="E65">
        <v>4</v>
      </c>
      <c r="F65">
        <v>0</v>
      </c>
      <c r="G65">
        <v>0</v>
      </c>
      <c r="H65">
        <v>8.4740783159740807E-9</v>
      </c>
      <c r="I65" t="s">
        <v>2231</v>
      </c>
      <c r="L65" t="s">
        <v>2295</v>
      </c>
    </row>
    <row r="66" spans="1:12" hidden="1" x14ac:dyDescent="0.25">
      <c r="A66" s="516">
        <v>41</v>
      </c>
      <c r="B66" t="s">
        <v>441</v>
      </c>
      <c r="C66" t="s">
        <v>432</v>
      </c>
      <c r="D66" t="s">
        <v>2229</v>
      </c>
      <c r="E66">
        <v>4</v>
      </c>
      <c r="F66">
        <v>7.5457425610640253E-7</v>
      </c>
      <c r="G66">
        <v>5.1939121605544153E-9</v>
      </c>
      <c r="H66">
        <v>8.7640823681785851E-10</v>
      </c>
      <c r="I66" t="s">
        <v>2231</v>
      </c>
      <c r="L66" t="s">
        <v>2295</v>
      </c>
    </row>
    <row r="67" spans="1:12" hidden="1" x14ac:dyDescent="0.25">
      <c r="A67" s="516">
        <v>42</v>
      </c>
      <c r="B67" t="s">
        <v>441</v>
      </c>
      <c r="C67" t="s">
        <v>432</v>
      </c>
      <c r="D67" t="s">
        <v>2229</v>
      </c>
      <c r="E67">
        <v>4</v>
      </c>
      <c r="F67">
        <v>6.0836379285966751E-13</v>
      </c>
      <c r="G67">
        <v>4.1875111378425718E-15</v>
      </c>
      <c r="H67">
        <v>2.6369756756143838E-16</v>
      </c>
      <c r="I67" t="s">
        <v>2231</v>
      </c>
      <c r="L67" t="s">
        <v>2295</v>
      </c>
    </row>
    <row r="68" spans="1:12" hidden="1" x14ac:dyDescent="0.25">
      <c r="A68" s="516">
        <v>43</v>
      </c>
      <c r="B68" t="s">
        <v>441</v>
      </c>
      <c r="C68" t="s">
        <v>432</v>
      </c>
      <c r="D68" t="s">
        <v>2229</v>
      </c>
      <c r="E68">
        <v>4</v>
      </c>
      <c r="F68">
        <v>1.182607724616497E-6</v>
      </c>
      <c r="G68">
        <v>8.1401672431097062E-9</v>
      </c>
      <c r="H68">
        <v>4.840468409058872E-9</v>
      </c>
      <c r="I68" t="s">
        <v>2231</v>
      </c>
      <c r="L68" t="s">
        <v>2295</v>
      </c>
    </row>
    <row r="69" spans="1:12" hidden="1" x14ac:dyDescent="0.25">
      <c r="A69" s="516">
        <v>44</v>
      </c>
      <c r="B69" t="s">
        <v>441</v>
      </c>
      <c r="C69" t="s">
        <v>432</v>
      </c>
      <c r="D69" t="s">
        <v>2229</v>
      </c>
      <c r="E69">
        <v>4</v>
      </c>
      <c r="F69">
        <v>6.4928495299150004E-11</v>
      </c>
      <c r="G69">
        <v>4.4691811120203669E-13</v>
      </c>
      <c r="H69">
        <v>1.5831594325221111E-12</v>
      </c>
      <c r="I69" t="s">
        <v>2231</v>
      </c>
      <c r="L69" t="s">
        <v>2295</v>
      </c>
    </row>
    <row r="70" spans="1:12" hidden="1" x14ac:dyDescent="0.25">
      <c r="A70" s="516">
        <v>45</v>
      </c>
      <c r="B70" t="s">
        <v>441</v>
      </c>
      <c r="C70" t="s">
        <v>432</v>
      </c>
      <c r="D70" t="s">
        <v>2229</v>
      </c>
      <c r="E70">
        <v>4</v>
      </c>
      <c r="F70">
        <v>3.0598601926027869E-6</v>
      </c>
      <c r="G70">
        <v>2.1061737708839839E-8</v>
      </c>
      <c r="H70">
        <v>1.5637872242419301E-9</v>
      </c>
      <c r="I70" t="s">
        <v>2231</v>
      </c>
      <c r="L70" t="s">
        <v>2295</v>
      </c>
    </row>
    <row r="71" spans="1:12" hidden="1" x14ac:dyDescent="0.25">
      <c r="A71" s="516">
        <v>46</v>
      </c>
      <c r="B71" t="s">
        <v>441</v>
      </c>
      <c r="C71" t="s">
        <v>432</v>
      </c>
      <c r="D71" t="s">
        <v>2229</v>
      </c>
      <c r="E71">
        <v>4</v>
      </c>
      <c r="F71">
        <v>3.8895585156990902E-5</v>
      </c>
      <c r="G71">
        <v>2.6772746499621889E-7</v>
      </c>
      <c r="H71">
        <v>1.068306032931589E-7</v>
      </c>
      <c r="I71" t="s">
        <v>2231</v>
      </c>
      <c r="L71" t="s">
        <v>2295</v>
      </c>
    </row>
    <row r="72" spans="1:12" hidden="1" x14ac:dyDescent="0.25">
      <c r="A72" s="516">
        <v>47</v>
      </c>
      <c r="B72" t="s">
        <v>441</v>
      </c>
      <c r="C72" t="s">
        <v>432</v>
      </c>
      <c r="D72" t="s">
        <v>2229</v>
      </c>
      <c r="E72">
        <v>4</v>
      </c>
      <c r="F72">
        <v>1.863862106887234E-6</v>
      </c>
      <c r="G72">
        <v>1.282940145945437E-8</v>
      </c>
      <c r="H72">
        <v>8.3836450444873882E-10</v>
      </c>
      <c r="I72" t="s">
        <v>2231</v>
      </c>
      <c r="L72" t="s">
        <v>2295</v>
      </c>
    </row>
    <row r="73" spans="1:12" hidden="1" x14ac:dyDescent="0.25">
      <c r="A73" s="516">
        <v>48</v>
      </c>
      <c r="B73" t="s">
        <v>441</v>
      </c>
      <c r="C73" t="s">
        <v>432</v>
      </c>
      <c r="D73" t="s">
        <v>2229</v>
      </c>
      <c r="E73">
        <v>4</v>
      </c>
      <c r="F73">
        <v>1.8594430302943041E-6</v>
      </c>
      <c r="G73">
        <v>1.279898391543044E-8</v>
      </c>
      <c r="H73">
        <v>2.4503857874028319E-7</v>
      </c>
      <c r="I73" t="s">
        <v>2231</v>
      </c>
      <c r="L73" t="s">
        <v>2295</v>
      </c>
    </row>
    <row r="74" spans="1:12" hidden="1" x14ac:dyDescent="0.25">
      <c r="A74" s="516">
        <v>49</v>
      </c>
      <c r="B74" t="s">
        <v>441</v>
      </c>
      <c r="C74" t="s">
        <v>432</v>
      </c>
      <c r="D74" t="s">
        <v>2229</v>
      </c>
      <c r="E74">
        <v>4</v>
      </c>
      <c r="F74">
        <v>1.9312403764844391E-7</v>
      </c>
      <c r="G74">
        <v>1.329318194359627E-9</v>
      </c>
      <c r="H74">
        <v>2.57972749659869E-8</v>
      </c>
      <c r="I74" t="s">
        <v>2231</v>
      </c>
      <c r="L74" t="s">
        <v>2295</v>
      </c>
    </row>
    <row r="75" spans="1:12" hidden="1" x14ac:dyDescent="0.25">
      <c r="A75" s="516">
        <v>50</v>
      </c>
      <c r="B75" t="s">
        <v>441</v>
      </c>
      <c r="C75" t="s">
        <v>432</v>
      </c>
      <c r="D75" t="s">
        <v>2229</v>
      </c>
      <c r="E75">
        <v>4</v>
      </c>
      <c r="F75">
        <v>5.6611150303574136E-6</v>
      </c>
      <c r="G75">
        <v>3.8966786847714272E-8</v>
      </c>
      <c r="H75">
        <v>2.5683567968891642E-7</v>
      </c>
      <c r="I75" t="s">
        <v>2231</v>
      </c>
      <c r="L75" t="s">
        <v>2295</v>
      </c>
    </row>
    <row r="76" spans="1:12" hidden="1" x14ac:dyDescent="0.25">
      <c r="A76" s="516">
        <v>51</v>
      </c>
      <c r="B76" t="s">
        <v>441</v>
      </c>
      <c r="C76" t="s">
        <v>432</v>
      </c>
      <c r="D76" t="s">
        <v>2229</v>
      </c>
      <c r="E76">
        <v>4</v>
      </c>
      <c r="F76">
        <v>3.8420277023233129E-7</v>
      </c>
      <c r="G76">
        <v>2.644558072687562E-9</v>
      </c>
      <c r="H76">
        <v>2.581859502794226E-7</v>
      </c>
      <c r="I76" t="s">
        <v>2231</v>
      </c>
      <c r="L76" t="s">
        <v>2295</v>
      </c>
    </row>
    <row r="77" spans="1:12" x14ac:dyDescent="0.25">
      <c r="A77" s="516">
        <v>52</v>
      </c>
      <c r="B77" t="s">
        <v>441</v>
      </c>
      <c r="C77" t="s">
        <v>432</v>
      </c>
      <c r="D77" t="s">
        <v>2229</v>
      </c>
      <c r="E77">
        <v>3</v>
      </c>
      <c r="F77">
        <v>1.8035150253551879E-5</v>
      </c>
      <c r="G77">
        <v>1.2414018297244999E-7</v>
      </c>
      <c r="H77">
        <v>5.3300154888402678E-6</v>
      </c>
      <c r="I77" t="s">
        <v>2231</v>
      </c>
      <c r="L77" t="s">
        <v>2295</v>
      </c>
    </row>
    <row r="78" spans="1:12" x14ac:dyDescent="0.25">
      <c r="A78" s="516">
        <v>53</v>
      </c>
      <c r="B78" t="s">
        <v>441</v>
      </c>
      <c r="C78" t="s">
        <v>432</v>
      </c>
      <c r="D78" t="s">
        <v>2229</v>
      </c>
      <c r="E78">
        <v>3</v>
      </c>
      <c r="F78">
        <v>5.4837046170580156E-6</v>
      </c>
      <c r="G78">
        <v>3.774562922725764E-8</v>
      </c>
      <c r="H78">
        <v>6.6625193610503347E-7</v>
      </c>
      <c r="I78" t="s">
        <v>2231</v>
      </c>
      <c r="L78" t="s">
        <v>2295</v>
      </c>
    </row>
    <row r="79" spans="1:12" x14ac:dyDescent="0.25">
      <c r="A79" s="516">
        <v>54</v>
      </c>
      <c r="B79" t="s">
        <v>441</v>
      </c>
      <c r="C79" t="s">
        <v>432</v>
      </c>
      <c r="D79" t="s">
        <v>2229</v>
      </c>
      <c r="E79">
        <v>3</v>
      </c>
      <c r="F79">
        <v>3.3876099334226122E-4</v>
      </c>
      <c r="G79">
        <v>2.3317716296350258E-6</v>
      </c>
      <c r="H79">
        <v>7.5508552758570464E-7</v>
      </c>
      <c r="I79" t="s">
        <v>2245</v>
      </c>
      <c r="J79" t="s">
        <v>462</v>
      </c>
      <c r="K79" t="s">
        <v>417</v>
      </c>
      <c r="L79" t="s">
        <v>2295</v>
      </c>
    </row>
    <row r="80" spans="1:12" hidden="1" x14ac:dyDescent="0.25">
      <c r="A80" s="516">
        <v>55</v>
      </c>
      <c r="B80" t="s">
        <v>441</v>
      </c>
      <c r="C80" t="s">
        <v>432</v>
      </c>
      <c r="D80" t="s">
        <v>2229</v>
      </c>
      <c r="E80">
        <v>4</v>
      </c>
      <c r="F80">
        <v>2.7852362269442009E-4</v>
      </c>
      <c r="G80">
        <v>1.9171436332572541E-6</v>
      </c>
      <c r="H80">
        <v>6.1113945710942813E-7</v>
      </c>
      <c r="I80" t="s">
        <v>2246</v>
      </c>
      <c r="J80" t="s">
        <v>1992</v>
      </c>
      <c r="K80" t="s">
        <v>417</v>
      </c>
      <c r="L80" t="s">
        <v>2295</v>
      </c>
    </row>
    <row r="81" spans="1:12" hidden="1" x14ac:dyDescent="0.25">
      <c r="A81" s="516">
        <v>56</v>
      </c>
      <c r="B81" t="s">
        <v>441</v>
      </c>
      <c r="C81" t="s">
        <v>432</v>
      </c>
      <c r="D81" t="s">
        <v>2229</v>
      </c>
      <c r="E81">
        <v>4</v>
      </c>
      <c r="F81">
        <v>5.0497271581724897E-5</v>
      </c>
      <c r="G81">
        <v>3.4758460260292262E-7</v>
      </c>
      <c r="H81">
        <v>1.4394607047618739E-7</v>
      </c>
      <c r="I81" t="s">
        <v>2231</v>
      </c>
      <c r="L81" t="s">
        <v>2295</v>
      </c>
    </row>
    <row r="82" spans="1:12" hidden="1" x14ac:dyDescent="0.25">
      <c r="A82" s="516">
        <v>57</v>
      </c>
      <c r="B82" t="s">
        <v>441</v>
      </c>
      <c r="C82" t="s">
        <v>432</v>
      </c>
      <c r="D82" t="s">
        <v>2229</v>
      </c>
      <c r="E82">
        <v>4</v>
      </c>
      <c r="F82">
        <v>2.512007123405652E-18</v>
      </c>
      <c r="G82">
        <v>1.7290736120496739E-20</v>
      </c>
      <c r="H82">
        <v>2.214554930402883E-20</v>
      </c>
      <c r="I82" t="s">
        <v>2231</v>
      </c>
      <c r="L82" t="s">
        <v>2295</v>
      </c>
    </row>
    <row r="83" spans="1:12" hidden="1" x14ac:dyDescent="0.25">
      <c r="A83" s="516">
        <v>58</v>
      </c>
      <c r="B83" t="s">
        <v>441</v>
      </c>
      <c r="C83" t="s">
        <v>432</v>
      </c>
      <c r="D83" t="s">
        <v>2229</v>
      </c>
      <c r="E83">
        <v>4</v>
      </c>
      <c r="F83">
        <v>2.3890855778374641E-18</v>
      </c>
      <c r="G83">
        <v>1.6444638198186049E-20</v>
      </c>
      <c r="H83">
        <v>2.214554930402883E-20</v>
      </c>
      <c r="I83" t="s">
        <v>2231</v>
      </c>
      <c r="L83" t="s">
        <v>2295</v>
      </c>
    </row>
    <row r="84" spans="1:12" hidden="1" x14ac:dyDescent="0.25">
      <c r="A84" s="516">
        <v>59</v>
      </c>
      <c r="B84" t="s">
        <v>441</v>
      </c>
      <c r="C84" t="s">
        <v>432</v>
      </c>
      <c r="D84" t="s">
        <v>2229</v>
      </c>
      <c r="E84">
        <v>4</v>
      </c>
      <c r="F84">
        <v>1.8547054062807528E-18</v>
      </c>
      <c r="G84">
        <v>1.276637373455429E-20</v>
      </c>
      <c r="H84">
        <v>2.214554930402883E-20</v>
      </c>
      <c r="I84" t="s">
        <v>2231</v>
      </c>
      <c r="L84" t="s">
        <v>2295</v>
      </c>
    </row>
    <row r="85" spans="1:12" hidden="1" x14ac:dyDescent="0.25">
      <c r="A85" s="516">
        <v>60</v>
      </c>
      <c r="B85" t="s">
        <v>441</v>
      </c>
      <c r="C85" t="s">
        <v>432</v>
      </c>
      <c r="D85" t="s">
        <v>2229</v>
      </c>
      <c r="E85">
        <v>4</v>
      </c>
      <c r="F85">
        <v>2.9032962738173729E-18</v>
      </c>
      <c r="G85">
        <v>1.9984071415426099E-20</v>
      </c>
      <c r="H85">
        <v>2.214554930402883E-20</v>
      </c>
      <c r="I85" t="s">
        <v>2231</v>
      </c>
      <c r="L85" t="s">
        <v>2295</v>
      </c>
    </row>
    <row r="86" spans="1:12" hidden="1" x14ac:dyDescent="0.25">
      <c r="A86" s="516">
        <v>61</v>
      </c>
      <c r="B86" t="s">
        <v>441</v>
      </c>
      <c r="C86" t="s">
        <v>432</v>
      </c>
      <c r="D86" t="s">
        <v>2229</v>
      </c>
      <c r="E86">
        <v>4</v>
      </c>
      <c r="F86">
        <v>1.6542126682825941E-6</v>
      </c>
      <c r="G86">
        <v>1.1386335041788909E-8</v>
      </c>
      <c r="H86">
        <v>2.1799319181399291E-7</v>
      </c>
      <c r="I86" t="s">
        <v>2231</v>
      </c>
      <c r="L86" t="s">
        <v>2295</v>
      </c>
    </row>
    <row r="87" spans="1:12" hidden="1" x14ac:dyDescent="0.25">
      <c r="A87" s="516">
        <v>62</v>
      </c>
      <c r="B87" t="s">
        <v>441</v>
      </c>
      <c r="C87" t="s">
        <v>432</v>
      </c>
      <c r="D87" t="s">
        <v>2229</v>
      </c>
      <c r="E87">
        <v>4</v>
      </c>
      <c r="F87">
        <v>7.4961997724890496E-6</v>
      </c>
      <c r="G87">
        <v>5.1598106934072158E-8</v>
      </c>
      <c r="H87">
        <v>3.4009052162460141E-7</v>
      </c>
      <c r="I87" t="s">
        <v>2231</v>
      </c>
      <c r="L87" t="s">
        <v>2295</v>
      </c>
    </row>
    <row r="88" spans="1:12" hidden="1" x14ac:dyDescent="0.25">
      <c r="A88" s="516">
        <v>63</v>
      </c>
      <c r="B88" t="s">
        <v>441</v>
      </c>
      <c r="C88" t="s">
        <v>432</v>
      </c>
      <c r="D88" t="s">
        <v>2229</v>
      </c>
      <c r="E88">
        <v>4</v>
      </c>
      <c r="F88">
        <v>5.8968198370919053E-7</v>
      </c>
      <c r="G88">
        <v>4.0589198495199327E-9</v>
      </c>
      <c r="H88">
        <v>3.9626888487697791E-7</v>
      </c>
      <c r="I88" t="s">
        <v>2231</v>
      </c>
      <c r="L88" t="s">
        <v>2295</v>
      </c>
    </row>
    <row r="89" spans="1:12" x14ac:dyDescent="0.25">
      <c r="A89" s="516">
        <v>64</v>
      </c>
      <c r="B89" t="s">
        <v>441</v>
      </c>
      <c r="C89" t="s">
        <v>432</v>
      </c>
      <c r="D89" t="s">
        <v>2229</v>
      </c>
      <c r="E89">
        <v>3</v>
      </c>
      <c r="F89">
        <v>2.2159905980534241E-6</v>
      </c>
      <c r="G89">
        <v>1.52531847220626E-8</v>
      </c>
      <c r="H89">
        <v>-7.1066873184536906E-7</v>
      </c>
      <c r="I89" t="s">
        <v>2231</v>
      </c>
      <c r="L89" t="s">
        <v>2295</v>
      </c>
    </row>
    <row r="90" spans="1:12" x14ac:dyDescent="0.25">
      <c r="A90" s="516">
        <v>65</v>
      </c>
      <c r="B90" t="s">
        <v>441</v>
      </c>
      <c r="C90" t="s">
        <v>432</v>
      </c>
      <c r="D90" t="s">
        <v>2229</v>
      </c>
      <c r="E90">
        <v>3</v>
      </c>
      <c r="F90">
        <v>1.997533656609342E-6</v>
      </c>
      <c r="G90">
        <v>1.374949418989588E-8</v>
      </c>
      <c r="H90">
        <v>-7.1066873184536906E-7</v>
      </c>
      <c r="I90" t="s">
        <v>2231</v>
      </c>
      <c r="L90" t="s">
        <v>2295</v>
      </c>
    </row>
    <row r="91" spans="1:12" x14ac:dyDescent="0.25">
      <c r="A91" s="516">
        <v>66</v>
      </c>
      <c r="B91" t="s">
        <v>441</v>
      </c>
      <c r="C91" t="s">
        <v>432</v>
      </c>
      <c r="D91" t="s">
        <v>2229</v>
      </c>
      <c r="E91">
        <v>3</v>
      </c>
      <c r="F91">
        <v>1.453472982771228E-4</v>
      </c>
      <c r="G91">
        <v>1.0004596551181921E-6</v>
      </c>
      <c r="H91">
        <v>-8.7634337995682083E-5</v>
      </c>
      <c r="I91" t="s">
        <v>533</v>
      </c>
      <c r="J91" t="s">
        <v>432</v>
      </c>
      <c r="K91" t="s">
        <v>417</v>
      </c>
      <c r="L91" t="s">
        <v>2295</v>
      </c>
    </row>
    <row r="92" spans="1:12" hidden="1" x14ac:dyDescent="0.25">
      <c r="A92" s="516">
        <v>67</v>
      </c>
      <c r="B92" t="s">
        <v>441</v>
      </c>
      <c r="C92" t="s">
        <v>432</v>
      </c>
      <c r="D92" t="s">
        <v>2229</v>
      </c>
      <c r="E92">
        <v>4</v>
      </c>
      <c r="F92">
        <v>-5.7688744142476413E-5</v>
      </c>
      <c r="G92">
        <v>-3.9708520043449463E-7</v>
      </c>
      <c r="H92">
        <v>6.7460078776333243E-5</v>
      </c>
      <c r="I92" t="s">
        <v>2231</v>
      </c>
      <c r="L92" t="s">
        <v>2295</v>
      </c>
    </row>
    <row r="93" spans="1:12" hidden="1" x14ac:dyDescent="0.25">
      <c r="A93" s="516">
        <v>68</v>
      </c>
      <c r="B93" t="s">
        <v>441</v>
      </c>
      <c r="C93" t="s">
        <v>432</v>
      </c>
      <c r="D93" t="s">
        <v>2229</v>
      </c>
      <c r="E93">
        <v>4</v>
      </c>
      <c r="F93">
        <v>-3.6749502049926273E-5</v>
      </c>
      <c r="G93">
        <v>-2.5295546998427731E-7</v>
      </c>
      <c r="H93">
        <v>2.017425921934883E-5</v>
      </c>
      <c r="I93" t="s">
        <v>2231</v>
      </c>
      <c r="L93" t="s">
        <v>2295</v>
      </c>
    </row>
    <row r="94" spans="1:12" hidden="1" x14ac:dyDescent="0.25">
      <c r="A94" s="516">
        <v>69</v>
      </c>
      <c r="B94" t="s">
        <v>441</v>
      </c>
      <c r="C94" t="s">
        <v>432</v>
      </c>
      <c r="D94" t="s">
        <v>2229</v>
      </c>
      <c r="E94">
        <v>4</v>
      </c>
      <c r="F94">
        <v>-7.2444301066829063E-7</v>
      </c>
      <c r="G94">
        <v>-4.9865117081440796E-9</v>
      </c>
      <c r="H94">
        <v>-3.1197824326462818E-7</v>
      </c>
      <c r="I94" t="s">
        <v>2231</v>
      </c>
      <c r="L94" t="s">
        <v>2295</v>
      </c>
    </row>
    <row r="95" spans="1:12" hidden="1" x14ac:dyDescent="0.25">
      <c r="A95" s="516">
        <v>70</v>
      </c>
      <c r="B95" t="s">
        <v>441</v>
      </c>
      <c r="C95" t="s">
        <v>432</v>
      </c>
      <c r="D95" t="s">
        <v>2229</v>
      </c>
      <c r="E95">
        <v>4</v>
      </c>
      <c r="F95">
        <v>-5.0184610039441E-5</v>
      </c>
      <c r="G95">
        <v>-3.45432479636277E-7</v>
      </c>
      <c r="H95">
        <v>-2.2583368901487269E-6</v>
      </c>
      <c r="I95" t="s">
        <v>2231</v>
      </c>
      <c r="L95" t="s">
        <v>2295</v>
      </c>
    </row>
    <row r="96" spans="1:12" x14ac:dyDescent="0.25">
      <c r="A96" s="516">
        <v>71</v>
      </c>
      <c r="B96" t="s">
        <v>441</v>
      </c>
      <c r="C96" t="s">
        <v>432</v>
      </c>
      <c r="D96" t="s">
        <v>2229</v>
      </c>
      <c r="E96">
        <v>3</v>
      </c>
      <c r="F96">
        <v>4.8898824012619713E-5</v>
      </c>
      <c r="G96">
        <v>3.3658211186062851E-7</v>
      </c>
      <c r="H96">
        <v>7.1066873184536906E-7</v>
      </c>
      <c r="I96" t="s">
        <v>2231</v>
      </c>
      <c r="L96" t="s">
        <v>2295</v>
      </c>
    </row>
    <row r="97" spans="1:12" x14ac:dyDescent="0.25">
      <c r="A97" s="516">
        <v>72</v>
      </c>
      <c r="B97" t="s">
        <v>441</v>
      </c>
      <c r="C97" t="s">
        <v>432</v>
      </c>
      <c r="D97" t="s">
        <v>2229</v>
      </c>
      <c r="E97">
        <v>3</v>
      </c>
      <c r="F97">
        <v>7.2125938472426918E-5</v>
      </c>
      <c r="G97">
        <v>4.9645980616454147E-7</v>
      </c>
      <c r="H97">
        <v>1.0215863020277181E-6</v>
      </c>
      <c r="I97" t="s">
        <v>2231</v>
      </c>
      <c r="L97" t="s">
        <v>2295</v>
      </c>
    </row>
    <row r="98" spans="1:12" x14ac:dyDescent="0.25">
      <c r="A98" s="516">
        <v>73</v>
      </c>
      <c r="B98" t="s">
        <v>441</v>
      </c>
      <c r="C98" t="s">
        <v>432</v>
      </c>
      <c r="D98" t="s">
        <v>2229</v>
      </c>
      <c r="E98">
        <v>3</v>
      </c>
      <c r="F98">
        <v>4.0537957070153757E-3</v>
      </c>
      <c r="G98">
        <v>2.7903229733431921E-5</v>
      </c>
      <c r="H98">
        <v>8.661275169365436E-5</v>
      </c>
      <c r="I98" t="s">
        <v>2247</v>
      </c>
      <c r="J98" t="s">
        <v>419</v>
      </c>
      <c r="K98" t="s">
        <v>417</v>
      </c>
      <c r="L98" t="s">
        <v>2295</v>
      </c>
    </row>
    <row r="99" spans="1:12" hidden="1" x14ac:dyDescent="0.25">
      <c r="A99" s="516">
        <v>74</v>
      </c>
      <c r="B99" t="s">
        <v>441</v>
      </c>
      <c r="C99" t="s">
        <v>432</v>
      </c>
      <c r="D99" t="s">
        <v>2229</v>
      </c>
      <c r="E99">
        <v>4</v>
      </c>
      <c r="F99">
        <v>8.3710797949104632E-7</v>
      </c>
      <c r="G99">
        <v>5.7620111992829353E-9</v>
      </c>
      <c r="H99">
        <v>-1.671626107687529E-8</v>
      </c>
      <c r="I99" t="s">
        <v>2231</v>
      </c>
      <c r="L99" t="s">
        <v>2295</v>
      </c>
    </row>
    <row r="100" spans="1:12" hidden="1" x14ac:dyDescent="0.25">
      <c r="A100" s="516">
        <v>75</v>
      </c>
      <c r="B100" t="s">
        <v>441</v>
      </c>
      <c r="C100" t="s">
        <v>432</v>
      </c>
      <c r="D100" t="s">
        <v>2229</v>
      </c>
      <c r="E100">
        <v>4</v>
      </c>
      <c r="F100">
        <v>3.7416558816169181E-10</v>
      </c>
      <c r="G100">
        <v>2.5754697866871949E-12</v>
      </c>
      <c r="H100">
        <v>1.368481476759739E-12</v>
      </c>
      <c r="I100" t="s">
        <v>2231</v>
      </c>
      <c r="L100" t="s">
        <v>2295</v>
      </c>
    </row>
    <row r="101" spans="1:12" hidden="1" x14ac:dyDescent="0.25">
      <c r="A101" s="516">
        <v>76</v>
      </c>
      <c r="B101" t="s">
        <v>441</v>
      </c>
      <c r="C101" t="s">
        <v>432</v>
      </c>
      <c r="D101" t="s">
        <v>2229</v>
      </c>
      <c r="E101">
        <v>4</v>
      </c>
      <c r="F101">
        <v>9.1837246455421875E-4</v>
      </c>
      <c r="G101">
        <v>6.3213737719855016E-6</v>
      </c>
      <c r="H101">
        <v>1.9434314734445009E-5</v>
      </c>
      <c r="I101" t="s">
        <v>481</v>
      </c>
      <c r="J101" t="s">
        <v>419</v>
      </c>
      <c r="K101" t="s">
        <v>433</v>
      </c>
      <c r="L101" t="s">
        <v>2295</v>
      </c>
    </row>
    <row r="102" spans="1:12" hidden="1" x14ac:dyDescent="0.25">
      <c r="A102" s="516">
        <v>77</v>
      </c>
      <c r="B102" t="s">
        <v>441</v>
      </c>
      <c r="C102" t="s">
        <v>432</v>
      </c>
      <c r="D102" t="s">
        <v>2229</v>
      </c>
      <c r="E102">
        <v>4</v>
      </c>
      <c r="F102">
        <v>7.0628911491589931E-4</v>
      </c>
      <c r="G102">
        <v>4.8615541719616018E-6</v>
      </c>
      <c r="H102">
        <v>8.6297481277489464E-5</v>
      </c>
      <c r="I102" t="s">
        <v>2248</v>
      </c>
      <c r="J102" t="s">
        <v>419</v>
      </c>
      <c r="K102" t="s">
        <v>434</v>
      </c>
      <c r="L102" t="s">
        <v>2295</v>
      </c>
    </row>
    <row r="103" spans="1:12" hidden="1" x14ac:dyDescent="0.25">
      <c r="A103" s="516">
        <v>78</v>
      </c>
      <c r="B103" t="s">
        <v>441</v>
      </c>
      <c r="C103" t="s">
        <v>432</v>
      </c>
      <c r="D103" t="s">
        <v>2229</v>
      </c>
      <c r="E103">
        <v>4</v>
      </c>
      <c r="F103">
        <v>6.4264141206245258E-5</v>
      </c>
      <c r="G103">
        <v>4.4234520565413597E-7</v>
      </c>
      <c r="H103">
        <v>6.2827331049046386E-6</v>
      </c>
      <c r="I103" t="s">
        <v>2231</v>
      </c>
      <c r="L103" t="s">
        <v>2295</v>
      </c>
    </row>
    <row r="104" spans="1:12" hidden="1" x14ac:dyDescent="0.25">
      <c r="A104" s="516">
        <v>79</v>
      </c>
      <c r="B104" t="s">
        <v>441</v>
      </c>
      <c r="C104" t="s">
        <v>432</v>
      </c>
      <c r="D104" t="s">
        <v>2229</v>
      </c>
      <c r="E104">
        <v>4</v>
      </c>
      <c r="F104">
        <v>3.2168642060569219E-6</v>
      </c>
      <c r="G104">
        <v>2.2142433277415251E-8</v>
      </c>
      <c r="H104">
        <v>3.4385262422380778E-8</v>
      </c>
      <c r="I104" t="s">
        <v>2231</v>
      </c>
      <c r="L104" t="s">
        <v>2295</v>
      </c>
    </row>
    <row r="105" spans="1:12" hidden="1" x14ac:dyDescent="0.25">
      <c r="A105" s="516">
        <v>80</v>
      </c>
      <c r="B105" t="s">
        <v>441</v>
      </c>
      <c r="C105" t="s">
        <v>432</v>
      </c>
      <c r="D105" t="s">
        <v>2229</v>
      </c>
      <c r="E105">
        <v>4</v>
      </c>
      <c r="F105">
        <v>2.4697150963334042E-7</v>
      </c>
      <c r="G105">
        <v>1.699963014659498E-9</v>
      </c>
      <c r="H105">
        <v>2.4598021480997841E-9</v>
      </c>
      <c r="I105" t="s">
        <v>2231</v>
      </c>
      <c r="L105" t="s">
        <v>2295</v>
      </c>
    </row>
    <row r="106" spans="1:12" hidden="1" x14ac:dyDescent="0.25">
      <c r="A106" s="516">
        <v>81</v>
      </c>
      <c r="B106" t="s">
        <v>441</v>
      </c>
      <c r="C106" t="s">
        <v>432</v>
      </c>
      <c r="D106" t="s">
        <v>2229</v>
      </c>
      <c r="E106">
        <v>4</v>
      </c>
      <c r="F106">
        <v>6.2191237338603169E-7</v>
      </c>
      <c r="G106">
        <v>4.2807692056664639E-9</v>
      </c>
      <c r="H106">
        <v>4.6944111417960666E-9</v>
      </c>
      <c r="I106" t="s">
        <v>2231</v>
      </c>
      <c r="L106" t="s">
        <v>2295</v>
      </c>
    </row>
    <row r="107" spans="1:12" hidden="1" x14ac:dyDescent="0.25">
      <c r="A107" s="516">
        <v>82</v>
      </c>
      <c r="B107" t="s">
        <v>441</v>
      </c>
      <c r="C107" t="s">
        <v>432</v>
      </c>
      <c r="D107" t="s">
        <v>2229</v>
      </c>
      <c r="E107">
        <v>4</v>
      </c>
      <c r="F107">
        <v>9.5858133817152444E-5</v>
      </c>
      <c r="G107">
        <v>6.5981409104785905E-7</v>
      </c>
      <c r="H107">
        <v>3.9755253027387352E-7</v>
      </c>
      <c r="I107" t="s">
        <v>2231</v>
      </c>
      <c r="L107" t="s">
        <v>2295</v>
      </c>
    </row>
    <row r="108" spans="1:12" hidden="1" x14ac:dyDescent="0.25">
      <c r="A108" s="516">
        <v>83</v>
      </c>
      <c r="B108" t="s">
        <v>441</v>
      </c>
      <c r="C108" t="s">
        <v>432</v>
      </c>
      <c r="D108" t="s">
        <v>2229</v>
      </c>
      <c r="E108">
        <v>4</v>
      </c>
      <c r="F108">
        <v>2.822617641932833E-6</v>
      </c>
      <c r="G108">
        <v>1.9428741408006769E-8</v>
      </c>
      <c r="H108">
        <v>-3.1007365106328259E-8</v>
      </c>
      <c r="I108" t="s">
        <v>2231</v>
      </c>
      <c r="L108" t="s">
        <v>2295</v>
      </c>
    </row>
    <row r="109" spans="1:12" hidden="1" x14ac:dyDescent="0.25">
      <c r="A109" s="516">
        <v>84</v>
      </c>
      <c r="B109" t="s">
        <v>441</v>
      </c>
      <c r="C109" t="s">
        <v>432</v>
      </c>
      <c r="D109" t="s">
        <v>2229</v>
      </c>
      <c r="E109">
        <v>4</v>
      </c>
      <c r="F109">
        <v>4.1484148984179934E-6</v>
      </c>
      <c r="G109">
        <v>2.8554515892310069E-8</v>
      </c>
      <c r="H109">
        <v>7.3534226187912552E-9</v>
      </c>
      <c r="I109" t="s">
        <v>2231</v>
      </c>
      <c r="L109" t="s">
        <v>2295</v>
      </c>
    </row>
    <row r="110" spans="1:12" hidden="1" x14ac:dyDescent="0.25">
      <c r="A110" s="516">
        <v>85</v>
      </c>
      <c r="B110" t="s">
        <v>441</v>
      </c>
      <c r="C110" t="s">
        <v>432</v>
      </c>
      <c r="D110" t="s">
        <v>2229</v>
      </c>
      <c r="E110">
        <v>4</v>
      </c>
      <c r="F110">
        <v>3.5081673277042142E-6</v>
      </c>
      <c r="G110">
        <v>2.414754120905662E-8</v>
      </c>
      <c r="H110">
        <v>1.4031265774372009E-13</v>
      </c>
      <c r="I110" t="s">
        <v>2231</v>
      </c>
      <c r="L110" t="s">
        <v>2295</v>
      </c>
    </row>
    <row r="111" spans="1:12" hidden="1" x14ac:dyDescent="0.25">
      <c r="A111" s="516">
        <v>86</v>
      </c>
      <c r="B111" t="s">
        <v>441</v>
      </c>
      <c r="C111" t="s">
        <v>432</v>
      </c>
      <c r="D111" t="s">
        <v>2229</v>
      </c>
      <c r="E111">
        <v>4</v>
      </c>
      <c r="F111">
        <v>1.427884902914551E-6</v>
      </c>
      <c r="G111">
        <v>9.8284677765022628E-9</v>
      </c>
      <c r="H111">
        <v>1.6023359063326059E-10</v>
      </c>
      <c r="I111" t="s">
        <v>2231</v>
      </c>
      <c r="L111" t="s">
        <v>2295</v>
      </c>
    </row>
    <row r="112" spans="1:12" hidden="1" x14ac:dyDescent="0.25">
      <c r="A112" s="516">
        <v>87</v>
      </c>
      <c r="B112" t="s">
        <v>441</v>
      </c>
      <c r="C112" t="s">
        <v>432</v>
      </c>
      <c r="D112" t="s">
        <v>2229</v>
      </c>
      <c r="E112">
        <v>4</v>
      </c>
      <c r="F112">
        <v>4.0413699398740527E-6</v>
      </c>
      <c r="G112">
        <v>2.781770025434187E-8</v>
      </c>
      <c r="H112">
        <v>3.8715900007063501E-9</v>
      </c>
      <c r="I112" t="s">
        <v>2231</v>
      </c>
      <c r="L112" t="s">
        <v>2295</v>
      </c>
    </row>
    <row r="113" spans="1:12" hidden="1" x14ac:dyDescent="0.25">
      <c r="A113" s="516">
        <v>88</v>
      </c>
      <c r="B113" t="s">
        <v>441</v>
      </c>
      <c r="C113" t="s">
        <v>432</v>
      </c>
      <c r="D113" t="s">
        <v>2229</v>
      </c>
      <c r="E113">
        <v>4</v>
      </c>
      <c r="F113">
        <v>8.7180675584300568E-5</v>
      </c>
      <c r="G113">
        <v>6.0008510417402509E-7</v>
      </c>
      <c r="H113">
        <v>-1.740916309042453E-6</v>
      </c>
      <c r="I113" t="s">
        <v>2231</v>
      </c>
      <c r="L113" t="s">
        <v>2295</v>
      </c>
    </row>
    <row r="114" spans="1:12" hidden="1" x14ac:dyDescent="0.25">
      <c r="A114" s="516">
        <v>89</v>
      </c>
      <c r="B114" t="s">
        <v>441</v>
      </c>
      <c r="C114" t="s">
        <v>432</v>
      </c>
      <c r="D114" t="s">
        <v>2229</v>
      </c>
      <c r="E114">
        <v>4</v>
      </c>
      <c r="F114">
        <v>7.6810594966308427E-6</v>
      </c>
      <c r="G114">
        <v>5.2870539913923787E-8</v>
      </c>
      <c r="H114">
        <v>1.299191275404815E-8</v>
      </c>
      <c r="I114" t="s">
        <v>2231</v>
      </c>
      <c r="L114" t="s">
        <v>2295</v>
      </c>
    </row>
    <row r="115" spans="1:12" hidden="1" x14ac:dyDescent="0.25">
      <c r="A115" s="516">
        <v>90</v>
      </c>
      <c r="B115" t="s">
        <v>441</v>
      </c>
      <c r="C115" t="s">
        <v>432</v>
      </c>
      <c r="D115" t="s">
        <v>2229</v>
      </c>
      <c r="E115">
        <v>4</v>
      </c>
      <c r="F115">
        <v>2.5934718099210941E-6</v>
      </c>
      <c r="G115">
        <v>1.7851476726903861E-8</v>
      </c>
      <c r="H115">
        <v>-6.8424073837986952E-7</v>
      </c>
      <c r="I115" t="s">
        <v>2231</v>
      </c>
      <c r="L115" t="s">
        <v>2295</v>
      </c>
    </row>
    <row r="116" spans="1:12" hidden="1" x14ac:dyDescent="0.25">
      <c r="A116" s="516">
        <v>91</v>
      </c>
      <c r="B116" t="s">
        <v>441</v>
      </c>
      <c r="C116" t="s">
        <v>432</v>
      </c>
      <c r="D116" t="s">
        <v>2229</v>
      </c>
      <c r="E116">
        <v>4</v>
      </c>
      <c r="F116">
        <v>6.2723558775524868E-6</v>
      </c>
      <c r="G116">
        <v>4.3174101427535303E-8</v>
      </c>
      <c r="H116">
        <v>2.0440609399702429E-8</v>
      </c>
      <c r="I116" t="s">
        <v>2231</v>
      </c>
      <c r="L116" t="s">
        <v>2295</v>
      </c>
    </row>
    <row r="117" spans="1:12" hidden="1" x14ac:dyDescent="0.25">
      <c r="A117" s="516">
        <v>92</v>
      </c>
      <c r="B117" t="s">
        <v>441</v>
      </c>
      <c r="C117" t="s">
        <v>432</v>
      </c>
      <c r="D117" t="s">
        <v>2229</v>
      </c>
      <c r="E117">
        <v>4</v>
      </c>
      <c r="F117">
        <v>2.111826742210725E-3</v>
      </c>
      <c r="G117">
        <v>1.453620039192751E-5</v>
      </c>
      <c r="H117">
        <v>7.4053902698074482E-6</v>
      </c>
      <c r="I117" t="s">
        <v>2249</v>
      </c>
      <c r="J117" t="s">
        <v>462</v>
      </c>
      <c r="K117" t="s">
        <v>417</v>
      </c>
      <c r="L117" t="s">
        <v>2295</v>
      </c>
    </row>
    <row r="118" spans="1:12" hidden="1" x14ac:dyDescent="0.25">
      <c r="A118" s="516">
        <v>93</v>
      </c>
      <c r="B118" t="s">
        <v>441</v>
      </c>
      <c r="C118" t="s">
        <v>432</v>
      </c>
      <c r="D118" t="s">
        <v>2229</v>
      </c>
      <c r="E118">
        <v>4</v>
      </c>
      <c r="F118">
        <v>6.5032418060837843E-6</v>
      </c>
      <c r="G118">
        <v>4.4763343602437303E-8</v>
      </c>
      <c r="H118">
        <v>3.6204130207947519E-7</v>
      </c>
      <c r="I118" t="s">
        <v>2231</v>
      </c>
      <c r="L118" t="s">
        <v>2295</v>
      </c>
    </row>
    <row r="119" spans="1:12" hidden="1" x14ac:dyDescent="0.25">
      <c r="A119" s="516">
        <v>94</v>
      </c>
      <c r="B119" t="s">
        <v>441</v>
      </c>
      <c r="C119" t="s">
        <v>432</v>
      </c>
      <c r="D119" t="s">
        <v>2229</v>
      </c>
      <c r="E119">
        <v>4</v>
      </c>
      <c r="F119">
        <v>6.7170921919829946E-7</v>
      </c>
      <c r="G119">
        <v>4.6235326128838969E-9</v>
      </c>
      <c r="H119">
        <v>-1.858040544559376E-9</v>
      </c>
      <c r="I119" t="s">
        <v>2231</v>
      </c>
      <c r="L119" t="s">
        <v>2295</v>
      </c>
    </row>
    <row r="120" spans="1:12" hidden="1" x14ac:dyDescent="0.25">
      <c r="A120" s="516">
        <v>95</v>
      </c>
      <c r="B120" t="s">
        <v>441</v>
      </c>
      <c r="C120" t="s">
        <v>432</v>
      </c>
      <c r="D120" t="s">
        <v>2229</v>
      </c>
      <c r="E120">
        <v>4</v>
      </c>
      <c r="F120">
        <v>2.472303845687271E-5</v>
      </c>
      <c r="G120">
        <v>1.701744911754564E-7</v>
      </c>
      <c r="H120">
        <v>-7.5054082959405696E-8</v>
      </c>
      <c r="I120" t="s">
        <v>2231</v>
      </c>
      <c r="L120" t="s">
        <v>2295</v>
      </c>
    </row>
    <row r="121" spans="1:12" hidden="1" x14ac:dyDescent="0.25">
      <c r="A121" s="516">
        <v>96</v>
      </c>
      <c r="B121" t="s">
        <v>441</v>
      </c>
      <c r="C121" t="s">
        <v>432</v>
      </c>
      <c r="D121" t="s">
        <v>2229</v>
      </c>
      <c r="E121">
        <v>4</v>
      </c>
      <c r="F121">
        <v>6.8592112166820093E-7</v>
      </c>
      <c r="G121">
        <v>4.7213564817287226E-9</v>
      </c>
      <c r="H121">
        <v>1.1650781536370321E-5</v>
      </c>
      <c r="I121" t="s">
        <v>2231</v>
      </c>
      <c r="L121" t="s">
        <v>2295</v>
      </c>
    </row>
    <row r="122" spans="1:12" hidden="1" x14ac:dyDescent="0.25">
      <c r="A122" s="516">
        <v>97</v>
      </c>
      <c r="B122" t="s">
        <v>441</v>
      </c>
      <c r="C122" t="s">
        <v>432</v>
      </c>
      <c r="D122" t="s">
        <v>2229</v>
      </c>
      <c r="E122">
        <v>4</v>
      </c>
      <c r="F122">
        <v>1.8841425053147021E-9</v>
      </c>
      <c r="G122">
        <v>1.296899621392803E-11</v>
      </c>
      <c r="H122">
        <v>4.193994227302119E-8</v>
      </c>
      <c r="I122" t="s">
        <v>2231</v>
      </c>
      <c r="L122" t="s">
        <v>2295</v>
      </c>
    </row>
    <row r="123" spans="1:12" x14ac:dyDescent="0.25">
      <c r="A123" s="516">
        <v>98</v>
      </c>
      <c r="B123" t="s">
        <v>441</v>
      </c>
      <c r="C123" t="s">
        <v>432</v>
      </c>
      <c r="D123" t="s">
        <v>2229</v>
      </c>
      <c r="E123">
        <v>3</v>
      </c>
      <c r="F123">
        <v>7.524113333554971E-4</v>
      </c>
      <c r="G123">
        <v>5.1790242543114489E-6</v>
      </c>
      <c r="H123">
        <v>1.0215863020277181E-6</v>
      </c>
      <c r="I123" t="s">
        <v>460</v>
      </c>
      <c r="J123" t="s">
        <v>462</v>
      </c>
      <c r="K123" t="s">
        <v>417</v>
      </c>
      <c r="L123" t="s">
        <v>2295</v>
      </c>
    </row>
    <row r="124" spans="1:12" hidden="1" x14ac:dyDescent="0.25">
      <c r="A124" s="516">
        <v>99</v>
      </c>
      <c r="B124" t="s">
        <v>441</v>
      </c>
      <c r="C124" t="s">
        <v>432</v>
      </c>
      <c r="D124" t="s">
        <v>2229</v>
      </c>
      <c r="E124">
        <v>4</v>
      </c>
      <c r="F124">
        <v>9.1032049340443317E-5</v>
      </c>
      <c r="G124">
        <v>6.2659501598852152E-7</v>
      </c>
      <c r="H124">
        <v>1.3313215338194921E-7</v>
      </c>
      <c r="I124" t="s">
        <v>2231</v>
      </c>
      <c r="L124" t="s">
        <v>2295</v>
      </c>
    </row>
    <row r="125" spans="1:12" hidden="1" x14ac:dyDescent="0.25">
      <c r="A125" s="516">
        <v>100</v>
      </c>
      <c r="B125" t="s">
        <v>441</v>
      </c>
      <c r="C125" t="s">
        <v>432</v>
      </c>
      <c r="D125" t="s">
        <v>2229</v>
      </c>
      <c r="E125">
        <v>4</v>
      </c>
      <c r="F125">
        <v>6.5463303944154796E-4</v>
      </c>
      <c r="G125">
        <v>4.5059932494923397E-6</v>
      </c>
      <c r="H125">
        <v>8.8845414864576876E-7</v>
      </c>
      <c r="I125" t="s">
        <v>580</v>
      </c>
      <c r="J125" t="s">
        <v>1992</v>
      </c>
      <c r="K125" t="s">
        <v>417</v>
      </c>
      <c r="L125" t="s">
        <v>2295</v>
      </c>
    </row>
    <row r="126" spans="1:12" hidden="1" x14ac:dyDescent="0.25">
      <c r="A126" s="516">
        <v>101</v>
      </c>
      <c r="B126" t="s">
        <v>441</v>
      </c>
      <c r="C126" t="s">
        <v>432</v>
      </c>
      <c r="D126" t="s">
        <v>2229</v>
      </c>
      <c r="E126">
        <v>4</v>
      </c>
      <c r="F126">
        <v>1.4752385802086609E-6</v>
      </c>
      <c r="G126">
        <v>1.015441427991725E-8</v>
      </c>
      <c r="H126">
        <v>1.9440787327587471E-7</v>
      </c>
      <c r="I126" t="s">
        <v>2231</v>
      </c>
      <c r="L126" t="s">
        <v>2295</v>
      </c>
    </row>
    <row r="127" spans="1:12" hidden="1" x14ac:dyDescent="0.25">
      <c r="A127" s="516">
        <v>102</v>
      </c>
      <c r="B127" t="s">
        <v>441</v>
      </c>
      <c r="C127" t="s">
        <v>432</v>
      </c>
      <c r="D127" t="s">
        <v>2229</v>
      </c>
      <c r="E127">
        <v>4</v>
      </c>
      <c r="F127">
        <v>1.537211477356676E-7</v>
      </c>
      <c r="G127">
        <v>1.0580988313575339E-9</v>
      </c>
      <c r="H127">
        <v>2.0533884670757129E-8</v>
      </c>
      <c r="I127" t="s">
        <v>2231</v>
      </c>
      <c r="L127" t="s">
        <v>2295</v>
      </c>
    </row>
    <row r="128" spans="1:12" hidden="1" x14ac:dyDescent="0.25">
      <c r="A128" s="516">
        <v>103</v>
      </c>
      <c r="B128" t="s">
        <v>441</v>
      </c>
      <c r="C128" t="s">
        <v>432</v>
      </c>
      <c r="D128" t="s">
        <v>2229</v>
      </c>
      <c r="E128">
        <v>4</v>
      </c>
      <c r="F128">
        <v>4.6498799523869969E-6</v>
      </c>
      <c r="G128">
        <v>3.2006217856464297E-8</v>
      </c>
      <c r="H128">
        <v>2.109575713687238E-7</v>
      </c>
      <c r="I128" t="s">
        <v>2231</v>
      </c>
      <c r="L128" t="s">
        <v>2295</v>
      </c>
    </row>
    <row r="129" spans="1:12" hidden="1" x14ac:dyDescent="0.25">
      <c r="A129" s="516">
        <v>104</v>
      </c>
      <c r="B129" t="s">
        <v>441</v>
      </c>
      <c r="C129" t="s">
        <v>432</v>
      </c>
      <c r="D129" t="s">
        <v>2229</v>
      </c>
      <c r="E129">
        <v>4</v>
      </c>
      <c r="F129">
        <v>4.6741606847344569E-7</v>
      </c>
      <c r="G129">
        <v>3.2173347850611429E-9</v>
      </c>
      <c r="H129">
        <v>4.5041740056402089E-7</v>
      </c>
      <c r="I129" t="s">
        <v>2231</v>
      </c>
      <c r="L129" t="s">
        <v>2295</v>
      </c>
    </row>
    <row r="130" spans="1:12" x14ac:dyDescent="0.25">
      <c r="A130" s="516">
        <v>105</v>
      </c>
      <c r="B130" t="s">
        <v>441</v>
      </c>
      <c r="C130" t="s">
        <v>432</v>
      </c>
      <c r="D130" t="s">
        <v>2229</v>
      </c>
      <c r="E130">
        <v>3</v>
      </c>
      <c r="F130">
        <v>2.6577779142171621E-2</v>
      </c>
      <c r="G130">
        <v>1.8294110774379411E-4</v>
      </c>
      <c r="H130">
        <v>8.661275169365436E-5</v>
      </c>
      <c r="I130" t="s">
        <v>2250</v>
      </c>
      <c r="J130" t="s">
        <v>462</v>
      </c>
      <c r="K130" t="s">
        <v>417</v>
      </c>
      <c r="L130" t="s">
        <v>2295</v>
      </c>
    </row>
    <row r="131" spans="1:12" hidden="1" x14ac:dyDescent="0.25">
      <c r="A131" s="516">
        <v>106</v>
      </c>
      <c r="B131" t="s">
        <v>441</v>
      </c>
      <c r="C131" t="s">
        <v>432</v>
      </c>
      <c r="D131" t="s">
        <v>2229</v>
      </c>
      <c r="E131">
        <v>4</v>
      </c>
      <c r="F131">
        <v>1.7511514272778039E-2</v>
      </c>
      <c r="G131">
        <v>1.205358733021482E-4</v>
      </c>
      <c r="H131">
        <v>5.1118942784407733E-5</v>
      </c>
      <c r="I131" t="s">
        <v>2251</v>
      </c>
      <c r="J131" t="s">
        <v>1992</v>
      </c>
      <c r="K131" t="s">
        <v>417</v>
      </c>
      <c r="L131" t="s">
        <v>2295</v>
      </c>
    </row>
    <row r="132" spans="1:12" hidden="1" x14ac:dyDescent="0.25">
      <c r="A132" s="516">
        <v>107</v>
      </c>
      <c r="B132" t="s">
        <v>441</v>
      </c>
      <c r="C132" t="s">
        <v>432</v>
      </c>
      <c r="D132" t="s">
        <v>2229</v>
      </c>
      <c r="E132">
        <v>4</v>
      </c>
      <c r="F132">
        <v>4.5294124077906459E-8</v>
      </c>
      <c r="G132">
        <v>3.1177011400283682E-10</v>
      </c>
      <c r="H132">
        <v>9.8650667878707843E-10</v>
      </c>
      <c r="I132" t="s">
        <v>2231</v>
      </c>
      <c r="L132" t="s">
        <v>2295</v>
      </c>
    </row>
    <row r="133" spans="1:12" hidden="1" x14ac:dyDescent="0.25">
      <c r="A133" s="516">
        <v>108</v>
      </c>
      <c r="B133" t="s">
        <v>441</v>
      </c>
      <c r="C133" t="s">
        <v>432</v>
      </c>
      <c r="D133" t="s">
        <v>2229</v>
      </c>
      <c r="E133">
        <v>4</v>
      </c>
      <c r="F133">
        <v>3.459790737304486E-3</v>
      </c>
      <c r="G133">
        <v>2.3814553754038171E-5</v>
      </c>
      <c r="H133">
        <v>1.082371738256408E-5</v>
      </c>
      <c r="I133" t="s">
        <v>2251</v>
      </c>
      <c r="J133" t="s">
        <v>419</v>
      </c>
      <c r="K133" t="s">
        <v>417</v>
      </c>
      <c r="L133" t="s">
        <v>2295</v>
      </c>
    </row>
    <row r="134" spans="1:12" hidden="1" x14ac:dyDescent="0.25">
      <c r="A134" s="516">
        <v>109</v>
      </c>
      <c r="B134" t="s">
        <v>441</v>
      </c>
      <c r="C134" t="s">
        <v>432</v>
      </c>
      <c r="D134" t="s">
        <v>2229</v>
      </c>
      <c r="E134">
        <v>4</v>
      </c>
      <c r="F134">
        <v>4.8599938060945897E-5</v>
      </c>
      <c r="G134">
        <v>3.3452480952562988E-7</v>
      </c>
      <c r="H134">
        <v>8.5097238472389624E-7</v>
      </c>
      <c r="I134" t="s">
        <v>2231</v>
      </c>
      <c r="L134" t="s">
        <v>2295</v>
      </c>
    </row>
    <row r="135" spans="1:12" hidden="1" x14ac:dyDescent="0.25">
      <c r="A135" s="516">
        <v>110</v>
      </c>
      <c r="B135" t="s">
        <v>441</v>
      </c>
      <c r="C135" t="s">
        <v>432</v>
      </c>
      <c r="D135" t="s">
        <v>2229</v>
      </c>
      <c r="E135">
        <v>4</v>
      </c>
      <c r="F135">
        <v>2.5806115280677731E-3</v>
      </c>
      <c r="G135">
        <v>1.7762956380807259E-5</v>
      </c>
      <c r="H135">
        <v>1.2277194154703439E-5</v>
      </c>
      <c r="I135" t="s">
        <v>1454</v>
      </c>
      <c r="J135" t="s">
        <v>1992</v>
      </c>
      <c r="K135" t="s">
        <v>417</v>
      </c>
      <c r="L135" t="s">
        <v>2295</v>
      </c>
    </row>
    <row r="136" spans="1:12" hidden="1" x14ac:dyDescent="0.25">
      <c r="A136" s="516">
        <v>111</v>
      </c>
      <c r="B136" t="s">
        <v>441</v>
      </c>
      <c r="C136" t="s">
        <v>432</v>
      </c>
      <c r="D136" t="s">
        <v>2229</v>
      </c>
      <c r="E136">
        <v>4</v>
      </c>
      <c r="F136">
        <v>6.5309232622869616E-4</v>
      </c>
      <c r="G136">
        <v>4.4953881579093724E-6</v>
      </c>
      <c r="H136">
        <v>2.3333258765765228E-6</v>
      </c>
      <c r="I136" t="s">
        <v>2251</v>
      </c>
      <c r="J136" t="s">
        <v>2252</v>
      </c>
      <c r="K136" t="s">
        <v>417</v>
      </c>
      <c r="L136" t="s">
        <v>2295</v>
      </c>
    </row>
    <row r="137" spans="1:12" hidden="1" x14ac:dyDescent="0.25">
      <c r="A137" s="516">
        <v>112</v>
      </c>
      <c r="B137" t="s">
        <v>441</v>
      </c>
      <c r="C137" t="s">
        <v>432</v>
      </c>
      <c r="D137" t="s">
        <v>2229</v>
      </c>
      <c r="E137">
        <v>4</v>
      </c>
      <c r="F137">
        <v>1.2515668589598171E-3</v>
      </c>
      <c r="G137">
        <v>8.6148291912859081E-6</v>
      </c>
      <c r="H137">
        <v>2.8157606536467428E-6</v>
      </c>
      <c r="I137" t="s">
        <v>1454</v>
      </c>
      <c r="J137" t="s">
        <v>2252</v>
      </c>
      <c r="K137" t="s">
        <v>417</v>
      </c>
      <c r="L137" t="s">
        <v>2295</v>
      </c>
    </row>
    <row r="138" spans="1:12" hidden="1" x14ac:dyDescent="0.25">
      <c r="A138" s="516">
        <v>113</v>
      </c>
      <c r="B138" t="s">
        <v>441</v>
      </c>
      <c r="C138" t="s">
        <v>432</v>
      </c>
      <c r="D138" t="s">
        <v>2229</v>
      </c>
      <c r="E138">
        <v>4</v>
      </c>
      <c r="F138">
        <v>4.9465186519023134E-4</v>
      </c>
      <c r="G138">
        <v>3.404805182606423E-6</v>
      </c>
      <c r="H138">
        <v>6.3431531194027866E-6</v>
      </c>
      <c r="I138" t="s">
        <v>1454</v>
      </c>
      <c r="J138" t="s">
        <v>2253</v>
      </c>
      <c r="K138" t="s">
        <v>417</v>
      </c>
      <c r="L138" t="s">
        <v>2295</v>
      </c>
    </row>
    <row r="139" spans="1:12" hidden="1" x14ac:dyDescent="0.25">
      <c r="A139" s="516">
        <v>114</v>
      </c>
      <c r="B139" t="s">
        <v>441</v>
      </c>
      <c r="C139" t="s">
        <v>432</v>
      </c>
      <c r="D139" t="s">
        <v>2229</v>
      </c>
      <c r="E139">
        <v>4</v>
      </c>
      <c r="F139">
        <v>5.9405513167296108E-6</v>
      </c>
      <c r="G139">
        <v>4.0890212559820809E-8</v>
      </c>
      <c r="H139">
        <v>4.8698830950311433E-8</v>
      </c>
      <c r="I139" t="s">
        <v>2231</v>
      </c>
      <c r="L139" t="s">
        <v>2295</v>
      </c>
    </row>
    <row r="140" spans="1:12" hidden="1" x14ac:dyDescent="0.25">
      <c r="A140" s="516">
        <v>115</v>
      </c>
      <c r="B140" t="s">
        <v>441</v>
      </c>
      <c r="C140" t="s">
        <v>432</v>
      </c>
      <c r="D140" t="s">
        <v>2229</v>
      </c>
      <c r="E140">
        <v>4</v>
      </c>
      <c r="F140">
        <v>1.2507457527856031E-4</v>
      </c>
      <c r="G140">
        <v>8.6091773242776682E-7</v>
      </c>
      <c r="H140">
        <v>1.6482406647302429E-5</v>
      </c>
      <c r="I140" t="s">
        <v>2254</v>
      </c>
      <c r="J140" t="s">
        <v>462</v>
      </c>
      <c r="K140" t="s">
        <v>925</v>
      </c>
      <c r="L140" t="s">
        <v>2295</v>
      </c>
    </row>
    <row r="141" spans="1:12" hidden="1" x14ac:dyDescent="0.25">
      <c r="A141" s="516">
        <v>116</v>
      </c>
      <c r="B141" t="s">
        <v>441</v>
      </c>
      <c r="C141" t="s">
        <v>432</v>
      </c>
      <c r="D141" t="s">
        <v>2229</v>
      </c>
      <c r="E141">
        <v>4</v>
      </c>
      <c r="F141">
        <v>1.303287991671964E-5</v>
      </c>
      <c r="G141">
        <v>8.9708379180312691E-8</v>
      </c>
      <c r="H141">
        <v>1.740916309042453E-6</v>
      </c>
      <c r="I141" t="s">
        <v>2231</v>
      </c>
      <c r="L141" t="s">
        <v>2295</v>
      </c>
    </row>
    <row r="142" spans="1:12" hidden="1" x14ac:dyDescent="0.25">
      <c r="A142" s="516">
        <v>117</v>
      </c>
      <c r="B142" t="s">
        <v>441</v>
      </c>
      <c r="C142" t="s">
        <v>432</v>
      </c>
      <c r="D142" t="s">
        <v>2229</v>
      </c>
      <c r="E142">
        <v>4</v>
      </c>
      <c r="F142">
        <v>3.9422895248498411E-4</v>
      </c>
      <c r="G142">
        <v>2.7135706443524051E-6</v>
      </c>
      <c r="H142">
        <v>1.788553322473962E-5</v>
      </c>
      <c r="I142" t="s">
        <v>2255</v>
      </c>
      <c r="J142" t="s">
        <v>462</v>
      </c>
      <c r="K142" t="s">
        <v>925</v>
      </c>
      <c r="L142" t="s">
        <v>2295</v>
      </c>
    </row>
    <row r="143" spans="1:12" hidden="1" x14ac:dyDescent="0.25">
      <c r="A143" s="516">
        <v>118</v>
      </c>
      <c r="B143" t="s">
        <v>441</v>
      </c>
      <c r="C143" t="s">
        <v>432</v>
      </c>
      <c r="D143" t="s">
        <v>2229</v>
      </c>
      <c r="E143">
        <v>4</v>
      </c>
      <c r="F143">
        <v>3.9628753631437977E-5</v>
      </c>
      <c r="G143">
        <v>2.7277403612470549E-7</v>
      </c>
      <c r="H143">
        <v>3.8187562221732208E-5</v>
      </c>
      <c r="I143" t="s">
        <v>2231</v>
      </c>
      <c r="L143" t="s">
        <v>2295</v>
      </c>
    </row>
    <row r="144" spans="1:12" x14ac:dyDescent="0.25">
      <c r="A144" s="516">
        <v>119</v>
      </c>
      <c r="B144" t="s">
        <v>441</v>
      </c>
      <c r="C144" t="s">
        <v>432</v>
      </c>
      <c r="D144" t="s">
        <v>2229</v>
      </c>
      <c r="E144">
        <v>3</v>
      </c>
      <c r="F144">
        <v>4.5773092437544412E-5</v>
      </c>
      <c r="G144">
        <v>3.1506696592630541E-7</v>
      </c>
      <c r="H144">
        <v>1.9987558083151011E-7</v>
      </c>
      <c r="I144" t="s">
        <v>2231</v>
      </c>
      <c r="L144" t="s">
        <v>2295</v>
      </c>
    </row>
    <row r="145" spans="1:12" x14ac:dyDescent="0.25">
      <c r="A145" s="516">
        <v>120</v>
      </c>
      <c r="B145" t="s">
        <v>441</v>
      </c>
      <c r="C145" t="s">
        <v>432</v>
      </c>
      <c r="D145" t="s">
        <v>2229</v>
      </c>
      <c r="E145">
        <v>3</v>
      </c>
      <c r="F145">
        <v>4.4650239954483589E-8</v>
      </c>
      <c r="G145">
        <v>3.0733810807158428E-10</v>
      </c>
      <c r="H145">
        <v>-3.1091757018234902E-8</v>
      </c>
      <c r="I145" t="s">
        <v>2231</v>
      </c>
      <c r="L145" t="s">
        <v>2295</v>
      </c>
    </row>
    <row r="146" spans="1:12" x14ac:dyDescent="0.25">
      <c r="A146" s="516">
        <v>121</v>
      </c>
      <c r="B146" t="s">
        <v>441</v>
      </c>
      <c r="C146" t="s">
        <v>432</v>
      </c>
      <c r="D146" t="s">
        <v>2229</v>
      </c>
      <c r="E146">
        <v>3</v>
      </c>
      <c r="F146">
        <v>1.161128901422322E-7</v>
      </c>
      <c r="G146">
        <v>7.9923234489703839E-10</v>
      </c>
      <c r="H146">
        <v>-1.9987558083151011E-7</v>
      </c>
      <c r="I146" t="s">
        <v>2231</v>
      </c>
      <c r="L146" t="s">
        <v>2295</v>
      </c>
    </row>
    <row r="147" spans="1:12" x14ac:dyDescent="0.25">
      <c r="A147" s="516">
        <v>122</v>
      </c>
      <c r="B147" t="s">
        <v>441</v>
      </c>
      <c r="C147" t="s">
        <v>432</v>
      </c>
      <c r="D147" t="s">
        <v>2229</v>
      </c>
      <c r="E147">
        <v>3</v>
      </c>
      <c r="F147">
        <v>3.3670963333051138E-4</v>
      </c>
      <c r="G147">
        <v>2.3176516359770388E-6</v>
      </c>
      <c r="H147">
        <v>-7.5508552758570464E-7</v>
      </c>
      <c r="I147" t="s">
        <v>2256</v>
      </c>
      <c r="J147" t="s">
        <v>432</v>
      </c>
      <c r="K147" t="s">
        <v>417</v>
      </c>
      <c r="L147" t="s">
        <v>2295</v>
      </c>
    </row>
    <row r="148" spans="1:12" hidden="1" x14ac:dyDescent="0.25">
      <c r="A148" s="516">
        <v>123</v>
      </c>
      <c r="B148" t="s">
        <v>441</v>
      </c>
      <c r="C148" t="s">
        <v>432</v>
      </c>
      <c r="D148" t="s">
        <v>2229</v>
      </c>
      <c r="E148">
        <v>4</v>
      </c>
      <c r="F148">
        <v>-3.3670963333051138E-4</v>
      </c>
      <c r="G148">
        <v>-2.3176516359770388E-6</v>
      </c>
      <c r="H148">
        <v>7.5508552758570464E-7</v>
      </c>
      <c r="I148" t="s">
        <v>2257</v>
      </c>
      <c r="J148" t="s">
        <v>432</v>
      </c>
      <c r="K148" t="s">
        <v>417</v>
      </c>
      <c r="L148" t="s">
        <v>2295</v>
      </c>
    </row>
    <row r="149" spans="1:12" x14ac:dyDescent="0.25">
      <c r="A149" s="516">
        <v>124</v>
      </c>
      <c r="B149" t="s">
        <v>441</v>
      </c>
      <c r="C149" t="s">
        <v>432</v>
      </c>
      <c r="D149" t="s">
        <v>2229</v>
      </c>
      <c r="E149">
        <v>3</v>
      </c>
      <c r="F149">
        <v>5.8154102743588213E-5</v>
      </c>
      <c r="G149">
        <v>4.0028837318757128E-7</v>
      </c>
      <c r="H149">
        <v>7.1066873184536906E-7</v>
      </c>
      <c r="I149" t="s">
        <v>2231</v>
      </c>
      <c r="L149" t="s">
        <v>2295</v>
      </c>
    </row>
    <row r="150" spans="1:12" x14ac:dyDescent="0.25">
      <c r="A150" s="516">
        <v>125</v>
      </c>
      <c r="B150" t="s">
        <v>441</v>
      </c>
      <c r="C150" t="s">
        <v>432</v>
      </c>
      <c r="D150" t="s">
        <v>2229</v>
      </c>
      <c r="E150">
        <v>2</v>
      </c>
      <c r="F150">
        <v>0</v>
      </c>
      <c r="G150">
        <v>0</v>
      </c>
      <c r="H150">
        <v>0</v>
      </c>
      <c r="I150" t="s">
        <v>2231</v>
      </c>
    </row>
    <row r="151" spans="1:12" s="417" customFormat="1" x14ac:dyDescent="0.25">
      <c r="A151" s="568">
        <v>126</v>
      </c>
      <c r="B151" s="417" t="s">
        <v>441</v>
      </c>
      <c r="C151" s="417" t="s">
        <v>432</v>
      </c>
      <c r="D151" s="417" t="s">
        <v>2229</v>
      </c>
      <c r="E151" s="417">
        <v>2</v>
      </c>
      <c r="F151" s="417">
        <v>7.0847687181396493E-3</v>
      </c>
      <c r="G151" s="417">
        <v>4.8766130174830923E-5</v>
      </c>
      <c r="H151" s="417">
        <v>6.0980602046066296E-4</v>
      </c>
      <c r="I151" s="417" t="s">
        <v>1003</v>
      </c>
      <c r="J151" s="417" t="s">
        <v>432</v>
      </c>
      <c r="K151" s="417" t="s">
        <v>417</v>
      </c>
      <c r="L151" s="417" t="s">
        <v>155</v>
      </c>
    </row>
    <row r="152" spans="1:12" x14ac:dyDescent="0.25">
      <c r="A152" s="516">
        <v>127</v>
      </c>
      <c r="B152" t="s">
        <v>441</v>
      </c>
      <c r="C152" t="s">
        <v>432</v>
      </c>
      <c r="D152" t="s">
        <v>2229</v>
      </c>
      <c r="E152">
        <v>3</v>
      </c>
      <c r="F152">
        <v>6.7909097044716914E-3</v>
      </c>
      <c r="G152">
        <v>4.6743429436994838E-5</v>
      </c>
      <c r="H152">
        <v>6.0980602046066296E-4</v>
      </c>
      <c r="I152" t="s">
        <v>1000</v>
      </c>
      <c r="J152" t="s">
        <v>432</v>
      </c>
      <c r="K152" t="s">
        <v>417</v>
      </c>
      <c r="L152" t="s">
        <v>2295</v>
      </c>
    </row>
    <row r="153" spans="1:12" hidden="1" x14ac:dyDescent="0.25">
      <c r="A153" s="516">
        <v>128</v>
      </c>
      <c r="B153" t="s">
        <v>441</v>
      </c>
      <c r="C153" t="s">
        <v>432</v>
      </c>
      <c r="D153" t="s">
        <v>2229</v>
      </c>
      <c r="E153">
        <v>4</v>
      </c>
      <c r="F153">
        <v>6.4970506908037604E-3</v>
      </c>
      <c r="G153">
        <v>4.4720728699158942E-5</v>
      </c>
      <c r="H153">
        <v>6.0980602046066296E-4</v>
      </c>
      <c r="I153" t="s">
        <v>998</v>
      </c>
      <c r="J153" t="s">
        <v>432</v>
      </c>
      <c r="K153" t="s">
        <v>417</v>
      </c>
      <c r="L153" t="s">
        <v>2295</v>
      </c>
    </row>
    <row r="154" spans="1:12" hidden="1" x14ac:dyDescent="0.25">
      <c r="A154" s="516">
        <v>129</v>
      </c>
      <c r="B154" t="s">
        <v>441</v>
      </c>
      <c r="C154" t="s">
        <v>432</v>
      </c>
      <c r="D154" t="s">
        <v>2229</v>
      </c>
      <c r="E154">
        <v>4</v>
      </c>
      <c r="F154">
        <v>2.9385900928910838E-4</v>
      </c>
      <c r="G154">
        <v>2.02270070769543E-6</v>
      </c>
      <c r="H154">
        <v>6.0980602046066303E-5</v>
      </c>
      <c r="I154" t="s">
        <v>506</v>
      </c>
      <c r="J154" t="s">
        <v>432</v>
      </c>
      <c r="K154" t="s">
        <v>433</v>
      </c>
      <c r="L154" t="s">
        <v>2295</v>
      </c>
    </row>
    <row r="155" spans="1:12" x14ac:dyDescent="0.25">
      <c r="A155" s="516">
        <v>130</v>
      </c>
      <c r="B155" t="s">
        <v>441</v>
      </c>
      <c r="C155" t="s">
        <v>432</v>
      </c>
      <c r="D155" t="s">
        <v>2229</v>
      </c>
      <c r="E155">
        <v>3</v>
      </c>
      <c r="F155">
        <v>2.9385900928910838E-4</v>
      </c>
      <c r="G155">
        <v>2.02270070769543E-6</v>
      </c>
      <c r="H155">
        <v>6.0980602046066303E-5</v>
      </c>
      <c r="I155" t="s">
        <v>506</v>
      </c>
      <c r="J155" t="s">
        <v>432</v>
      </c>
      <c r="K155" t="s">
        <v>433</v>
      </c>
      <c r="L155" t="str">
        <f>C17</f>
        <v>Pumping</v>
      </c>
    </row>
    <row r="156" spans="1:12" hidden="1" x14ac:dyDescent="0.25">
      <c r="A156" s="516">
        <v>131</v>
      </c>
      <c r="B156" t="s">
        <v>441</v>
      </c>
      <c r="C156" t="s">
        <v>432</v>
      </c>
      <c r="D156" t="s">
        <v>2229</v>
      </c>
      <c r="E156">
        <v>4</v>
      </c>
      <c r="F156">
        <v>4.4563175937679227E-5</v>
      </c>
      <c r="G156">
        <v>3.0673882595724308E-7</v>
      </c>
      <c r="H156">
        <v>5.3300022630301139E-12</v>
      </c>
      <c r="I156" t="s">
        <v>2231</v>
      </c>
      <c r="L156" t="s">
        <v>2295</v>
      </c>
    </row>
    <row r="157" spans="1:12" hidden="1" x14ac:dyDescent="0.25">
      <c r="A157" s="516">
        <v>132</v>
      </c>
      <c r="B157" t="s">
        <v>441</v>
      </c>
      <c r="C157" t="s">
        <v>432</v>
      </c>
      <c r="D157" t="s">
        <v>2229</v>
      </c>
      <c r="E157">
        <v>4</v>
      </c>
      <c r="F157">
        <v>2.9613620092948821E-6</v>
      </c>
      <c r="G157">
        <v>2.0383751535927909E-8</v>
      </c>
      <c r="H157">
        <v>2.0371767410342151E-7</v>
      </c>
      <c r="I157" t="s">
        <v>2231</v>
      </c>
      <c r="L157" t="s">
        <v>2295</v>
      </c>
    </row>
    <row r="158" spans="1:12" hidden="1" x14ac:dyDescent="0.25">
      <c r="A158" s="516">
        <v>133</v>
      </c>
      <c r="B158" t="s">
        <v>441</v>
      </c>
      <c r="C158" t="s">
        <v>432</v>
      </c>
      <c r="D158" t="s">
        <v>2229</v>
      </c>
      <c r="E158">
        <v>4</v>
      </c>
      <c r="F158">
        <v>1.768390724544029E-6</v>
      </c>
      <c r="G158">
        <v>1.2172249469806591E-8</v>
      </c>
      <c r="H158">
        <v>1.044214083571819E-7</v>
      </c>
      <c r="I158" t="s">
        <v>2231</v>
      </c>
      <c r="L158" t="s">
        <v>2295</v>
      </c>
    </row>
    <row r="159" spans="1:12" hidden="1" x14ac:dyDescent="0.25">
      <c r="A159" s="516">
        <v>134</v>
      </c>
      <c r="B159" t="s">
        <v>441</v>
      </c>
      <c r="C159" t="s">
        <v>432</v>
      </c>
      <c r="D159" t="s">
        <v>2229</v>
      </c>
      <c r="E159">
        <v>4</v>
      </c>
      <c r="F159">
        <v>3.8365617891055827E-6</v>
      </c>
      <c r="G159">
        <v>2.6407957560036361E-8</v>
      </c>
      <c r="H159">
        <v>3.1728043308528322E-7</v>
      </c>
      <c r="I159" t="s">
        <v>2231</v>
      </c>
      <c r="L159" t="s">
        <v>2295</v>
      </c>
    </row>
    <row r="160" spans="1:12" hidden="1" x14ac:dyDescent="0.25">
      <c r="A160" s="516">
        <v>135</v>
      </c>
      <c r="B160" t="s">
        <v>441</v>
      </c>
      <c r="C160" t="s">
        <v>432</v>
      </c>
      <c r="D160" t="s">
        <v>2229</v>
      </c>
      <c r="E160">
        <v>4</v>
      </c>
      <c r="F160">
        <v>2.135059263457581E-6</v>
      </c>
      <c r="G160">
        <v>1.4696115302418929E-8</v>
      </c>
      <c r="H160">
        <v>1.7671315260446161E-7</v>
      </c>
      <c r="I160" t="s">
        <v>2231</v>
      </c>
      <c r="L160" t="s">
        <v>2295</v>
      </c>
    </row>
    <row r="161" spans="1:12" hidden="1" x14ac:dyDescent="0.25">
      <c r="A161" s="516">
        <v>136</v>
      </c>
      <c r="B161" t="s">
        <v>441</v>
      </c>
      <c r="C161" t="s">
        <v>432</v>
      </c>
      <c r="D161" t="s">
        <v>2229</v>
      </c>
      <c r="E161">
        <v>4</v>
      </c>
      <c r="F161">
        <v>8.8032502783419363E-7</v>
      </c>
      <c r="G161">
        <v>6.0594843122552503E-9</v>
      </c>
      <c r="H161">
        <v>6.8275536233541985E-8</v>
      </c>
      <c r="I161" t="s">
        <v>2231</v>
      </c>
      <c r="L161" t="s">
        <v>2295</v>
      </c>
    </row>
    <row r="162" spans="1:12" hidden="1" x14ac:dyDescent="0.25">
      <c r="A162" s="516">
        <v>137</v>
      </c>
      <c r="B162" t="s">
        <v>441</v>
      </c>
      <c r="C162" t="s">
        <v>432</v>
      </c>
      <c r="D162" t="s">
        <v>2229</v>
      </c>
      <c r="E162">
        <v>4</v>
      </c>
      <c r="F162">
        <v>9.4438263486835577E-6</v>
      </c>
      <c r="G162">
        <v>6.5004078946042294E-8</v>
      </c>
      <c r="H162">
        <v>8.1067158757296726E-7</v>
      </c>
      <c r="I162" t="s">
        <v>2231</v>
      </c>
      <c r="L162" t="s">
        <v>2295</v>
      </c>
    </row>
    <row r="163" spans="1:12" hidden="1" x14ac:dyDescent="0.25">
      <c r="A163" s="516">
        <v>138</v>
      </c>
      <c r="B163" t="s">
        <v>441</v>
      </c>
      <c r="C163" t="s">
        <v>432</v>
      </c>
      <c r="D163" t="s">
        <v>2229</v>
      </c>
      <c r="E163">
        <v>4</v>
      </c>
      <c r="F163">
        <v>1.2542372734671149E-6</v>
      </c>
      <c r="G163">
        <v>8.6332102827039275E-9</v>
      </c>
      <c r="H163">
        <v>1.124538243846574E-7</v>
      </c>
      <c r="I163" t="s">
        <v>2231</v>
      </c>
      <c r="L163" t="s">
        <v>2295</v>
      </c>
    </row>
    <row r="164" spans="1:12" hidden="1" x14ac:dyDescent="0.25">
      <c r="A164" s="516">
        <v>139</v>
      </c>
      <c r="B164" t="s">
        <v>441</v>
      </c>
      <c r="C164" t="s">
        <v>432</v>
      </c>
      <c r="D164" t="s">
        <v>2229</v>
      </c>
      <c r="E164">
        <v>4</v>
      </c>
      <c r="F164">
        <v>2.9023576569453041E-6</v>
      </c>
      <c r="G164">
        <v>1.9977610694633559E-8</v>
      </c>
      <c r="H164">
        <v>2.0884281671436361E-7</v>
      </c>
      <c r="I164" t="s">
        <v>2231</v>
      </c>
      <c r="L164" t="s">
        <v>2295</v>
      </c>
    </row>
    <row r="165" spans="1:12" hidden="1" x14ac:dyDescent="0.25">
      <c r="A165" s="516">
        <v>140</v>
      </c>
      <c r="B165" t="s">
        <v>441</v>
      </c>
      <c r="C165" t="s">
        <v>432</v>
      </c>
      <c r="D165" t="s">
        <v>2229</v>
      </c>
      <c r="E165">
        <v>4</v>
      </c>
      <c r="F165">
        <v>1.151206343967071E-6</v>
      </c>
      <c r="G165">
        <v>7.924024151169586E-9</v>
      </c>
      <c r="H165">
        <v>1.044214083571819E-7</v>
      </c>
      <c r="I165" t="s">
        <v>2231</v>
      </c>
      <c r="L165" t="s">
        <v>2295</v>
      </c>
    </row>
    <row r="166" spans="1:12" hidden="1" x14ac:dyDescent="0.25">
      <c r="A166" s="516">
        <v>141</v>
      </c>
      <c r="B166" t="s">
        <v>441</v>
      </c>
      <c r="C166" t="s">
        <v>432</v>
      </c>
      <c r="D166" t="s">
        <v>2229</v>
      </c>
      <c r="E166">
        <v>4</v>
      </c>
      <c r="F166">
        <v>1.8663280902261549E-6</v>
      </c>
      <c r="G166">
        <v>1.284637540303659E-8</v>
      </c>
      <c r="H166">
        <v>1.044214083571819E-7</v>
      </c>
      <c r="I166" t="s">
        <v>2231</v>
      </c>
      <c r="L166" t="s">
        <v>2295</v>
      </c>
    </row>
    <row r="167" spans="1:12" hidden="1" x14ac:dyDescent="0.25">
      <c r="A167" s="516">
        <v>142</v>
      </c>
      <c r="B167" t="s">
        <v>441</v>
      </c>
      <c r="C167" t="s">
        <v>432</v>
      </c>
      <c r="D167" t="s">
        <v>2229</v>
      </c>
      <c r="E167">
        <v>4</v>
      </c>
      <c r="F167">
        <v>2.0142394995319689E-4</v>
      </c>
      <c r="G167">
        <v>1.386448443771571E-6</v>
      </c>
      <c r="H167">
        <v>5.798008747587617E-5</v>
      </c>
      <c r="I167" t="s">
        <v>2258</v>
      </c>
      <c r="J167" t="s">
        <v>432</v>
      </c>
      <c r="K167" t="s">
        <v>433</v>
      </c>
      <c r="L167" t="s">
        <v>2295</v>
      </c>
    </row>
    <row r="168" spans="1:12" hidden="1" x14ac:dyDescent="0.25">
      <c r="A168" s="516">
        <v>143</v>
      </c>
      <c r="B168" t="s">
        <v>441</v>
      </c>
      <c r="C168" t="s">
        <v>432</v>
      </c>
      <c r="D168" t="s">
        <v>2229</v>
      </c>
      <c r="E168">
        <v>4</v>
      </c>
      <c r="F168">
        <v>8.0593698338967551E-6</v>
      </c>
      <c r="G168">
        <v>5.5474538983979253E-8</v>
      </c>
      <c r="H168">
        <v>1.6724524654590221E-6</v>
      </c>
      <c r="I168" t="s">
        <v>2231</v>
      </c>
      <c r="L168" t="s">
        <v>2295</v>
      </c>
    </row>
    <row r="169" spans="1:12" hidden="1" x14ac:dyDescent="0.25">
      <c r="A169" s="516">
        <v>144</v>
      </c>
      <c r="B169" t="s">
        <v>441</v>
      </c>
      <c r="C169" t="s">
        <v>432</v>
      </c>
      <c r="D169" t="s">
        <v>2229</v>
      </c>
      <c r="E169">
        <v>4</v>
      </c>
      <c r="F169">
        <v>2.3600256586057889E-7</v>
      </c>
      <c r="G169">
        <v>1.6244611936143999E-9</v>
      </c>
      <c r="H169">
        <v>2.409724808242658E-8</v>
      </c>
      <c r="I169" t="s">
        <v>2231</v>
      </c>
      <c r="L169" t="s">
        <v>2295</v>
      </c>
    </row>
    <row r="170" spans="1:12" hidden="1" x14ac:dyDescent="0.25">
      <c r="A170" s="516">
        <v>145</v>
      </c>
      <c r="B170" t="s">
        <v>441</v>
      </c>
      <c r="C170" t="s">
        <v>432</v>
      </c>
      <c r="D170" t="s">
        <v>2229</v>
      </c>
      <c r="E170">
        <v>4</v>
      </c>
      <c r="F170">
        <v>1.363586999826591E-6</v>
      </c>
      <c r="G170">
        <v>9.3858901798719182E-9</v>
      </c>
      <c r="H170">
        <v>6.927958823697639E-8</v>
      </c>
      <c r="I170" t="s">
        <v>2231</v>
      </c>
      <c r="L170" t="s">
        <v>2295</v>
      </c>
    </row>
    <row r="171" spans="1:12" hidden="1" x14ac:dyDescent="0.25">
      <c r="A171" s="516">
        <v>146</v>
      </c>
      <c r="B171" t="s">
        <v>441</v>
      </c>
      <c r="C171" t="s">
        <v>432</v>
      </c>
      <c r="D171" t="s">
        <v>2229</v>
      </c>
      <c r="E171">
        <v>4</v>
      </c>
      <c r="F171">
        <v>1.2535473309334711E-6</v>
      </c>
      <c r="G171">
        <v>8.6284612458973051E-9</v>
      </c>
      <c r="H171">
        <v>1.9277798465941261E-7</v>
      </c>
      <c r="I171" t="s">
        <v>2231</v>
      </c>
      <c r="L171" t="s">
        <v>2295</v>
      </c>
    </row>
    <row r="172" spans="1:12" hidden="1" x14ac:dyDescent="0.25">
      <c r="A172" s="516">
        <v>147</v>
      </c>
      <c r="B172" t="s">
        <v>441</v>
      </c>
      <c r="C172" t="s">
        <v>432</v>
      </c>
      <c r="D172" t="s">
        <v>2229</v>
      </c>
      <c r="E172">
        <v>4</v>
      </c>
      <c r="F172">
        <v>6.4746609587287474E-6</v>
      </c>
      <c r="G172">
        <v>4.456661490485059E-8</v>
      </c>
      <c r="H172">
        <v>4.137798711353674E-7</v>
      </c>
      <c r="I172" t="s">
        <v>2231</v>
      </c>
      <c r="L172" t="s">
        <v>2295</v>
      </c>
    </row>
    <row r="173" spans="1:12" hidden="1" x14ac:dyDescent="0.25">
      <c r="A173" s="516">
        <v>148</v>
      </c>
      <c r="B173" t="s">
        <v>441</v>
      </c>
      <c r="C173" t="s">
        <v>432</v>
      </c>
      <c r="D173" t="s">
        <v>2229</v>
      </c>
      <c r="E173">
        <v>4</v>
      </c>
      <c r="F173">
        <v>7.9902649360732706E-8</v>
      </c>
      <c r="G173">
        <v>5.4998873711470061E-10</v>
      </c>
      <c r="H173">
        <v>8.032416027475526E-9</v>
      </c>
      <c r="I173" t="s">
        <v>2231</v>
      </c>
      <c r="L173" t="s">
        <v>2295</v>
      </c>
    </row>
    <row r="174" spans="1:12" hidden="1" x14ac:dyDescent="0.25">
      <c r="A174" s="516">
        <v>149</v>
      </c>
      <c r="B174" t="s">
        <v>441</v>
      </c>
      <c r="C174" t="s">
        <v>432</v>
      </c>
      <c r="D174" t="s">
        <v>2229</v>
      </c>
      <c r="E174">
        <v>4</v>
      </c>
      <c r="F174">
        <v>1.4246801179276409E-6</v>
      </c>
      <c r="G174">
        <v>9.8064084873325526E-9</v>
      </c>
      <c r="H174">
        <v>6.927958823697639E-8</v>
      </c>
      <c r="I174" t="s">
        <v>2231</v>
      </c>
      <c r="L174" t="s">
        <v>2295</v>
      </c>
    </row>
    <row r="175" spans="1:12" hidden="1" x14ac:dyDescent="0.25">
      <c r="A175" s="516">
        <v>150</v>
      </c>
      <c r="B175" t="s">
        <v>441</v>
      </c>
      <c r="C175" t="s">
        <v>432</v>
      </c>
      <c r="D175" t="s">
        <v>2229</v>
      </c>
      <c r="E175">
        <v>4</v>
      </c>
      <c r="F175">
        <v>1.0947407332324609E-7</v>
      </c>
      <c r="G175">
        <v>7.5353580657919397E-10</v>
      </c>
      <c r="H175">
        <v>1.204862404121329E-8</v>
      </c>
      <c r="I175" t="s">
        <v>2231</v>
      </c>
      <c r="L175" t="s">
        <v>2295</v>
      </c>
    </row>
    <row r="176" spans="1:12" hidden="1" x14ac:dyDescent="0.25">
      <c r="A176" s="516">
        <v>151</v>
      </c>
      <c r="B176" t="s">
        <v>441</v>
      </c>
      <c r="C176" t="s">
        <v>432</v>
      </c>
      <c r="D176" t="s">
        <v>2229</v>
      </c>
      <c r="E176">
        <v>4</v>
      </c>
      <c r="F176">
        <v>3.4755249121517058E-9</v>
      </c>
      <c r="G176">
        <v>2.3922855781855761E-11</v>
      </c>
      <c r="H176">
        <v>1.8233200011773819E-13</v>
      </c>
      <c r="I176" t="s">
        <v>2231</v>
      </c>
      <c r="L176" t="s">
        <v>2295</v>
      </c>
    </row>
    <row r="177" spans="1:12" s="417" customFormat="1" x14ac:dyDescent="0.25">
      <c r="A177" s="568">
        <v>152</v>
      </c>
      <c r="B177" s="417" t="s">
        <v>441</v>
      </c>
      <c r="C177" s="417" t="s">
        <v>432</v>
      </c>
      <c r="D177" s="417" t="s">
        <v>2229</v>
      </c>
      <c r="E177" s="417">
        <v>2</v>
      </c>
      <c r="F177" s="417">
        <v>0.86273654037851966</v>
      </c>
      <c r="G177" s="417">
        <v>5.9384186144229856E-3</v>
      </c>
      <c r="H177" s="417">
        <v>1.345215447737791E-5</v>
      </c>
      <c r="I177" s="417" t="s">
        <v>2090</v>
      </c>
      <c r="J177" s="417" t="s">
        <v>432</v>
      </c>
      <c r="K177" s="417" t="s">
        <v>1047</v>
      </c>
      <c r="L177" s="417" t="s">
        <v>2295</v>
      </c>
    </row>
    <row r="178" spans="1:12" s="308" customFormat="1" x14ac:dyDescent="0.25">
      <c r="A178" s="570">
        <v>153</v>
      </c>
      <c r="B178" s="308" t="s">
        <v>441</v>
      </c>
      <c r="C178" s="308" t="s">
        <v>432</v>
      </c>
      <c r="D178" s="308" t="s">
        <v>2229</v>
      </c>
      <c r="E178" s="308">
        <v>3</v>
      </c>
      <c r="F178" s="308">
        <v>6.008153027056649E-3</v>
      </c>
      <c r="G178" s="308">
        <v>4.1355531039083068E-5</v>
      </c>
      <c r="H178" s="308">
        <v>1.775618624925329E-3</v>
      </c>
      <c r="I178" s="308" t="s">
        <v>1034</v>
      </c>
      <c r="J178" s="308" t="s">
        <v>432</v>
      </c>
      <c r="K178" s="308" t="s">
        <v>433</v>
      </c>
      <c r="L178" s="308" t="str">
        <f>C5</f>
        <v>Energy use, vertical</v>
      </c>
    </row>
    <row r="179" spans="1:12" hidden="1" x14ac:dyDescent="0.25">
      <c r="A179" s="516">
        <v>154</v>
      </c>
      <c r="B179" t="s">
        <v>441</v>
      </c>
      <c r="C179" t="s">
        <v>432</v>
      </c>
      <c r="D179" t="s">
        <v>2229</v>
      </c>
      <c r="E179">
        <v>4</v>
      </c>
      <c r="F179">
        <v>2.2593424415283641E-5</v>
      </c>
      <c r="G179">
        <v>1.5551585661645129E-7</v>
      </c>
      <c r="H179">
        <v>6.6771443756444723E-6</v>
      </c>
      <c r="I179" t="s">
        <v>2231</v>
      </c>
      <c r="L179" t="s">
        <v>2295</v>
      </c>
    </row>
    <row r="180" spans="1:12" hidden="1" x14ac:dyDescent="0.25">
      <c r="A180" s="516">
        <v>155</v>
      </c>
      <c r="B180" t="s">
        <v>441</v>
      </c>
      <c r="C180" t="s">
        <v>432</v>
      </c>
      <c r="D180" t="s">
        <v>2229</v>
      </c>
      <c r="E180">
        <v>4</v>
      </c>
      <c r="F180">
        <v>7.9998974269655625E-6</v>
      </c>
      <c r="G180">
        <v>5.5065176412863638E-8</v>
      </c>
      <c r="H180">
        <v>1.2685391188773391E-5</v>
      </c>
      <c r="I180" t="s">
        <v>2231</v>
      </c>
      <c r="L180" t="s">
        <v>2295</v>
      </c>
    </row>
    <row r="181" spans="1:12" hidden="1" x14ac:dyDescent="0.25">
      <c r="A181" s="516">
        <v>156</v>
      </c>
      <c r="B181" t="s">
        <v>441</v>
      </c>
      <c r="C181" t="s">
        <v>432</v>
      </c>
      <c r="D181" t="s">
        <v>2229</v>
      </c>
      <c r="E181">
        <v>4</v>
      </c>
      <c r="F181">
        <v>5.2531086758456696E-3</v>
      </c>
      <c r="G181">
        <v>3.6158383103307699E-5</v>
      </c>
      <c r="H181">
        <v>1.762933233736555E-3</v>
      </c>
      <c r="I181" t="s">
        <v>2259</v>
      </c>
      <c r="J181" t="s">
        <v>432</v>
      </c>
      <c r="K181" t="s">
        <v>433</v>
      </c>
      <c r="L181" t="s">
        <v>2295</v>
      </c>
    </row>
    <row r="182" spans="1:12" hidden="1" x14ac:dyDescent="0.25">
      <c r="A182" s="516">
        <v>157</v>
      </c>
      <c r="B182" t="s">
        <v>441</v>
      </c>
      <c r="C182" t="s">
        <v>432</v>
      </c>
      <c r="D182" t="s">
        <v>2229</v>
      </c>
      <c r="E182">
        <v>4</v>
      </c>
      <c r="F182">
        <v>1.8276833749252629E-6</v>
      </c>
      <c r="G182">
        <v>1.258037473429106E-8</v>
      </c>
      <c r="H182">
        <v>9.5883405745967752E-11</v>
      </c>
      <c r="I182" t="s">
        <v>2231</v>
      </c>
      <c r="L182" t="s">
        <v>2295</v>
      </c>
    </row>
    <row r="183" spans="1:12" hidden="1" x14ac:dyDescent="0.25">
      <c r="A183" s="516">
        <v>158</v>
      </c>
      <c r="B183" t="s">
        <v>441</v>
      </c>
      <c r="C183" t="s">
        <v>432</v>
      </c>
      <c r="D183" t="s">
        <v>2229</v>
      </c>
      <c r="E183">
        <v>4</v>
      </c>
      <c r="F183">
        <v>3.7158758395797539E-4</v>
      </c>
      <c r="G183">
        <v>2.5577247771334179E-6</v>
      </c>
      <c r="H183">
        <v>3.3075811248947343E-11</v>
      </c>
      <c r="I183" t="s">
        <v>2260</v>
      </c>
      <c r="J183" t="s">
        <v>462</v>
      </c>
      <c r="K183" t="s">
        <v>1995</v>
      </c>
      <c r="L183" t="s">
        <v>2295</v>
      </c>
    </row>
    <row r="184" spans="1:12" s="308" customFormat="1" x14ac:dyDescent="0.25">
      <c r="A184" s="570">
        <v>159</v>
      </c>
      <c r="B184" s="308" t="s">
        <v>441</v>
      </c>
      <c r="C184" s="308" t="s">
        <v>432</v>
      </c>
      <c r="D184" s="308" t="s">
        <v>2229</v>
      </c>
      <c r="E184" s="308">
        <v>3</v>
      </c>
      <c r="F184" s="308">
        <v>0.66246144792944073</v>
      </c>
      <c r="G184" s="308">
        <v>4.5598780271852062E-3</v>
      </c>
      <c r="H184" s="308">
        <v>8.9945686730693111E-4</v>
      </c>
      <c r="I184" s="308" t="s">
        <v>460</v>
      </c>
      <c r="J184" s="308" t="s">
        <v>462</v>
      </c>
      <c r="K184" s="308" t="s">
        <v>417</v>
      </c>
      <c r="L184" s="308" t="str">
        <f>C7</f>
        <v>Casing, steel</v>
      </c>
    </row>
    <row r="185" spans="1:12" hidden="1" x14ac:dyDescent="0.25">
      <c r="A185" s="516">
        <v>160</v>
      </c>
      <c r="B185" t="s">
        <v>441</v>
      </c>
      <c r="C185" t="s">
        <v>432</v>
      </c>
      <c r="D185" t="s">
        <v>2229</v>
      </c>
      <c r="E185">
        <v>4</v>
      </c>
      <c r="F185">
        <v>8.0149275456968483E-2</v>
      </c>
      <c r="G185">
        <v>5.5168632256766693E-4</v>
      </c>
      <c r="H185">
        <v>1.172163618297076E-4</v>
      </c>
      <c r="I185" t="s">
        <v>580</v>
      </c>
      <c r="J185" t="s">
        <v>419</v>
      </c>
      <c r="K185" t="s">
        <v>417</v>
      </c>
      <c r="L185" t="s">
        <v>2295</v>
      </c>
    </row>
    <row r="186" spans="1:12" hidden="1" x14ac:dyDescent="0.25">
      <c r="A186" s="516">
        <v>161</v>
      </c>
      <c r="B186" t="s">
        <v>441</v>
      </c>
      <c r="C186" t="s">
        <v>432</v>
      </c>
      <c r="D186" t="s">
        <v>2229</v>
      </c>
      <c r="E186">
        <v>4</v>
      </c>
      <c r="F186">
        <v>0.57637243346253753</v>
      </c>
      <c r="G186">
        <v>3.9673070833565281E-3</v>
      </c>
      <c r="H186">
        <v>7.8224050547722357E-4</v>
      </c>
      <c r="I186" t="s">
        <v>580</v>
      </c>
      <c r="J186" t="s">
        <v>1992</v>
      </c>
      <c r="K186" t="s">
        <v>417</v>
      </c>
      <c r="L186" t="s">
        <v>2295</v>
      </c>
    </row>
    <row r="187" spans="1:12" hidden="1" x14ac:dyDescent="0.25">
      <c r="A187" s="516">
        <v>162</v>
      </c>
      <c r="B187" t="s">
        <v>441</v>
      </c>
      <c r="C187" t="s">
        <v>432</v>
      </c>
      <c r="D187" t="s">
        <v>2229</v>
      </c>
      <c r="E187">
        <v>4</v>
      </c>
      <c r="F187">
        <v>1.2988755519245439E-3</v>
      </c>
      <c r="G187">
        <v>8.9404660569766712E-6</v>
      </c>
      <c r="H187">
        <v>1.7116664184850899E-4</v>
      </c>
      <c r="I187" t="s">
        <v>2254</v>
      </c>
      <c r="J187" t="s">
        <v>462</v>
      </c>
      <c r="K187" t="s">
        <v>925</v>
      </c>
      <c r="L187" t="s">
        <v>2295</v>
      </c>
    </row>
    <row r="188" spans="1:12" hidden="1" x14ac:dyDescent="0.25">
      <c r="A188" s="516">
        <v>163</v>
      </c>
      <c r="B188" t="s">
        <v>441</v>
      </c>
      <c r="C188" t="s">
        <v>432</v>
      </c>
      <c r="D188" t="s">
        <v>2229</v>
      </c>
      <c r="E188">
        <v>4</v>
      </c>
      <c r="F188">
        <v>1.353439662480889E-4</v>
      </c>
      <c r="G188">
        <v>9.3160436691931108E-7</v>
      </c>
      <c r="H188">
        <v>1.8079083032869311E-5</v>
      </c>
      <c r="I188" t="s">
        <v>2261</v>
      </c>
      <c r="J188" t="s">
        <v>462</v>
      </c>
      <c r="K188" t="s">
        <v>925</v>
      </c>
      <c r="L188" t="s">
        <v>2295</v>
      </c>
    </row>
    <row r="189" spans="1:12" hidden="1" x14ac:dyDescent="0.25">
      <c r="A189" s="516">
        <v>164</v>
      </c>
      <c r="B189" t="s">
        <v>441</v>
      </c>
      <c r="C189" t="s">
        <v>432</v>
      </c>
      <c r="D189" t="s">
        <v>2229</v>
      </c>
      <c r="E189">
        <v>4</v>
      </c>
      <c r="F189">
        <v>4.0939923010183694E-3</v>
      </c>
      <c r="G189">
        <v>2.8179912348450219E-5</v>
      </c>
      <c r="H189">
        <v>1.8573784309888129E-4</v>
      </c>
      <c r="I189" t="s">
        <v>2255</v>
      </c>
      <c r="J189" t="s">
        <v>462</v>
      </c>
      <c r="K189" t="s">
        <v>925</v>
      </c>
      <c r="L189" t="s">
        <v>2295</v>
      </c>
    </row>
    <row r="190" spans="1:12" hidden="1" x14ac:dyDescent="0.25">
      <c r="A190" s="516">
        <v>165</v>
      </c>
      <c r="B190" t="s">
        <v>441</v>
      </c>
      <c r="C190" t="s">
        <v>432</v>
      </c>
      <c r="D190" t="s">
        <v>2229</v>
      </c>
      <c r="E190">
        <v>4</v>
      </c>
      <c r="F190">
        <v>4.1153703005173677E-4</v>
      </c>
      <c r="G190">
        <v>2.8327062149371228E-6</v>
      </c>
      <c r="H190">
        <v>3.9657053279562588E-4</v>
      </c>
      <c r="I190" t="s">
        <v>2262</v>
      </c>
      <c r="J190" t="s">
        <v>462</v>
      </c>
      <c r="K190" t="s">
        <v>925</v>
      </c>
      <c r="L190" t="s">
        <v>2295</v>
      </c>
    </row>
    <row r="191" spans="1:12" s="308" customFormat="1" x14ac:dyDescent="0.25">
      <c r="A191" s="570">
        <v>166</v>
      </c>
      <c r="B191" s="308" t="s">
        <v>441</v>
      </c>
      <c r="C191" s="308" t="s">
        <v>432</v>
      </c>
      <c r="D191" s="308" t="s">
        <v>2229</v>
      </c>
      <c r="E191" s="308">
        <v>3</v>
      </c>
      <c r="F191" s="308">
        <v>0.1212794808175064</v>
      </c>
      <c r="G191" s="308">
        <v>8.3479520424421675E-4</v>
      </c>
      <c r="H191" s="308">
        <v>9.4973176160183628E-4</v>
      </c>
      <c r="I191" s="308" t="s">
        <v>1060</v>
      </c>
      <c r="J191" s="308" t="s">
        <v>459</v>
      </c>
      <c r="K191" s="308" t="s">
        <v>417</v>
      </c>
      <c r="L191" s="308" t="str">
        <f>C8</f>
        <v>Casing, cement</v>
      </c>
    </row>
    <row r="192" spans="1:12" hidden="1" x14ac:dyDescent="0.25">
      <c r="A192" s="516">
        <v>167</v>
      </c>
      <c r="B192" t="s">
        <v>441</v>
      </c>
      <c r="C192" t="s">
        <v>432</v>
      </c>
      <c r="D192" t="s">
        <v>2229</v>
      </c>
      <c r="E192">
        <v>4</v>
      </c>
      <c r="F192">
        <v>0.1179295416572287</v>
      </c>
      <c r="G192">
        <v>8.1173678474357803E-4</v>
      </c>
      <c r="H192">
        <v>9.4973176160183628E-4</v>
      </c>
      <c r="I192" t="s">
        <v>2263</v>
      </c>
      <c r="J192" t="s">
        <v>459</v>
      </c>
      <c r="K192" t="s">
        <v>417</v>
      </c>
      <c r="L192" t="s">
        <v>2295</v>
      </c>
    </row>
    <row r="193" spans="1:12" hidden="1" x14ac:dyDescent="0.25">
      <c r="A193" s="516">
        <v>168</v>
      </c>
      <c r="B193" t="s">
        <v>441</v>
      </c>
      <c r="C193" t="s">
        <v>432</v>
      </c>
      <c r="D193" t="s">
        <v>2229</v>
      </c>
      <c r="E193">
        <v>4</v>
      </c>
      <c r="F193">
        <v>1.6115154143128731E-4</v>
      </c>
      <c r="G193">
        <v>1.109243979579957E-6</v>
      </c>
      <c r="H193">
        <v>2.3743294040045909E-5</v>
      </c>
      <c r="I193" t="s">
        <v>2264</v>
      </c>
      <c r="J193" t="s">
        <v>459</v>
      </c>
      <c r="K193" t="s">
        <v>925</v>
      </c>
      <c r="L193" t="s">
        <v>2295</v>
      </c>
    </row>
    <row r="194" spans="1:12" hidden="1" x14ac:dyDescent="0.25">
      <c r="A194" s="516">
        <v>169</v>
      </c>
      <c r="B194" t="s">
        <v>441</v>
      </c>
      <c r="C194" t="s">
        <v>432</v>
      </c>
      <c r="D194" t="s">
        <v>2229</v>
      </c>
      <c r="E194">
        <v>4</v>
      </c>
      <c r="F194">
        <v>9.3267648805431085E-4</v>
      </c>
      <c r="G194">
        <v>6.4198317315577533E-6</v>
      </c>
      <c r="H194">
        <v>3.13411481328606E-6</v>
      </c>
      <c r="I194" t="s">
        <v>2265</v>
      </c>
      <c r="J194" t="s">
        <v>459</v>
      </c>
      <c r="K194" t="s">
        <v>925</v>
      </c>
      <c r="L194" t="s">
        <v>2295</v>
      </c>
    </row>
    <row r="195" spans="1:12" hidden="1" x14ac:dyDescent="0.25">
      <c r="A195" s="516">
        <v>170</v>
      </c>
      <c r="B195" t="s">
        <v>441</v>
      </c>
      <c r="C195" t="s">
        <v>432</v>
      </c>
      <c r="D195" t="s">
        <v>2229</v>
      </c>
      <c r="E195">
        <v>4</v>
      </c>
      <c r="F195">
        <v>2.2561111528169859E-3</v>
      </c>
      <c r="G195">
        <v>1.5529343941103411E-5</v>
      </c>
      <c r="H195">
        <v>1.015263253152363E-4</v>
      </c>
      <c r="I195" t="s">
        <v>2266</v>
      </c>
      <c r="J195" t="s">
        <v>419</v>
      </c>
      <c r="K195" t="s">
        <v>925</v>
      </c>
      <c r="L195" t="s">
        <v>2295</v>
      </c>
    </row>
    <row r="196" spans="1:12" x14ac:dyDescent="0.25">
      <c r="A196" s="516">
        <v>171</v>
      </c>
      <c r="B196" t="s">
        <v>441</v>
      </c>
      <c r="C196" t="s">
        <v>432</v>
      </c>
      <c r="D196" t="s">
        <v>2229</v>
      </c>
      <c r="E196">
        <v>3</v>
      </c>
      <c r="F196">
        <v>4.1246156718235422E-6</v>
      </c>
      <c r="G196">
        <v>2.839070021556204E-8</v>
      </c>
      <c r="H196">
        <v>3.7989270464073449E-4</v>
      </c>
      <c r="I196" t="s">
        <v>2231</v>
      </c>
    </row>
    <row r="197" spans="1:12" x14ac:dyDescent="0.25">
      <c r="A197" s="516">
        <v>172</v>
      </c>
      <c r="B197" t="s">
        <v>441</v>
      </c>
      <c r="C197" t="s">
        <v>432</v>
      </c>
      <c r="D197" t="s">
        <v>2229</v>
      </c>
      <c r="E197">
        <v>3</v>
      </c>
      <c r="F197">
        <v>0</v>
      </c>
      <c r="G197">
        <v>0</v>
      </c>
      <c r="H197">
        <v>0</v>
      </c>
      <c r="I197" t="s">
        <v>2231</v>
      </c>
    </row>
    <row r="198" spans="1:12" x14ac:dyDescent="0.25">
      <c r="A198" s="516">
        <v>173</v>
      </c>
      <c r="B198" t="s">
        <v>441</v>
      </c>
      <c r="C198" t="s">
        <v>432</v>
      </c>
      <c r="D198" t="s">
        <v>2229</v>
      </c>
      <c r="E198">
        <v>3</v>
      </c>
      <c r="F198">
        <v>0</v>
      </c>
      <c r="G198">
        <v>0</v>
      </c>
      <c r="H198">
        <v>0</v>
      </c>
      <c r="I198" t="s">
        <v>2231</v>
      </c>
    </row>
    <row r="199" spans="1:12" x14ac:dyDescent="0.25">
      <c r="A199" s="516">
        <v>174</v>
      </c>
      <c r="B199" t="s">
        <v>441</v>
      </c>
      <c r="C199" t="s">
        <v>432</v>
      </c>
      <c r="D199" t="s">
        <v>2229</v>
      </c>
      <c r="E199">
        <v>3</v>
      </c>
      <c r="F199">
        <v>0</v>
      </c>
      <c r="G199">
        <v>0</v>
      </c>
      <c r="H199">
        <v>0</v>
      </c>
      <c r="I199" t="s">
        <v>2231</v>
      </c>
    </row>
    <row r="200" spans="1:12" s="308" customFormat="1" x14ac:dyDescent="0.25">
      <c r="A200" s="570">
        <v>175</v>
      </c>
      <c r="B200" s="308" t="s">
        <v>441</v>
      </c>
      <c r="C200" s="308" t="s">
        <v>432</v>
      </c>
      <c r="D200" s="308" t="s">
        <v>2229</v>
      </c>
      <c r="E200" s="308">
        <v>3</v>
      </c>
      <c r="F200" s="308">
        <v>4.4995536638858281E-3</v>
      </c>
      <c r="G200" s="308">
        <v>3.0971486640048217E-5</v>
      </c>
      <c r="H200" s="308">
        <v>3.2613403314955022E-4</v>
      </c>
      <c r="I200" s="308" t="s">
        <v>1069</v>
      </c>
      <c r="J200" s="308" t="s">
        <v>462</v>
      </c>
      <c r="K200" s="308" t="s">
        <v>434</v>
      </c>
      <c r="L200" s="308" t="str">
        <f>C5</f>
        <v>Energy use, vertical</v>
      </c>
    </row>
    <row r="201" spans="1:12" hidden="1" x14ac:dyDescent="0.25">
      <c r="A201" s="516">
        <v>176</v>
      </c>
      <c r="B201" t="s">
        <v>441</v>
      </c>
      <c r="C201" t="s">
        <v>432</v>
      </c>
      <c r="D201" t="s">
        <v>2229</v>
      </c>
      <c r="E201">
        <v>4</v>
      </c>
      <c r="F201">
        <v>9.4618332009803474E-4</v>
      </c>
      <c r="G201">
        <v>6.5128024347519669E-6</v>
      </c>
      <c r="H201">
        <v>7.6315364083128775E-6</v>
      </c>
      <c r="I201" t="s">
        <v>2267</v>
      </c>
      <c r="J201" t="s">
        <v>462</v>
      </c>
      <c r="K201" t="s">
        <v>417</v>
      </c>
      <c r="L201" t="s">
        <v>2295</v>
      </c>
    </row>
    <row r="202" spans="1:12" hidden="1" x14ac:dyDescent="0.25">
      <c r="A202" s="516">
        <v>177</v>
      </c>
      <c r="B202" t="s">
        <v>441</v>
      </c>
      <c r="C202" t="s">
        <v>432</v>
      </c>
      <c r="D202" t="s">
        <v>2229</v>
      </c>
      <c r="E202">
        <v>4</v>
      </c>
      <c r="F202">
        <v>5.2661916027180047E-6</v>
      </c>
      <c r="G202">
        <v>3.6248435967459848E-8</v>
      </c>
      <c r="H202">
        <v>6.033479645880081E-14</v>
      </c>
      <c r="I202" t="s">
        <v>2231</v>
      </c>
      <c r="L202" t="s">
        <v>2295</v>
      </c>
    </row>
    <row r="203" spans="1:12" hidden="1" x14ac:dyDescent="0.25">
      <c r="A203" s="516">
        <v>178</v>
      </c>
      <c r="B203" t="s">
        <v>441</v>
      </c>
      <c r="C203" t="s">
        <v>432</v>
      </c>
      <c r="D203" t="s">
        <v>2229</v>
      </c>
      <c r="E203">
        <v>4</v>
      </c>
      <c r="F203">
        <v>9.1675781479176831E-7</v>
      </c>
      <c r="G203">
        <v>6.3102597577339419E-9</v>
      </c>
      <c r="H203">
        <v>3.8020705641319267E-9</v>
      </c>
      <c r="I203" t="s">
        <v>2231</v>
      </c>
      <c r="L203" t="s">
        <v>2295</v>
      </c>
    </row>
    <row r="204" spans="1:12" hidden="1" x14ac:dyDescent="0.25">
      <c r="A204" s="516">
        <v>179</v>
      </c>
      <c r="B204" t="s">
        <v>441</v>
      </c>
      <c r="C204" t="s">
        <v>432</v>
      </c>
      <c r="D204" t="s">
        <v>2229</v>
      </c>
      <c r="E204">
        <v>4</v>
      </c>
      <c r="F204">
        <v>4.6308680992556731E-6</v>
      </c>
      <c r="G204">
        <v>3.1875354797760193E-8</v>
      </c>
      <c r="H204">
        <v>1.8048909689501339E-8</v>
      </c>
      <c r="I204" t="s">
        <v>2231</v>
      </c>
      <c r="L204" t="s">
        <v>2295</v>
      </c>
    </row>
    <row r="205" spans="1:12" hidden="1" x14ac:dyDescent="0.25">
      <c r="A205" s="516">
        <v>180</v>
      </c>
      <c r="B205" t="s">
        <v>441</v>
      </c>
      <c r="C205" t="s">
        <v>432</v>
      </c>
      <c r="D205" t="s">
        <v>2229</v>
      </c>
      <c r="E205">
        <v>4</v>
      </c>
      <c r="F205">
        <v>5.3679243391290492E-8</v>
      </c>
      <c r="G205">
        <v>3.6948686330490119E-10</v>
      </c>
      <c r="H205">
        <v>-1.4848420681396731E-10</v>
      </c>
      <c r="I205" t="s">
        <v>2231</v>
      </c>
      <c r="L205" t="s">
        <v>2295</v>
      </c>
    </row>
    <row r="206" spans="1:12" hidden="1" x14ac:dyDescent="0.25">
      <c r="A206" s="516">
        <v>181</v>
      </c>
      <c r="B206" t="s">
        <v>441</v>
      </c>
      <c r="C206" t="s">
        <v>432</v>
      </c>
      <c r="D206" t="s">
        <v>2229</v>
      </c>
      <c r="E206">
        <v>4</v>
      </c>
      <c r="F206">
        <v>4.1099515196732502E-6</v>
      </c>
      <c r="G206">
        <v>2.8289763405750071E-8</v>
      </c>
      <c r="H206">
        <v>-1.5704593544881591E-8</v>
      </c>
      <c r="I206" t="s">
        <v>2231</v>
      </c>
      <c r="L206" t="s">
        <v>2295</v>
      </c>
    </row>
    <row r="207" spans="1:12" hidden="1" x14ac:dyDescent="0.25">
      <c r="A207" s="516">
        <v>182</v>
      </c>
      <c r="B207" t="s">
        <v>441</v>
      </c>
      <c r="C207" t="s">
        <v>432</v>
      </c>
      <c r="D207" t="s">
        <v>2229</v>
      </c>
      <c r="E207">
        <v>4</v>
      </c>
      <c r="F207">
        <v>1.975726937740484E-6</v>
      </c>
      <c r="G207">
        <v>1.359939341267194E-8</v>
      </c>
      <c r="H207">
        <v>-5.9979024725856444E-9</v>
      </c>
      <c r="I207" t="s">
        <v>2231</v>
      </c>
      <c r="L207" t="s">
        <v>2295</v>
      </c>
    </row>
    <row r="208" spans="1:12" s="308" customFormat="1" x14ac:dyDescent="0.25">
      <c r="A208" s="570">
        <v>183</v>
      </c>
      <c r="B208" s="308" t="s">
        <v>441</v>
      </c>
      <c r="C208" s="308" t="s">
        <v>432</v>
      </c>
      <c r="D208" s="308" t="s">
        <v>2229</v>
      </c>
      <c r="E208" s="308">
        <v>3</v>
      </c>
      <c r="F208" s="308">
        <v>3.7029053785075719E-3</v>
      </c>
      <c r="G208" s="308">
        <v>2.548796903574834E-5</v>
      </c>
      <c r="H208" s="308">
        <v>-3.4494136018575578E-3</v>
      </c>
      <c r="I208" s="308" t="s">
        <v>1073</v>
      </c>
      <c r="J208" s="308" t="s">
        <v>432</v>
      </c>
      <c r="K208" s="308" t="s">
        <v>417</v>
      </c>
      <c r="L208" s="308" t="str">
        <f>C11</f>
        <v>Drilling waste</v>
      </c>
    </row>
    <row r="209" spans="1:12" hidden="1" x14ac:dyDescent="0.25">
      <c r="A209" s="516">
        <v>184</v>
      </c>
      <c r="B209" t="s">
        <v>441</v>
      </c>
      <c r="C209" t="s">
        <v>432</v>
      </c>
      <c r="D209" t="s">
        <v>2229</v>
      </c>
      <c r="E209">
        <v>4</v>
      </c>
      <c r="F209">
        <v>-4.3286112428104567E-4</v>
      </c>
      <c r="G209">
        <v>-2.979484973202629E-6</v>
      </c>
      <c r="H209">
        <v>2.0696481611145348E-3</v>
      </c>
      <c r="I209" t="s">
        <v>2268</v>
      </c>
      <c r="J209" t="s">
        <v>432</v>
      </c>
      <c r="K209" t="s">
        <v>417</v>
      </c>
      <c r="L209" t="s">
        <v>2295</v>
      </c>
    </row>
    <row r="210" spans="1:12" hidden="1" x14ac:dyDescent="0.25">
      <c r="A210" s="516">
        <v>185</v>
      </c>
      <c r="B210" t="s">
        <v>441</v>
      </c>
      <c r="C210" t="s">
        <v>432</v>
      </c>
      <c r="D210" t="s">
        <v>2229</v>
      </c>
      <c r="E210">
        <v>4</v>
      </c>
      <c r="F210">
        <v>-1.26619071618796E-3</v>
      </c>
      <c r="G210">
        <v>-8.7154886416670956E-6</v>
      </c>
      <c r="H210">
        <v>1.3797654407430231E-3</v>
      </c>
      <c r="I210" t="s">
        <v>2269</v>
      </c>
      <c r="J210" t="s">
        <v>432</v>
      </c>
      <c r="K210" t="s">
        <v>417</v>
      </c>
      <c r="L210" t="s">
        <v>2295</v>
      </c>
    </row>
    <row r="211" spans="1:12" hidden="1" x14ac:dyDescent="0.25">
      <c r="A211" s="516">
        <v>186</v>
      </c>
      <c r="B211" t="s">
        <v>441</v>
      </c>
      <c r="C211" t="s">
        <v>432</v>
      </c>
      <c r="D211" t="s">
        <v>2229</v>
      </c>
      <c r="E211">
        <v>4</v>
      </c>
      <c r="F211">
        <v>-2.8515118981020502E-5</v>
      </c>
      <c r="G211">
        <v>-1.962762737220843E-7</v>
      </c>
      <c r="H211">
        <v>-1.227991242261291E-5</v>
      </c>
      <c r="I211" t="s">
        <v>2231</v>
      </c>
      <c r="L211" t="s">
        <v>2295</v>
      </c>
    </row>
    <row r="212" spans="1:12" hidden="1" x14ac:dyDescent="0.25">
      <c r="A212" s="516">
        <v>187</v>
      </c>
      <c r="B212" t="s">
        <v>441</v>
      </c>
      <c r="C212" t="s">
        <v>432</v>
      </c>
      <c r="D212" t="s">
        <v>2229</v>
      </c>
      <c r="E212">
        <v>4</v>
      </c>
      <c r="F212">
        <v>-1.9753384396250522E-3</v>
      </c>
      <c r="G212">
        <v>-1.3596719288727519E-5</v>
      </c>
      <c r="H212">
        <v>-8.8891388519869285E-5</v>
      </c>
      <c r="I212" t="s">
        <v>2266</v>
      </c>
      <c r="J212" t="s">
        <v>419</v>
      </c>
      <c r="K212" t="s">
        <v>925</v>
      </c>
      <c r="L212" t="s">
        <v>2295</v>
      </c>
    </row>
    <row r="213" spans="1:12" s="308" customFormat="1" x14ac:dyDescent="0.25">
      <c r="A213" s="570">
        <v>188</v>
      </c>
      <c r="B213" s="308" t="s">
        <v>441</v>
      </c>
      <c r="C213" s="308" t="s">
        <v>432</v>
      </c>
      <c r="D213" s="308" t="s">
        <v>2229</v>
      </c>
      <c r="E213" s="308">
        <v>3</v>
      </c>
      <c r="F213" s="308">
        <v>6.4780907114040456E-2</v>
      </c>
      <c r="G213" s="308">
        <v>4.4590222699555698E-4</v>
      </c>
      <c r="H213" s="308">
        <v>2.4911397180329472E-10</v>
      </c>
      <c r="I213" s="308" t="s">
        <v>1038</v>
      </c>
      <c r="J213" s="308" t="s">
        <v>432</v>
      </c>
      <c r="K213" s="308" t="s">
        <v>416</v>
      </c>
      <c r="L213" s="308" t="str">
        <f>C10</f>
        <v>Drilling equipment</v>
      </c>
    </row>
    <row r="214" spans="1:12" hidden="1" x14ac:dyDescent="0.25">
      <c r="A214" s="516">
        <v>189</v>
      </c>
      <c r="B214" t="s">
        <v>441</v>
      </c>
      <c r="C214" t="s">
        <v>432</v>
      </c>
      <c r="D214" t="s">
        <v>2229</v>
      </c>
      <c r="E214">
        <v>4</v>
      </c>
      <c r="F214">
        <v>1.284329309398282E-3</v>
      </c>
      <c r="G214">
        <v>8.8403408468517332E-6</v>
      </c>
      <c r="H214">
        <v>1.743797802623063E-6</v>
      </c>
      <c r="I214" t="s">
        <v>460</v>
      </c>
      <c r="J214" t="s">
        <v>462</v>
      </c>
      <c r="K214" t="s">
        <v>417</v>
      </c>
      <c r="L214" t="s">
        <v>2295</v>
      </c>
    </row>
    <row r="215" spans="1:12" hidden="1" x14ac:dyDescent="0.25">
      <c r="A215" s="516">
        <v>190</v>
      </c>
      <c r="B215" t="s">
        <v>441</v>
      </c>
      <c r="C215" t="s">
        <v>432</v>
      </c>
      <c r="D215" t="s">
        <v>2229</v>
      </c>
      <c r="E215">
        <v>4</v>
      </c>
      <c r="F215">
        <v>3.5651157354390302E-3</v>
      </c>
      <c r="G215">
        <v>2.4539530499791662E-5</v>
      </c>
      <c r="H215">
        <v>7.4734191540988415E-7</v>
      </c>
      <c r="I215" t="s">
        <v>1494</v>
      </c>
      <c r="J215" t="s">
        <v>462</v>
      </c>
      <c r="K215" t="s">
        <v>417</v>
      </c>
      <c r="L215" t="s">
        <v>2295</v>
      </c>
    </row>
    <row r="216" spans="1:12" hidden="1" x14ac:dyDescent="0.25">
      <c r="A216" s="516">
        <v>191</v>
      </c>
      <c r="B216" t="s">
        <v>441</v>
      </c>
      <c r="C216" t="s">
        <v>432</v>
      </c>
      <c r="D216" t="s">
        <v>2229</v>
      </c>
      <c r="E216">
        <v>4</v>
      </c>
      <c r="F216">
        <v>3.1811522354200018E-2</v>
      </c>
      <c r="G216">
        <v>2.189661938028396E-4</v>
      </c>
      <c r="H216">
        <v>2.4911397180329471E-4</v>
      </c>
      <c r="I216" t="s">
        <v>1060</v>
      </c>
      <c r="J216" t="s">
        <v>459</v>
      </c>
      <c r="K216" t="s">
        <v>417</v>
      </c>
      <c r="L216" t="s">
        <v>2295</v>
      </c>
    </row>
    <row r="217" spans="1:12" hidden="1" x14ac:dyDescent="0.25">
      <c r="A217" s="516">
        <v>192</v>
      </c>
      <c r="B217" t="s">
        <v>441</v>
      </c>
      <c r="C217" t="s">
        <v>432</v>
      </c>
      <c r="D217" t="s">
        <v>2229</v>
      </c>
      <c r="E217">
        <v>4</v>
      </c>
      <c r="F217">
        <v>2.5076893410669931E-2</v>
      </c>
      <c r="G217">
        <v>1.726101580866009E-4</v>
      </c>
      <c r="H217">
        <v>7.4734191540988412E-5</v>
      </c>
      <c r="I217" t="s">
        <v>1105</v>
      </c>
      <c r="J217" t="s">
        <v>462</v>
      </c>
      <c r="K217" t="s">
        <v>417</v>
      </c>
      <c r="L217" t="s">
        <v>2295</v>
      </c>
    </row>
    <row r="218" spans="1:12" hidden="1" x14ac:dyDescent="0.25">
      <c r="A218" s="516">
        <v>193</v>
      </c>
      <c r="B218" t="s">
        <v>441</v>
      </c>
      <c r="C218" t="s">
        <v>432</v>
      </c>
      <c r="D218" t="s">
        <v>2229</v>
      </c>
      <c r="E218">
        <v>4</v>
      </c>
      <c r="F218">
        <v>1.3523547301886011E-6</v>
      </c>
      <c r="G218">
        <v>9.3085758249343202E-9</v>
      </c>
      <c r="H218">
        <v>1.2455698590164741E-4</v>
      </c>
      <c r="I218" t="s">
        <v>2231</v>
      </c>
      <c r="L218" t="s">
        <v>2295</v>
      </c>
    </row>
    <row r="219" spans="1:12" hidden="1" x14ac:dyDescent="0.25">
      <c r="A219" s="516">
        <v>194</v>
      </c>
      <c r="B219" t="s">
        <v>441</v>
      </c>
      <c r="C219" t="s">
        <v>432</v>
      </c>
      <c r="D219" t="s">
        <v>2229</v>
      </c>
      <c r="E219">
        <v>4</v>
      </c>
      <c r="F219">
        <v>8.7871928423082976E-4</v>
      </c>
      <c r="G219">
        <v>6.0484316011923537E-6</v>
      </c>
      <c r="H219">
        <v>1.1210128731148261E-3</v>
      </c>
      <c r="I219" t="s">
        <v>1107</v>
      </c>
      <c r="J219" t="s">
        <v>432</v>
      </c>
      <c r="K219" t="s">
        <v>417</v>
      </c>
      <c r="L219" t="s">
        <v>2295</v>
      </c>
    </row>
    <row r="220" spans="1:12" hidden="1" x14ac:dyDescent="0.25">
      <c r="A220" s="516">
        <v>195</v>
      </c>
      <c r="B220" t="s">
        <v>441</v>
      </c>
      <c r="C220" t="s">
        <v>432</v>
      </c>
      <c r="D220" t="s">
        <v>2229</v>
      </c>
      <c r="E220">
        <v>4</v>
      </c>
      <c r="F220">
        <v>1.1155640323258439E-4</v>
      </c>
      <c r="G220">
        <v>7.6786897332968173E-7</v>
      </c>
      <c r="H220">
        <v>-6.7260772386889571E-5</v>
      </c>
      <c r="I220" t="s">
        <v>533</v>
      </c>
      <c r="J220" t="s">
        <v>432</v>
      </c>
      <c r="K220" t="s">
        <v>417</v>
      </c>
      <c r="L220" t="s">
        <v>2295</v>
      </c>
    </row>
    <row r="221" spans="1:12" hidden="1" x14ac:dyDescent="0.25">
      <c r="A221" s="516">
        <v>196</v>
      </c>
      <c r="B221" t="s">
        <v>441</v>
      </c>
      <c r="C221" t="s">
        <v>432</v>
      </c>
      <c r="D221" t="s">
        <v>2229</v>
      </c>
      <c r="E221">
        <v>4</v>
      </c>
      <c r="F221">
        <v>1.931836547440647E-3</v>
      </c>
      <c r="G221">
        <v>1.329728552857039E-5</v>
      </c>
      <c r="H221">
        <v>-1.3452154477377909E-3</v>
      </c>
      <c r="I221" t="s">
        <v>1448</v>
      </c>
      <c r="J221" t="s">
        <v>432</v>
      </c>
      <c r="K221" t="s">
        <v>417</v>
      </c>
      <c r="L221" t="s">
        <v>2295</v>
      </c>
    </row>
    <row r="222" spans="1:12" hidden="1" x14ac:dyDescent="0.25">
      <c r="A222" s="516">
        <v>197</v>
      </c>
      <c r="B222" t="s">
        <v>441</v>
      </c>
      <c r="C222" t="s">
        <v>432</v>
      </c>
      <c r="D222" t="s">
        <v>2229</v>
      </c>
      <c r="E222">
        <v>4</v>
      </c>
      <c r="F222">
        <v>1.1958171469905311E-4</v>
      </c>
      <c r="G222">
        <v>8.2310908055651951E-7</v>
      </c>
      <c r="H222">
        <v>-7.4734191540988415E-7</v>
      </c>
      <c r="I222" t="s">
        <v>1506</v>
      </c>
      <c r="J222" t="s">
        <v>462</v>
      </c>
      <c r="K222" t="s">
        <v>417</v>
      </c>
      <c r="L222" t="s">
        <v>2295</v>
      </c>
    </row>
    <row r="223" spans="1:12" s="417" customFormat="1" x14ac:dyDescent="0.25">
      <c r="A223" s="568">
        <v>198</v>
      </c>
      <c r="B223" s="417" t="s">
        <v>441</v>
      </c>
      <c r="C223" s="417" t="s">
        <v>432</v>
      </c>
      <c r="D223" s="417" t="s">
        <v>2229</v>
      </c>
      <c r="E223" s="417">
        <v>2</v>
      </c>
      <c r="F223" s="417">
        <v>5.7531749966665782E-2</v>
      </c>
      <c r="G223" s="417">
        <v>3.9600457258073422E-4</v>
      </c>
      <c r="H223" s="417">
        <v>4.7082540670822703E-5</v>
      </c>
      <c r="I223" s="417" t="s">
        <v>2091</v>
      </c>
      <c r="J223" s="417" t="s">
        <v>432</v>
      </c>
      <c r="K223" s="417" t="s">
        <v>1047</v>
      </c>
      <c r="L223" s="417" t="s">
        <v>2295</v>
      </c>
    </row>
    <row r="224" spans="1:12" s="308" customFormat="1" x14ac:dyDescent="0.25">
      <c r="A224" s="570">
        <v>199</v>
      </c>
      <c r="B224" s="308" t="s">
        <v>441</v>
      </c>
      <c r="C224" s="308" t="s">
        <v>432</v>
      </c>
      <c r="D224" s="308" t="s">
        <v>2229</v>
      </c>
      <c r="E224" s="308">
        <v>3</v>
      </c>
      <c r="F224" s="308">
        <v>3.122534571065497E-2</v>
      </c>
      <c r="G224" s="308">
        <v>2.149314020344967E-4</v>
      </c>
      <c r="H224" s="308">
        <v>9.2281779714812485E-3</v>
      </c>
      <c r="I224" s="308" t="s">
        <v>1034</v>
      </c>
      <c r="J224" s="308" t="s">
        <v>432</v>
      </c>
      <c r="K224" s="308" t="s">
        <v>433</v>
      </c>
      <c r="L224" s="308" t="str">
        <f>C6</f>
        <v>Energy use, horizontal</v>
      </c>
    </row>
    <row r="225" spans="1:12" hidden="1" x14ac:dyDescent="0.25">
      <c r="A225" s="516">
        <v>200</v>
      </c>
      <c r="B225" t="s">
        <v>441</v>
      </c>
      <c r="C225" t="s">
        <v>432</v>
      </c>
      <c r="D225" t="s">
        <v>2229</v>
      </c>
      <c r="E225">
        <v>4</v>
      </c>
      <c r="F225">
        <v>1.174216909885305E-4</v>
      </c>
      <c r="G225">
        <v>8.0824112909067007E-7</v>
      </c>
      <c r="H225">
        <v>3.4702202249265933E-5</v>
      </c>
      <c r="I225" t="s">
        <v>2270</v>
      </c>
      <c r="L225" t="s">
        <v>2295</v>
      </c>
    </row>
    <row r="226" spans="1:12" hidden="1" x14ac:dyDescent="0.25">
      <c r="A226" s="516">
        <v>201</v>
      </c>
      <c r="B226" t="s">
        <v>441</v>
      </c>
      <c r="C226" t="s">
        <v>432</v>
      </c>
      <c r="D226" t="s">
        <v>2229</v>
      </c>
      <c r="E226">
        <v>4</v>
      </c>
      <c r="F226">
        <v>4.1576764386968282E-5</v>
      </c>
      <c r="G226">
        <v>2.8618265253344359E-7</v>
      </c>
      <c r="H226">
        <v>6.5928035381349892E-5</v>
      </c>
      <c r="I226" t="s">
        <v>2231</v>
      </c>
      <c r="L226" t="s">
        <v>2295</v>
      </c>
    </row>
    <row r="227" spans="1:12" hidden="1" x14ac:dyDescent="0.25">
      <c r="A227" s="516">
        <v>202</v>
      </c>
      <c r="B227" t="s">
        <v>441</v>
      </c>
      <c r="C227" t="s">
        <v>432</v>
      </c>
      <c r="D227" t="s">
        <v>2229</v>
      </c>
      <c r="E227">
        <v>4</v>
      </c>
      <c r="F227">
        <v>2.7301257760952768E-2</v>
      </c>
      <c r="G227">
        <v>1.8792098131565179E-4</v>
      </c>
      <c r="H227">
        <v>9.162249936099898E-3</v>
      </c>
      <c r="I227" t="s">
        <v>2259</v>
      </c>
      <c r="J227" t="s">
        <v>432</v>
      </c>
      <c r="K227" t="s">
        <v>433</v>
      </c>
      <c r="L227" t="s">
        <v>2295</v>
      </c>
    </row>
    <row r="228" spans="1:12" hidden="1" x14ac:dyDescent="0.25">
      <c r="A228" s="516">
        <v>203</v>
      </c>
      <c r="B228" t="s">
        <v>441</v>
      </c>
      <c r="C228" t="s">
        <v>432</v>
      </c>
      <c r="D228" t="s">
        <v>2229</v>
      </c>
      <c r="E228">
        <v>4</v>
      </c>
      <c r="F228">
        <v>9.4987669213241555E-6</v>
      </c>
      <c r="G228">
        <v>6.5382247835368382E-8</v>
      </c>
      <c r="H228">
        <v>4.9832161045998741E-10</v>
      </c>
      <c r="I228" t="s">
        <v>2231</v>
      </c>
      <c r="L228" t="s">
        <v>2295</v>
      </c>
    </row>
    <row r="229" spans="1:12" hidden="1" x14ac:dyDescent="0.25">
      <c r="A229" s="516">
        <v>204</v>
      </c>
      <c r="B229" t="s">
        <v>441</v>
      </c>
      <c r="C229" t="s">
        <v>432</v>
      </c>
      <c r="D229" t="s">
        <v>2229</v>
      </c>
      <c r="E229">
        <v>4</v>
      </c>
      <c r="F229">
        <v>1.931200939560502E-3</v>
      </c>
      <c r="G229">
        <v>1.329291048996906E-5</v>
      </c>
      <c r="H229">
        <v>1.719003554433E-10</v>
      </c>
      <c r="I229" t="s">
        <v>2260</v>
      </c>
      <c r="J229" t="s">
        <v>462</v>
      </c>
      <c r="K229" t="s">
        <v>1995</v>
      </c>
      <c r="L229" t="s">
        <v>2295</v>
      </c>
    </row>
    <row r="230" spans="1:12" s="308" customFormat="1" x14ac:dyDescent="0.25">
      <c r="A230" s="570">
        <v>205</v>
      </c>
      <c r="B230" s="308" t="s">
        <v>441</v>
      </c>
      <c r="C230" s="308" t="s">
        <v>432</v>
      </c>
      <c r="D230" s="308" t="s">
        <v>2229</v>
      </c>
      <c r="E230" s="308">
        <v>3</v>
      </c>
      <c r="F230" s="308">
        <v>2.338491014888688E-2</v>
      </c>
      <c r="G230" s="308">
        <v>1.6096383916210479E-4</v>
      </c>
      <c r="H230" s="308">
        <v>1.6949714641496169E-3</v>
      </c>
      <c r="I230" s="308" t="s">
        <v>1069</v>
      </c>
      <c r="J230" s="308" t="s">
        <v>462</v>
      </c>
      <c r="K230" s="308" t="s">
        <v>434</v>
      </c>
      <c r="L230" s="308" t="str">
        <f>C6</f>
        <v>Energy use, horizontal</v>
      </c>
    </row>
    <row r="231" spans="1:12" hidden="1" x14ac:dyDescent="0.25">
      <c r="A231" s="516">
        <v>206</v>
      </c>
      <c r="B231" t="s">
        <v>441</v>
      </c>
      <c r="C231" t="s">
        <v>432</v>
      </c>
      <c r="D231" t="s">
        <v>2229</v>
      </c>
      <c r="E231">
        <v>4</v>
      </c>
      <c r="F231">
        <v>4.9174681707784464E-3</v>
      </c>
      <c r="G231">
        <v>3.3848090528739051E-5</v>
      </c>
      <c r="H231">
        <v>3.9662332430598193E-5</v>
      </c>
      <c r="I231" t="s">
        <v>2267</v>
      </c>
      <c r="J231" t="s">
        <v>462</v>
      </c>
      <c r="K231" t="s">
        <v>417</v>
      </c>
      <c r="L231" t="s">
        <v>2295</v>
      </c>
    </row>
    <row r="232" spans="1:12" hidden="1" x14ac:dyDescent="0.25">
      <c r="A232" s="516">
        <v>207</v>
      </c>
      <c r="B232" t="s">
        <v>441</v>
      </c>
      <c r="C232" t="s">
        <v>432</v>
      </c>
      <c r="D232" t="s">
        <v>2229</v>
      </c>
      <c r="E232">
        <v>4</v>
      </c>
      <c r="F232">
        <v>2.7369251853756361E-5</v>
      </c>
      <c r="G232">
        <v>1.8838900065583009E-7</v>
      </c>
      <c r="H232">
        <v>3.1356972256265062E-13</v>
      </c>
      <c r="I232" t="s">
        <v>2231</v>
      </c>
      <c r="L232" t="s">
        <v>2295</v>
      </c>
    </row>
    <row r="233" spans="1:12" hidden="1" x14ac:dyDescent="0.25">
      <c r="A233" s="516">
        <v>208</v>
      </c>
      <c r="B233" t="s">
        <v>441</v>
      </c>
      <c r="C233" t="s">
        <v>432</v>
      </c>
      <c r="D233" t="s">
        <v>2229</v>
      </c>
      <c r="E233">
        <v>4</v>
      </c>
      <c r="F233">
        <v>4.7645390473421316E-6</v>
      </c>
      <c r="G233">
        <v>3.2795443387001958E-8</v>
      </c>
      <c r="H233">
        <v>1.9759977358547381E-8</v>
      </c>
      <c r="I233" t="s">
        <v>2231</v>
      </c>
      <c r="L233" t="s">
        <v>2295</v>
      </c>
    </row>
    <row r="234" spans="1:12" hidden="1" x14ac:dyDescent="0.25">
      <c r="A234" s="516">
        <v>209</v>
      </c>
      <c r="B234" t="s">
        <v>441</v>
      </c>
      <c r="C234" t="s">
        <v>432</v>
      </c>
      <c r="D234" t="s">
        <v>2229</v>
      </c>
      <c r="E234">
        <v>4</v>
      </c>
      <c r="F234">
        <v>2.406737256666456E-5</v>
      </c>
      <c r="G234">
        <v>1.6566138857110169E-7</v>
      </c>
      <c r="H234">
        <v>9.3803110908974122E-8</v>
      </c>
      <c r="I234" t="s">
        <v>2231</v>
      </c>
      <c r="L234" t="s">
        <v>2295</v>
      </c>
    </row>
    <row r="235" spans="1:12" hidden="1" x14ac:dyDescent="0.25">
      <c r="A235" s="516">
        <v>210</v>
      </c>
      <c r="B235" t="s">
        <v>441</v>
      </c>
      <c r="C235" t="s">
        <v>432</v>
      </c>
      <c r="D235" t="s">
        <v>2229</v>
      </c>
      <c r="E235">
        <v>4</v>
      </c>
      <c r="F235">
        <v>2.7897973384353212E-7</v>
      </c>
      <c r="G235">
        <v>1.920283153622236E-9</v>
      </c>
      <c r="H235">
        <v>-7.716965046427933E-10</v>
      </c>
      <c r="I235" t="s">
        <v>2231</v>
      </c>
      <c r="L235" t="s">
        <v>2295</v>
      </c>
    </row>
    <row r="236" spans="1:12" hidden="1" x14ac:dyDescent="0.25">
      <c r="A236" s="516">
        <v>211</v>
      </c>
      <c r="B236" t="s">
        <v>441</v>
      </c>
      <c r="C236" t="s">
        <v>432</v>
      </c>
      <c r="D236" t="s">
        <v>2229</v>
      </c>
      <c r="E236">
        <v>4</v>
      </c>
      <c r="F236">
        <v>2.1360084618001518E-5</v>
      </c>
      <c r="G236">
        <v>1.4702648857962809E-7</v>
      </c>
      <c r="H236">
        <v>-8.1619319693741971E-8</v>
      </c>
      <c r="I236" t="s">
        <v>2231</v>
      </c>
      <c r="L236" t="s">
        <v>2295</v>
      </c>
    </row>
    <row r="237" spans="1:12" hidden="1" x14ac:dyDescent="0.25">
      <c r="A237" s="516">
        <v>212</v>
      </c>
      <c r="B237" t="s">
        <v>441</v>
      </c>
      <c r="C237" t="s">
        <v>432</v>
      </c>
      <c r="D237" t="s">
        <v>2229</v>
      </c>
      <c r="E237">
        <v>4</v>
      </c>
      <c r="F237">
        <v>1.026817332763987E-5</v>
      </c>
      <c r="G237">
        <v>7.067825317590591E-8</v>
      </c>
      <c r="H237">
        <v>-3.1172071916589303E-8</v>
      </c>
      <c r="I237" t="s">
        <v>2231</v>
      </c>
      <c r="L237" t="s">
        <v>2295</v>
      </c>
    </row>
    <row r="238" spans="1:12" s="308" customFormat="1" x14ac:dyDescent="0.25">
      <c r="A238" s="570">
        <v>213</v>
      </c>
      <c r="B238" s="308" t="s">
        <v>441</v>
      </c>
      <c r="C238" s="308" t="s">
        <v>432</v>
      </c>
      <c r="D238" s="308" t="s">
        <v>2229</v>
      </c>
      <c r="E238" s="308">
        <v>3</v>
      </c>
      <c r="F238" s="308">
        <v>2.921494178474602E-3</v>
      </c>
      <c r="G238" s="308">
        <v>2.0109331875256131E-5</v>
      </c>
      <c r="H238" s="308">
        <v>-2.7214958868432108E-3</v>
      </c>
      <c r="I238" s="308" t="s">
        <v>1073</v>
      </c>
      <c r="J238" s="308" t="s">
        <v>432</v>
      </c>
      <c r="K238" s="308" t="s">
        <v>417</v>
      </c>
      <c r="L238" s="308" t="str">
        <f>C11</f>
        <v>Drilling waste</v>
      </c>
    </row>
    <row r="239" spans="1:12" hidden="1" x14ac:dyDescent="0.25">
      <c r="A239" s="516">
        <v>214</v>
      </c>
      <c r="B239" t="s">
        <v>441</v>
      </c>
      <c r="C239" t="s">
        <v>432</v>
      </c>
      <c r="D239" t="s">
        <v>2229</v>
      </c>
      <c r="E239">
        <v>4</v>
      </c>
      <c r="F239">
        <v>-3.4151595177534259E-4</v>
      </c>
      <c r="G239">
        <v>-2.3507346567878971E-6</v>
      </c>
      <c r="H239">
        <v>1.6328975321059269E-3</v>
      </c>
      <c r="I239" t="s">
        <v>2268</v>
      </c>
      <c r="J239" t="s">
        <v>432</v>
      </c>
      <c r="K239" t="s">
        <v>417</v>
      </c>
      <c r="L239" t="s">
        <v>2295</v>
      </c>
    </row>
    <row r="240" spans="1:12" hidden="1" x14ac:dyDescent="0.25">
      <c r="A240" s="516">
        <v>215</v>
      </c>
      <c r="B240" t="s">
        <v>441</v>
      </c>
      <c r="C240" t="s">
        <v>432</v>
      </c>
      <c r="D240" t="s">
        <v>2229</v>
      </c>
      <c r="E240">
        <v>4</v>
      </c>
      <c r="F240">
        <v>-9.989909079644449E-4</v>
      </c>
      <c r="G240">
        <v>-6.87628948797343E-6</v>
      </c>
      <c r="H240">
        <v>1.088598354737285E-3</v>
      </c>
      <c r="I240" t="s">
        <v>2269</v>
      </c>
      <c r="J240" t="s">
        <v>432</v>
      </c>
      <c r="K240" t="s">
        <v>417</v>
      </c>
      <c r="L240" t="s">
        <v>2295</v>
      </c>
    </row>
    <row r="241" spans="1:12" hidden="1" x14ac:dyDescent="0.25">
      <c r="A241" s="516">
        <v>216</v>
      </c>
      <c r="B241" t="s">
        <v>441</v>
      </c>
      <c r="C241" t="s">
        <v>432</v>
      </c>
      <c r="D241" t="s">
        <v>2229</v>
      </c>
      <c r="E241">
        <v>4</v>
      </c>
      <c r="F241">
        <v>-2.2497672931393749E-5</v>
      </c>
      <c r="G241">
        <v>-1.5485677662194821E-7</v>
      </c>
      <c r="H241">
        <v>-9.6885253571618308E-6</v>
      </c>
      <c r="I241" t="s">
        <v>2231</v>
      </c>
      <c r="L241" t="s">
        <v>2295</v>
      </c>
    </row>
    <row r="242" spans="1:12" hidden="1" x14ac:dyDescent="0.25">
      <c r="A242" s="516">
        <v>217</v>
      </c>
      <c r="B242" t="s">
        <v>441</v>
      </c>
      <c r="C242" t="s">
        <v>432</v>
      </c>
      <c r="D242" t="s">
        <v>2229</v>
      </c>
      <c r="E242">
        <v>4</v>
      </c>
      <c r="F242">
        <v>-1.5584896620306329E-3</v>
      </c>
      <c r="G242">
        <v>-1.0727451065568579E-5</v>
      </c>
      <c r="H242">
        <v>-7.013294900394956E-5</v>
      </c>
      <c r="I242" t="s">
        <v>2266</v>
      </c>
      <c r="J242" t="s">
        <v>419</v>
      </c>
      <c r="K242" t="s">
        <v>925</v>
      </c>
      <c r="L242" t="s">
        <v>2295</v>
      </c>
    </row>
    <row r="243" spans="1:12" s="417" customFormat="1" x14ac:dyDescent="0.25">
      <c r="A243" s="568">
        <v>218</v>
      </c>
      <c r="B243" s="417" t="s">
        <v>441</v>
      </c>
      <c r="C243" s="417" t="s">
        <v>432</v>
      </c>
      <c r="D243" s="417" t="s">
        <v>2229</v>
      </c>
      <c r="E243" s="417">
        <v>2</v>
      </c>
      <c r="F243" s="417">
        <v>7.3838473846801521E-3</v>
      </c>
      <c r="G243" s="417">
        <v>5.0824759011603853E-5</v>
      </c>
      <c r="H243" s="417">
        <v>1.1210128731148259E-9</v>
      </c>
      <c r="I243" s="417" t="s">
        <v>1517</v>
      </c>
      <c r="J243" s="417" t="s">
        <v>432</v>
      </c>
      <c r="K243" s="417" t="s">
        <v>416</v>
      </c>
      <c r="L243" s="417" t="s">
        <v>829</v>
      </c>
    </row>
    <row r="244" spans="1:12" x14ac:dyDescent="0.25">
      <c r="A244" s="516">
        <v>219</v>
      </c>
      <c r="B244" t="s">
        <v>441</v>
      </c>
      <c r="C244" t="s">
        <v>432</v>
      </c>
      <c r="D244" t="s">
        <v>2229</v>
      </c>
      <c r="E244">
        <v>3</v>
      </c>
      <c r="F244">
        <v>7.3838476590107191E-3</v>
      </c>
      <c r="G244">
        <v>5.0824760899885688E-5</v>
      </c>
      <c r="H244">
        <v>5.7822432923703427E-5</v>
      </c>
      <c r="I244" t="s">
        <v>1060</v>
      </c>
      <c r="J244" t="s">
        <v>459</v>
      </c>
      <c r="K244" t="s">
        <v>417</v>
      </c>
      <c r="L244" t="s">
        <v>2295</v>
      </c>
    </row>
    <row r="245" spans="1:12" hidden="1" x14ac:dyDescent="0.25">
      <c r="A245" s="516">
        <v>220</v>
      </c>
      <c r="B245" t="s">
        <v>441</v>
      </c>
      <c r="C245" t="s">
        <v>432</v>
      </c>
      <c r="D245" t="s">
        <v>2229</v>
      </c>
      <c r="E245">
        <v>4</v>
      </c>
      <c r="F245">
        <v>7.1798936161692568E-3</v>
      </c>
      <c r="G245">
        <v>4.9420897231418412E-5</v>
      </c>
      <c r="H245">
        <v>5.7822432923703427E-5</v>
      </c>
      <c r="I245" t="s">
        <v>2263</v>
      </c>
      <c r="J245" t="s">
        <v>459</v>
      </c>
      <c r="K245" t="s">
        <v>417</v>
      </c>
      <c r="L245" t="s">
        <v>2295</v>
      </c>
    </row>
    <row r="246" spans="1:12" hidden="1" x14ac:dyDescent="0.25">
      <c r="A246" s="516">
        <v>221</v>
      </c>
      <c r="B246" t="s">
        <v>441</v>
      </c>
      <c r="C246" t="s">
        <v>432</v>
      </c>
      <c r="D246" t="s">
        <v>2229</v>
      </c>
      <c r="E246">
        <v>4</v>
      </c>
      <c r="F246">
        <v>9.8113747183160413E-6</v>
      </c>
      <c r="G246">
        <v>6.7534000860522385E-8</v>
      </c>
      <c r="H246">
        <v>1.4455608230925861E-6</v>
      </c>
      <c r="I246" t="s">
        <v>2231</v>
      </c>
      <c r="L246" t="s">
        <v>2295</v>
      </c>
    </row>
    <row r="247" spans="1:12" hidden="1" x14ac:dyDescent="0.25">
      <c r="A247" s="516">
        <v>222</v>
      </c>
      <c r="B247" t="s">
        <v>441</v>
      </c>
      <c r="C247" t="s">
        <v>432</v>
      </c>
      <c r="D247" t="s">
        <v>2229</v>
      </c>
      <c r="E247">
        <v>4</v>
      </c>
      <c r="F247">
        <v>5.6784058247222242E-5</v>
      </c>
      <c r="G247">
        <v>3.9085803453953178E-7</v>
      </c>
      <c r="H247">
        <v>1.9081402864822129E-7</v>
      </c>
      <c r="I247" t="s">
        <v>2231</v>
      </c>
      <c r="L247" t="s">
        <v>2295</v>
      </c>
    </row>
    <row r="248" spans="1:12" hidden="1" x14ac:dyDescent="0.25">
      <c r="A248" s="516">
        <v>223</v>
      </c>
      <c r="B248" t="s">
        <v>441</v>
      </c>
      <c r="C248" t="s">
        <v>432</v>
      </c>
      <c r="D248" t="s">
        <v>2229</v>
      </c>
      <c r="E248">
        <v>4</v>
      </c>
      <c r="F248">
        <v>1.3735861121686929E-4</v>
      </c>
      <c r="G248">
        <v>9.4547164229727281E-7</v>
      </c>
      <c r="H248">
        <v>6.1812180795438962E-6</v>
      </c>
      <c r="I248" t="s">
        <v>2266</v>
      </c>
      <c r="J248" t="s">
        <v>419</v>
      </c>
      <c r="K248" t="s">
        <v>925</v>
      </c>
      <c r="L248" t="s">
        <v>2295</v>
      </c>
    </row>
    <row r="249" spans="1:12" hidden="1" x14ac:dyDescent="0.25">
      <c r="A249" s="516">
        <v>224</v>
      </c>
      <c r="B249" t="s">
        <v>441</v>
      </c>
      <c r="C249" t="s">
        <v>432</v>
      </c>
      <c r="D249" t="s">
        <v>2229</v>
      </c>
      <c r="E249">
        <v>1</v>
      </c>
      <c r="F249">
        <v>3.5423843590698221E-4</v>
      </c>
      <c r="G249">
        <v>2.4383065087415451E-6</v>
      </c>
      <c r="H249">
        <v>3.0490301023033151E-5</v>
      </c>
      <c r="I249" t="s">
        <v>1003</v>
      </c>
      <c r="J249" t="s">
        <v>432</v>
      </c>
      <c r="K249" t="s">
        <v>417</v>
      </c>
      <c r="L249" t="s">
        <v>823</v>
      </c>
    </row>
    <row r="250" spans="1:12" x14ac:dyDescent="0.25">
      <c r="A250" s="568">
        <v>225</v>
      </c>
      <c r="B250" s="417" t="s">
        <v>441</v>
      </c>
      <c r="C250" s="417" t="s">
        <v>432</v>
      </c>
      <c r="D250" s="417" t="s">
        <v>2229</v>
      </c>
      <c r="E250" s="417">
        <v>2</v>
      </c>
      <c r="F250" s="417">
        <v>3.395454852235855E-4</v>
      </c>
      <c r="G250" s="417">
        <v>2.3371714718497492E-6</v>
      </c>
      <c r="H250" s="417">
        <v>3.0490301023033151E-5</v>
      </c>
      <c r="I250" s="417" t="s">
        <v>1000</v>
      </c>
      <c r="J250" s="417" t="s">
        <v>432</v>
      </c>
      <c r="K250" s="417" t="s">
        <v>417</v>
      </c>
      <c r="L250" s="417" t="str">
        <f>C12</f>
        <v>Total</v>
      </c>
    </row>
    <row r="251" spans="1:12" x14ac:dyDescent="0.25">
      <c r="A251" s="516">
        <v>226</v>
      </c>
      <c r="B251" t="s">
        <v>441</v>
      </c>
      <c r="C251" t="s">
        <v>432</v>
      </c>
      <c r="D251" t="s">
        <v>2229</v>
      </c>
      <c r="E251">
        <v>3</v>
      </c>
      <c r="F251">
        <v>3.2485253454018809E-4</v>
      </c>
      <c r="G251">
        <v>2.2360364349579482E-6</v>
      </c>
      <c r="H251">
        <v>3.0490301023033151E-5</v>
      </c>
      <c r="I251" t="s">
        <v>998</v>
      </c>
      <c r="J251" t="s">
        <v>432</v>
      </c>
      <c r="K251" t="s">
        <v>417</v>
      </c>
    </row>
    <row r="252" spans="1:12" hidden="1" x14ac:dyDescent="0.25">
      <c r="A252" s="516">
        <v>227</v>
      </c>
      <c r="B252" t="s">
        <v>441</v>
      </c>
      <c r="C252" t="s">
        <v>432</v>
      </c>
      <c r="D252" t="s">
        <v>2229</v>
      </c>
      <c r="E252">
        <v>4</v>
      </c>
      <c r="F252">
        <v>2.1964275826834211E-4</v>
      </c>
      <c r="G252">
        <v>1.5118527883977931E-6</v>
      </c>
      <c r="H252">
        <v>3.1760730232326302E-5</v>
      </c>
      <c r="I252" t="s">
        <v>996</v>
      </c>
      <c r="J252" t="s">
        <v>432</v>
      </c>
      <c r="K252" t="s">
        <v>417</v>
      </c>
      <c r="L252" t="s">
        <v>2295</v>
      </c>
    </row>
    <row r="253" spans="1:12" hidden="1" x14ac:dyDescent="0.25">
      <c r="A253" s="516">
        <v>228</v>
      </c>
      <c r="B253" t="s">
        <v>441</v>
      </c>
      <c r="C253" t="s">
        <v>432</v>
      </c>
      <c r="D253" t="s">
        <v>2229</v>
      </c>
      <c r="E253">
        <v>4</v>
      </c>
      <c r="F253">
        <v>5.745575781094278E-5</v>
      </c>
      <c r="G253">
        <v>3.9548150069149031E-7</v>
      </c>
      <c r="H253">
        <v>3.8213860155779714E-6</v>
      </c>
      <c r="I253" t="s">
        <v>2231</v>
      </c>
      <c r="L253" t="s">
        <v>2295</v>
      </c>
    </row>
    <row r="254" spans="1:12" hidden="1" x14ac:dyDescent="0.25">
      <c r="A254" s="516">
        <v>229</v>
      </c>
      <c r="B254" t="s">
        <v>441</v>
      </c>
      <c r="C254" t="s">
        <v>432</v>
      </c>
      <c r="D254" t="s">
        <v>2229</v>
      </c>
      <c r="E254">
        <v>4</v>
      </c>
      <c r="F254">
        <v>3.0989963591161308E-5</v>
      </c>
      <c r="G254">
        <v>2.133112115192205E-7</v>
      </c>
      <c r="H254">
        <v>4.2076615411785742E-8</v>
      </c>
      <c r="I254" t="s">
        <v>2231</v>
      </c>
      <c r="L254" t="s">
        <v>2295</v>
      </c>
    </row>
    <row r="255" spans="1:12" hidden="1" x14ac:dyDescent="0.25">
      <c r="A255" s="516">
        <v>230</v>
      </c>
      <c r="B255" t="s">
        <v>441</v>
      </c>
      <c r="C255" t="s">
        <v>432</v>
      </c>
      <c r="D255" t="s">
        <v>2229</v>
      </c>
      <c r="E255">
        <v>4</v>
      </c>
      <c r="F255">
        <v>1.676406530214442E-5</v>
      </c>
      <c r="G255">
        <v>1.153910061581246E-7</v>
      </c>
      <c r="H255">
        <v>4.2076615411785742E-8</v>
      </c>
      <c r="I255" t="s">
        <v>2231</v>
      </c>
      <c r="L255" t="s">
        <v>2295</v>
      </c>
    </row>
    <row r="256" spans="1:12" x14ac:dyDescent="0.25">
      <c r="A256" s="516">
        <v>231</v>
      </c>
      <c r="B256" t="s">
        <v>441</v>
      </c>
      <c r="C256" t="s">
        <v>432</v>
      </c>
      <c r="D256" t="s">
        <v>2229</v>
      </c>
      <c r="E256">
        <v>3</v>
      </c>
      <c r="F256">
        <v>1.46929504644554E-5</v>
      </c>
      <c r="G256">
        <v>1.0113503538477141E-7</v>
      </c>
      <c r="H256">
        <v>3.049030102303315E-6</v>
      </c>
      <c r="I256" t="s">
        <v>2231</v>
      </c>
    </row>
    <row r="257" spans="1:12" x14ac:dyDescent="0.25">
      <c r="A257" s="516">
        <v>232</v>
      </c>
      <c r="B257" t="s">
        <v>441</v>
      </c>
      <c r="C257" t="s">
        <v>432</v>
      </c>
      <c r="D257" t="s">
        <v>2229</v>
      </c>
      <c r="E257">
        <v>2</v>
      </c>
      <c r="F257">
        <v>1.46929504644554E-5</v>
      </c>
      <c r="G257">
        <v>1.0113503538477141E-7</v>
      </c>
      <c r="H257">
        <v>3.049030102303315E-6</v>
      </c>
      <c r="I257" t="s">
        <v>2231</v>
      </c>
    </row>
    <row r="258" spans="1:12" hidden="1" x14ac:dyDescent="0.25">
      <c r="A258" s="516">
        <v>233</v>
      </c>
      <c r="B258" t="s">
        <v>441</v>
      </c>
      <c r="C258" t="s">
        <v>432</v>
      </c>
      <c r="D258" t="s">
        <v>2271</v>
      </c>
      <c r="E258">
        <v>0</v>
      </c>
      <c r="F258">
        <v>1</v>
      </c>
      <c r="G258">
        <v>3.3996066401265167E-5</v>
      </c>
      <c r="H258">
        <v>1</v>
      </c>
      <c r="I258" t="s">
        <v>441</v>
      </c>
      <c r="J258" t="s">
        <v>432</v>
      </c>
      <c r="K258" t="s">
        <v>433</v>
      </c>
      <c r="L258" t="s">
        <v>1205</v>
      </c>
    </row>
    <row r="259" spans="1:12" hidden="1" x14ac:dyDescent="0.25">
      <c r="A259" s="516">
        <v>234</v>
      </c>
      <c r="B259" t="s">
        <v>441</v>
      </c>
      <c r="C259" t="s">
        <v>432</v>
      </c>
      <c r="D259" t="s">
        <v>2271</v>
      </c>
      <c r="E259">
        <v>1</v>
      </c>
      <c r="F259">
        <v>0.9996014051883011</v>
      </c>
      <c r="G259">
        <v>3.3982515745579457E-5</v>
      </c>
      <c r="H259">
        <v>1.1210128731148259E-9</v>
      </c>
      <c r="I259" t="s">
        <v>2099</v>
      </c>
      <c r="J259" t="s">
        <v>432</v>
      </c>
      <c r="K259" t="s">
        <v>416</v>
      </c>
    </row>
    <row r="260" spans="1:12" x14ac:dyDescent="0.25">
      <c r="A260" s="568">
        <v>235</v>
      </c>
      <c r="B260" s="417" t="s">
        <v>441</v>
      </c>
      <c r="C260" s="417" t="s">
        <v>432</v>
      </c>
      <c r="D260" s="417" t="s">
        <v>2271</v>
      </c>
      <c r="E260" s="417">
        <v>2</v>
      </c>
      <c r="F260" s="417">
        <v>9.7293555440087692E-2</v>
      </c>
      <c r="G260" s="417">
        <v>3.307598171156395E-6</v>
      </c>
      <c r="H260" s="417">
        <v>2.2420257462296519E-9</v>
      </c>
      <c r="I260" s="417" t="s">
        <v>1122</v>
      </c>
      <c r="J260" s="417" t="s">
        <v>432</v>
      </c>
      <c r="K260" s="417" t="s">
        <v>416</v>
      </c>
      <c r="L260" t="str">
        <f>$B$18</f>
        <v>Surface plant</v>
      </c>
    </row>
    <row r="261" spans="1:12" x14ac:dyDescent="0.25">
      <c r="A261" s="516">
        <v>236</v>
      </c>
      <c r="B261" t="s">
        <v>441</v>
      </c>
      <c r="C261" t="s">
        <v>432</v>
      </c>
      <c r="D261" t="s">
        <v>2271</v>
      </c>
      <c r="E261">
        <v>3</v>
      </c>
      <c r="F261">
        <v>7.7633060401529252E-4</v>
      </c>
      <c r="G261">
        <v>2.6392186763438189E-8</v>
      </c>
      <c r="H261">
        <v>7.1066873184536906E-7</v>
      </c>
      <c r="I261" t="s">
        <v>2230</v>
      </c>
      <c r="J261" t="s">
        <v>462</v>
      </c>
      <c r="K261" t="s">
        <v>417</v>
      </c>
    </row>
    <row r="262" spans="1:12" hidden="1" x14ac:dyDescent="0.25">
      <c r="A262" s="516">
        <v>237</v>
      </c>
      <c r="B262" t="s">
        <v>441</v>
      </c>
      <c r="C262" t="s">
        <v>432</v>
      </c>
      <c r="D262" t="s">
        <v>2271</v>
      </c>
      <c r="E262">
        <v>4</v>
      </c>
      <c r="F262">
        <v>2.1470015349278129E-5</v>
      </c>
      <c r="G262">
        <v>7.2989606745024161E-10</v>
      </c>
      <c r="H262">
        <v>1.7496624768159701E-7</v>
      </c>
      <c r="I262" t="s">
        <v>2231</v>
      </c>
      <c r="L262" t="s">
        <v>2295</v>
      </c>
    </row>
    <row r="263" spans="1:12" hidden="1" x14ac:dyDescent="0.25">
      <c r="A263" s="516">
        <v>238</v>
      </c>
      <c r="B263" t="s">
        <v>441</v>
      </c>
      <c r="C263" t="s">
        <v>432</v>
      </c>
      <c r="D263" t="s">
        <v>2271</v>
      </c>
      <c r="E263">
        <v>4</v>
      </c>
      <c r="F263">
        <v>2.9527539548446428E-5</v>
      </c>
      <c r="G263">
        <v>1.003820195154968E-9</v>
      </c>
      <c r="H263">
        <v>3.0368190207504018E-7</v>
      </c>
      <c r="I263" t="s">
        <v>2231</v>
      </c>
      <c r="L263" t="s">
        <v>2295</v>
      </c>
    </row>
    <row r="264" spans="1:12" hidden="1" x14ac:dyDescent="0.25">
      <c r="A264" s="516">
        <v>239</v>
      </c>
      <c r="B264" t="s">
        <v>441</v>
      </c>
      <c r="C264" t="s">
        <v>432</v>
      </c>
      <c r="D264" t="s">
        <v>2271</v>
      </c>
      <c r="E264">
        <v>4</v>
      </c>
      <c r="F264">
        <v>7.0996917852533554E-4</v>
      </c>
      <c r="G264">
        <v>2.4136159335998991E-8</v>
      </c>
      <c r="H264">
        <v>1.857699888005772E-7</v>
      </c>
      <c r="I264" t="s">
        <v>2232</v>
      </c>
      <c r="J264" t="s">
        <v>462</v>
      </c>
      <c r="K264" t="s">
        <v>417</v>
      </c>
      <c r="L264" t="s">
        <v>2295</v>
      </c>
    </row>
    <row r="265" spans="1:12" hidden="1" x14ac:dyDescent="0.25">
      <c r="A265" s="516">
        <v>240</v>
      </c>
      <c r="B265" t="s">
        <v>441</v>
      </c>
      <c r="C265" t="s">
        <v>432</v>
      </c>
      <c r="D265" t="s">
        <v>2271</v>
      </c>
      <c r="E265">
        <v>4</v>
      </c>
      <c r="F265">
        <v>4.1889379498615241E-6</v>
      </c>
      <c r="G265">
        <v>1.4240741269427201E-10</v>
      </c>
      <c r="H265">
        <v>4.6250593288154462E-8</v>
      </c>
      <c r="I265" t="s">
        <v>2231</v>
      </c>
      <c r="L265" t="s">
        <v>2295</v>
      </c>
    </row>
    <row r="266" spans="1:12" hidden="1" x14ac:dyDescent="0.25">
      <c r="A266" s="516">
        <v>241</v>
      </c>
      <c r="B266" t="s">
        <v>441</v>
      </c>
      <c r="C266" t="s">
        <v>432</v>
      </c>
      <c r="D266" t="s">
        <v>2271</v>
      </c>
      <c r="E266">
        <v>4</v>
      </c>
      <c r="F266">
        <v>3.3281483761947491E-6</v>
      </c>
      <c r="G266">
        <v>1.131439531903796E-10</v>
      </c>
      <c r="H266">
        <v>2.4503857874028319E-7</v>
      </c>
      <c r="I266" t="s">
        <v>2231</v>
      </c>
      <c r="L266" t="s">
        <v>2295</v>
      </c>
    </row>
    <row r="267" spans="1:12" hidden="1" x14ac:dyDescent="0.25">
      <c r="A267" s="516">
        <v>242</v>
      </c>
      <c r="B267" t="s">
        <v>441</v>
      </c>
      <c r="C267" t="s">
        <v>432</v>
      </c>
      <c r="D267" t="s">
        <v>2271</v>
      </c>
      <c r="E267">
        <v>4</v>
      </c>
      <c r="F267">
        <v>3.4026898102077981E-7</v>
      </c>
      <c r="G267">
        <v>1.156780687307327E-11</v>
      </c>
      <c r="H267">
        <v>2.57972749659869E-8</v>
      </c>
      <c r="I267" t="s">
        <v>2231</v>
      </c>
      <c r="L267" t="s">
        <v>2295</v>
      </c>
    </row>
    <row r="268" spans="1:12" hidden="1" x14ac:dyDescent="0.25">
      <c r="A268" s="516">
        <v>243</v>
      </c>
      <c r="B268" t="s">
        <v>441</v>
      </c>
      <c r="C268" t="s">
        <v>432</v>
      </c>
      <c r="D268" t="s">
        <v>2271</v>
      </c>
      <c r="E268">
        <v>4</v>
      </c>
      <c r="F268">
        <v>5.2204465447750422E-6</v>
      </c>
      <c r="G268">
        <v>1.7747464738042769E-10</v>
      </c>
      <c r="H268">
        <v>2.5683567968891642E-7</v>
      </c>
      <c r="I268" t="s">
        <v>2231</v>
      </c>
      <c r="L268" t="s">
        <v>2295</v>
      </c>
    </row>
    <row r="269" spans="1:12" hidden="1" x14ac:dyDescent="0.25">
      <c r="A269" s="516">
        <v>244</v>
      </c>
      <c r="B269" t="s">
        <v>441</v>
      </c>
      <c r="C269" t="s">
        <v>432</v>
      </c>
      <c r="D269" t="s">
        <v>2271</v>
      </c>
      <c r="E269">
        <v>4</v>
      </c>
      <c r="F269">
        <v>2.286096625586367E-6</v>
      </c>
      <c r="G269">
        <v>7.7718292683142399E-11</v>
      </c>
      <c r="H269">
        <v>2.581859502794226E-7</v>
      </c>
      <c r="I269" t="s">
        <v>2231</v>
      </c>
      <c r="L269" t="s">
        <v>2295</v>
      </c>
    </row>
    <row r="270" spans="1:12" x14ac:dyDescent="0.25">
      <c r="A270" s="516">
        <v>245</v>
      </c>
      <c r="B270" t="s">
        <v>441</v>
      </c>
      <c r="C270" t="s">
        <v>432</v>
      </c>
      <c r="D270" t="s">
        <v>2271</v>
      </c>
      <c r="E270">
        <v>3</v>
      </c>
      <c r="F270">
        <v>2.1855510673594641E-4</v>
      </c>
      <c r="G270">
        <v>7.4300139209308306E-9</v>
      </c>
      <c r="H270">
        <v>9.6828614713931526E-7</v>
      </c>
      <c r="I270" t="s">
        <v>2233</v>
      </c>
      <c r="J270" t="s">
        <v>419</v>
      </c>
      <c r="K270" t="s">
        <v>417</v>
      </c>
    </row>
    <row r="271" spans="1:12" hidden="1" x14ac:dyDescent="0.25">
      <c r="A271" s="516">
        <v>246</v>
      </c>
      <c r="B271" t="s">
        <v>441</v>
      </c>
      <c r="C271" t="s">
        <v>432</v>
      </c>
      <c r="D271" t="s">
        <v>2271</v>
      </c>
      <c r="E271">
        <v>4</v>
      </c>
      <c r="F271">
        <v>1.361317575217159E-4</v>
      </c>
      <c r="G271">
        <v>4.6279442680291854E-9</v>
      </c>
      <c r="H271">
        <v>6.1534207375399252E-7</v>
      </c>
      <c r="I271" t="s">
        <v>2234</v>
      </c>
      <c r="J271" t="s">
        <v>419</v>
      </c>
      <c r="K271" t="s">
        <v>417</v>
      </c>
      <c r="L271" t="s">
        <v>2295</v>
      </c>
    </row>
    <row r="272" spans="1:12" hidden="1" x14ac:dyDescent="0.25">
      <c r="A272" s="516">
        <v>247</v>
      </c>
      <c r="B272" t="s">
        <v>441</v>
      </c>
      <c r="C272" t="s">
        <v>432</v>
      </c>
      <c r="D272" t="s">
        <v>2271</v>
      </c>
      <c r="E272">
        <v>4</v>
      </c>
      <c r="F272">
        <v>7.4953781901248906E-5</v>
      </c>
      <c r="G272">
        <v>2.548133746540805E-9</v>
      </c>
      <c r="H272">
        <v>3.42977549305504E-7</v>
      </c>
      <c r="I272" t="s">
        <v>2231</v>
      </c>
      <c r="L272" t="s">
        <v>2295</v>
      </c>
    </row>
    <row r="273" spans="1:12" hidden="1" x14ac:dyDescent="0.25">
      <c r="A273" s="516">
        <v>248</v>
      </c>
      <c r="B273" t="s">
        <v>441</v>
      </c>
      <c r="C273" t="s">
        <v>432</v>
      </c>
      <c r="D273" t="s">
        <v>2271</v>
      </c>
      <c r="E273">
        <v>4</v>
      </c>
      <c r="F273">
        <v>3.4306595163745899E-6</v>
      </c>
      <c r="G273">
        <v>1.166289287188028E-10</v>
      </c>
      <c r="H273">
        <v>9.966524079818768E-9</v>
      </c>
      <c r="I273" t="s">
        <v>2231</v>
      </c>
      <c r="L273" t="s">
        <v>2295</v>
      </c>
    </row>
    <row r="274" spans="1:12" hidden="1" x14ac:dyDescent="0.25">
      <c r="A274" s="516">
        <v>249</v>
      </c>
      <c r="B274" t="s">
        <v>441</v>
      </c>
      <c r="C274" t="s">
        <v>432</v>
      </c>
      <c r="D274" t="s">
        <v>2271</v>
      </c>
      <c r="E274">
        <v>4</v>
      </c>
      <c r="F274">
        <v>4.2780217000604648E-7</v>
      </c>
      <c r="G274">
        <v>1.454359097813089E-11</v>
      </c>
      <c r="H274">
        <v>4.2410933244702012E-8</v>
      </c>
      <c r="I274" t="s">
        <v>2231</v>
      </c>
      <c r="L274" t="s">
        <v>2295</v>
      </c>
    </row>
    <row r="275" spans="1:12" hidden="1" x14ac:dyDescent="0.25">
      <c r="A275" s="516">
        <v>250</v>
      </c>
      <c r="B275" t="s">
        <v>441</v>
      </c>
      <c r="C275" t="s">
        <v>432</v>
      </c>
      <c r="D275" t="s">
        <v>2271</v>
      </c>
      <c r="E275">
        <v>4</v>
      </c>
      <c r="F275">
        <v>2.5830880751226292E-7</v>
      </c>
      <c r="G275">
        <v>8.7814833722185149E-12</v>
      </c>
      <c r="H275">
        <v>2.1205466622350999E-8</v>
      </c>
      <c r="I275" t="s">
        <v>2231</v>
      </c>
      <c r="L275" t="s">
        <v>2295</v>
      </c>
    </row>
    <row r="276" spans="1:12" hidden="1" x14ac:dyDescent="0.25">
      <c r="A276" s="516">
        <v>251</v>
      </c>
      <c r="B276" t="s">
        <v>441</v>
      </c>
      <c r="C276" t="s">
        <v>432</v>
      </c>
      <c r="D276" t="s">
        <v>2271</v>
      </c>
      <c r="E276">
        <v>4</v>
      </c>
      <c r="F276">
        <v>3.3528021703079599E-6</v>
      </c>
      <c r="G276">
        <v>1.139820852120954E-10</v>
      </c>
      <c r="H276">
        <v>1.6586741700496469E-7</v>
      </c>
      <c r="I276" t="s">
        <v>2231</v>
      </c>
      <c r="L276" t="s">
        <v>2295</v>
      </c>
    </row>
    <row r="277" spans="1:12" x14ac:dyDescent="0.25">
      <c r="A277" s="516">
        <v>252</v>
      </c>
      <c r="B277" t="s">
        <v>441</v>
      </c>
      <c r="C277" t="s">
        <v>432</v>
      </c>
      <c r="D277" t="s">
        <v>2271</v>
      </c>
      <c r="E277">
        <v>3</v>
      </c>
      <c r="F277">
        <v>5.6405098468045978E-2</v>
      </c>
      <c r="G277">
        <v>1.9175514728895919E-6</v>
      </c>
      <c r="H277">
        <v>5.5520994675419461E-7</v>
      </c>
      <c r="I277" t="s">
        <v>2235</v>
      </c>
      <c r="J277" t="s">
        <v>432</v>
      </c>
      <c r="K277" t="s">
        <v>437</v>
      </c>
    </row>
    <row r="278" spans="1:12" hidden="1" x14ac:dyDescent="0.25">
      <c r="A278" s="516">
        <v>253</v>
      </c>
      <c r="B278" t="s">
        <v>441</v>
      </c>
      <c r="C278" t="s">
        <v>432</v>
      </c>
      <c r="D278" t="s">
        <v>2271</v>
      </c>
      <c r="E278">
        <v>4</v>
      </c>
      <c r="F278">
        <v>3.962898041823118E-2</v>
      </c>
      <c r="G278">
        <v>1.3472294497126241E-6</v>
      </c>
      <c r="H278">
        <v>3.8864696272793622E-7</v>
      </c>
      <c r="I278" t="s">
        <v>2236</v>
      </c>
      <c r="J278" t="s">
        <v>432</v>
      </c>
      <c r="K278" t="s">
        <v>437</v>
      </c>
      <c r="L278" t="s">
        <v>2295</v>
      </c>
    </row>
    <row r="279" spans="1:12" hidden="1" x14ac:dyDescent="0.25">
      <c r="A279" s="516">
        <v>254</v>
      </c>
      <c r="B279" t="s">
        <v>441</v>
      </c>
      <c r="C279" t="s">
        <v>432</v>
      </c>
      <c r="D279" t="s">
        <v>2271</v>
      </c>
      <c r="E279">
        <v>4</v>
      </c>
      <c r="F279">
        <v>1.6776118058069271E-2</v>
      </c>
      <c r="G279">
        <v>5.7032202345758659E-7</v>
      </c>
      <c r="H279">
        <v>1.6656298402625839E-7</v>
      </c>
      <c r="I279" t="s">
        <v>2237</v>
      </c>
      <c r="J279" t="s">
        <v>432</v>
      </c>
      <c r="K279" t="s">
        <v>437</v>
      </c>
      <c r="L279" t="s">
        <v>2295</v>
      </c>
    </row>
    <row r="280" spans="1:12" x14ac:dyDescent="0.25">
      <c r="A280" s="516">
        <v>255</v>
      </c>
      <c r="B280" t="s">
        <v>441</v>
      </c>
      <c r="C280" t="s">
        <v>432</v>
      </c>
      <c r="D280" t="s">
        <v>2271</v>
      </c>
      <c r="E280">
        <v>3</v>
      </c>
      <c r="F280">
        <v>4.8590011589813272E-4</v>
      </c>
      <c r="G280">
        <v>1.6518692604455359E-8</v>
      </c>
      <c r="H280">
        <v>3.1091757018234902E-8</v>
      </c>
      <c r="I280" t="s">
        <v>2238</v>
      </c>
      <c r="J280" t="s">
        <v>432</v>
      </c>
      <c r="K280" t="s">
        <v>428</v>
      </c>
    </row>
    <row r="281" spans="1:12" hidden="1" x14ac:dyDescent="0.25">
      <c r="A281" s="516">
        <v>256</v>
      </c>
      <c r="B281" t="s">
        <v>441</v>
      </c>
      <c r="C281" t="s">
        <v>432</v>
      </c>
      <c r="D281" t="s">
        <v>2271</v>
      </c>
      <c r="E281">
        <v>4</v>
      </c>
      <c r="F281">
        <v>1.245161934451927E-4</v>
      </c>
      <c r="G281">
        <v>4.2330607803955516E-9</v>
      </c>
      <c r="H281">
        <v>9.3275271054704687E-9</v>
      </c>
      <c r="I281" t="s">
        <v>2239</v>
      </c>
      <c r="J281" t="s">
        <v>432</v>
      </c>
      <c r="K281" t="s">
        <v>428</v>
      </c>
      <c r="L281" t="s">
        <v>2295</v>
      </c>
    </row>
    <row r="282" spans="1:12" hidden="1" x14ac:dyDescent="0.25">
      <c r="A282" s="516">
        <v>257</v>
      </c>
      <c r="B282" t="s">
        <v>441</v>
      </c>
      <c r="C282" t="s">
        <v>432</v>
      </c>
      <c r="D282" t="s">
        <v>2271</v>
      </c>
      <c r="E282">
        <v>4</v>
      </c>
      <c r="F282">
        <v>4.0312881613024137E-5</v>
      </c>
      <c r="G282">
        <v>1.370479400142711E-9</v>
      </c>
      <c r="H282">
        <v>3.10917570182349E-9</v>
      </c>
      <c r="I282" t="s">
        <v>2231</v>
      </c>
      <c r="L282" t="s">
        <v>2295</v>
      </c>
    </row>
    <row r="283" spans="1:12" hidden="1" x14ac:dyDescent="0.25">
      <c r="A283" s="516">
        <v>258</v>
      </c>
      <c r="B283" t="s">
        <v>441</v>
      </c>
      <c r="C283" t="s">
        <v>432</v>
      </c>
      <c r="D283" t="s">
        <v>2271</v>
      </c>
      <c r="E283">
        <v>4</v>
      </c>
      <c r="F283">
        <v>2.8137343044814541E-4</v>
      </c>
      <c r="G283">
        <v>9.565589825066917E-9</v>
      </c>
      <c r="H283">
        <v>1.8655054210940941E-8</v>
      </c>
      <c r="I283" t="s">
        <v>2241</v>
      </c>
      <c r="J283" t="s">
        <v>432</v>
      </c>
      <c r="K283" t="s">
        <v>428</v>
      </c>
      <c r="L283" t="s">
        <v>2295</v>
      </c>
    </row>
    <row r="284" spans="1:12" hidden="1" x14ac:dyDescent="0.25">
      <c r="A284" s="516">
        <v>259</v>
      </c>
      <c r="B284" t="s">
        <v>441</v>
      </c>
      <c r="C284" t="s">
        <v>432</v>
      </c>
      <c r="D284" t="s">
        <v>2271</v>
      </c>
      <c r="E284">
        <v>4</v>
      </c>
      <c r="F284">
        <v>8.7538340419773302E-7</v>
      </c>
      <c r="G284">
        <v>2.9759592335671682E-11</v>
      </c>
      <c r="H284">
        <v>2.7436920980741391E-7</v>
      </c>
      <c r="I284" t="s">
        <v>2231</v>
      </c>
      <c r="L284" t="s">
        <v>2295</v>
      </c>
    </row>
    <row r="285" spans="1:12" hidden="1" x14ac:dyDescent="0.25">
      <c r="A285" s="516">
        <v>260</v>
      </c>
      <c r="B285" t="s">
        <v>441</v>
      </c>
      <c r="C285" t="s">
        <v>432</v>
      </c>
      <c r="D285" t="s">
        <v>2271</v>
      </c>
      <c r="E285">
        <v>4</v>
      </c>
      <c r="F285">
        <v>3.8822210480091542E-5</v>
      </c>
      <c r="G285">
        <v>1.319802445325085E-9</v>
      </c>
      <c r="H285">
        <v>1.9205844686518972E-6</v>
      </c>
      <c r="I285" t="s">
        <v>2231</v>
      </c>
      <c r="L285" t="s">
        <v>2295</v>
      </c>
    </row>
    <row r="286" spans="1:12" x14ac:dyDescent="0.25">
      <c r="A286" s="516">
        <v>261</v>
      </c>
      <c r="B286" t="s">
        <v>441</v>
      </c>
      <c r="C286" t="s">
        <v>432</v>
      </c>
      <c r="D286" t="s">
        <v>2271</v>
      </c>
      <c r="E286">
        <v>3</v>
      </c>
      <c r="F286">
        <v>1.1648327321444321E-2</v>
      </c>
      <c r="G286">
        <v>3.9599730908349249E-7</v>
      </c>
      <c r="H286">
        <v>7.1066873184536906E-7</v>
      </c>
      <c r="I286" t="s">
        <v>2242</v>
      </c>
      <c r="J286" t="s">
        <v>462</v>
      </c>
      <c r="K286" t="s">
        <v>417</v>
      </c>
    </row>
    <row r="287" spans="1:12" hidden="1" x14ac:dyDescent="0.25">
      <c r="A287" s="516">
        <v>262</v>
      </c>
      <c r="B287" t="s">
        <v>441</v>
      </c>
      <c r="C287" t="s">
        <v>432</v>
      </c>
      <c r="D287" t="s">
        <v>2271</v>
      </c>
      <c r="E287">
        <v>4</v>
      </c>
      <c r="F287">
        <v>6.0292123856394147E-4</v>
      </c>
      <c r="G287">
        <v>2.0496950460952791E-8</v>
      </c>
      <c r="H287">
        <v>1.211620353323431E-7</v>
      </c>
      <c r="I287" t="s">
        <v>2243</v>
      </c>
      <c r="J287" t="s">
        <v>462</v>
      </c>
      <c r="K287" t="s">
        <v>417</v>
      </c>
      <c r="L287" t="s">
        <v>2295</v>
      </c>
    </row>
    <row r="288" spans="1:12" hidden="1" x14ac:dyDescent="0.25">
      <c r="A288" s="516">
        <v>263</v>
      </c>
      <c r="B288" t="s">
        <v>441</v>
      </c>
      <c r="C288" t="s">
        <v>432</v>
      </c>
      <c r="D288" t="s">
        <v>2271</v>
      </c>
      <c r="E288">
        <v>4</v>
      </c>
      <c r="F288">
        <v>4.8335745157945781E-7</v>
      </c>
      <c r="G288">
        <v>1.6432252019441561E-11</v>
      </c>
      <c r="H288">
        <v>1.953079858167785E-10</v>
      </c>
      <c r="I288" t="s">
        <v>2231</v>
      </c>
      <c r="L288" t="s">
        <v>2295</v>
      </c>
    </row>
    <row r="289" spans="1:12" hidden="1" x14ac:dyDescent="0.25">
      <c r="A289" s="516">
        <v>264</v>
      </c>
      <c r="B289" t="s">
        <v>441</v>
      </c>
      <c r="C289" t="s">
        <v>432</v>
      </c>
      <c r="D289" t="s">
        <v>2271</v>
      </c>
      <c r="E289">
        <v>4</v>
      </c>
      <c r="F289">
        <v>2.2304943467962122E-12</v>
      </c>
      <c r="G289">
        <v>7.5828033921330605E-17</v>
      </c>
      <c r="H289">
        <v>1.027239778012812E-15</v>
      </c>
      <c r="I289" t="s">
        <v>2231</v>
      </c>
      <c r="L289" t="s">
        <v>2295</v>
      </c>
    </row>
    <row r="290" spans="1:12" hidden="1" x14ac:dyDescent="0.25">
      <c r="A290" s="516">
        <v>265</v>
      </c>
      <c r="B290" t="s">
        <v>441</v>
      </c>
      <c r="C290" t="s">
        <v>432</v>
      </c>
      <c r="D290" t="s">
        <v>2271</v>
      </c>
      <c r="E290">
        <v>4</v>
      </c>
      <c r="F290">
        <v>3.541006292250102E-13</v>
      </c>
      <c r="G290">
        <v>1.203802850386323E-17</v>
      </c>
      <c r="H290">
        <v>1.2988089147288379E-16</v>
      </c>
      <c r="I290" t="s">
        <v>2231</v>
      </c>
      <c r="L290" t="s">
        <v>2295</v>
      </c>
    </row>
    <row r="291" spans="1:12" hidden="1" x14ac:dyDescent="0.25">
      <c r="A291" s="516">
        <v>266</v>
      </c>
      <c r="B291" t="s">
        <v>441</v>
      </c>
      <c r="C291" t="s">
        <v>432</v>
      </c>
      <c r="D291" t="s">
        <v>2271</v>
      </c>
      <c r="E291">
        <v>4</v>
      </c>
      <c r="F291">
        <v>0</v>
      </c>
      <c r="G291">
        <v>0</v>
      </c>
      <c r="H291">
        <v>6.6293371689284574E-13</v>
      </c>
      <c r="I291" t="s">
        <v>2231</v>
      </c>
      <c r="L291" t="s">
        <v>2295</v>
      </c>
    </row>
    <row r="292" spans="1:12" hidden="1" x14ac:dyDescent="0.25">
      <c r="A292" s="516">
        <v>267</v>
      </c>
      <c r="B292" t="s">
        <v>441</v>
      </c>
      <c r="C292" t="s">
        <v>432</v>
      </c>
      <c r="D292" t="s">
        <v>2271</v>
      </c>
      <c r="E292">
        <v>4</v>
      </c>
      <c r="F292">
        <v>9.6576073778587273E-3</v>
      </c>
      <c r="G292">
        <v>3.2832066169503371E-7</v>
      </c>
      <c r="H292">
        <v>4.2992950214197398E-7</v>
      </c>
      <c r="I292" t="s">
        <v>2244</v>
      </c>
      <c r="J292" t="s">
        <v>462</v>
      </c>
      <c r="K292" t="s">
        <v>417</v>
      </c>
      <c r="L292" t="s">
        <v>2295</v>
      </c>
    </row>
    <row r="293" spans="1:12" hidden="1" x14ac:dyDescent="0.25">
      <c r="A293" s="516">
        <v>268</v>
      </c>
      <c r="B293" t="s">
        <v>441</v>
      </c>
      <c r="C293" t="s">
        <v>432</v>
      </c>
      <c r="D293" t="s">
        <v>2271</v>
      </c>
      <c r="E293">
        <v>4</v>
      </c>
      <c r="F293">
        <v>6.9705214428315718E-5</v>
      </c>
      <c r="G293">
        <v>2.369703098219449E-9</v>
      </c>
      <c r="H293">
        <v>2.4197016639519881E-8</v>
      </c>
      <c r="I293" t="s">
        <v>2231</v>
      </c>
      <c r="L293" t="s">
        <v>2295</v>
      </c>
    </row>
    <row r="294" spans="1:12" hidden="1" x14ac:dyDescent="0.25">
      <c r="A294" s="516">
        <v>269</v>
      </c>
      <c r="B294" t="s">
        <v>441</v>
      </c>
      <c r="C294" t="s">
        <v>432</v>
      </c>
      <c r="D294" t="s">
        <v>2271</v>
      </c>
      <c r="E294">
        <v>4</v>
      </c>
      <c r="F294">
        <v>9.2746365915867264E-4</v>
      </c>
      <c r="G294">
        <v>3.1530116141518608E-8</v>
      </c>
      <c r="H294">
        <v>1.1160135859892259E-8</v>
      </c>
      <c r="I294" t="s">
        <v>2272</v>
      </c>
      <c r="J294" t="s">
        <v>2273</v>
      </c>
      <c r="K294" t="s">
        <v>417</v>
      </c>
      <c r="L294" t="s">
        <v>2295</v>
      </c>
    </row>
    <row r="295" spans="1:12" hidden="1" x14ac:dyDescent="0.25">
      <c r="A295" s="516">
        <v>270</v>
      </c>
      <c r="B295" t="s">
        <v>441</v>
      </c>
      <c r="C295" t="s">
        <v>432</v>
      </c>
      <c r="D295" t="s">
        <v>2271</v>
      </c>
      <c r="E295">
        <v>4</v>
      </c>
      <c r="F295">
        <v>0</v>
      </c>
      <c r="G295">
        <v>0</v>
      </c>
      <c r="H295">
        <v>1.515269049822246E-12</v>
      </c>
      <c r="I295" t="s">
        <v>2231</v>
      </c>
      <c r="L295" t="s">
        <v>2295</v>
      </c>
    </row>
    <row r="296" spans="1:12" hidden="1" x14ac:dyDescent="0.25">
      <c r="A296" s="516">
        <v>271</v>
      </c>
      <c r="B296" t="s">
        <v>441</v>
      </c>
      <c r="C296" t="s">
        <v>432</v>
      </c>
      <c r="D296" t="s">
        <v>2271</v>
      </c>
      <c r="E296">
        <v>4</v>
      </c>
      <c r="F296">
        <v>1.4220047089545871E-8</v>
      </c>
      <c r="G296">
        <v>4.8342566508531889E-13</v>
      </c>
      <c r="H296">
        <v>5.9726098922404826E-10</v>
      </c>
      <c r="I296" t="s">
        <v>2231</v>
      </c>
      <c r="L296" t="s">
        <v>2295</v>
      </c>
    </row>
    <row r="297" spans="1:12" hidden="1" x14ac:dyDescent="0.25">
      <c r="A297" s="516">
        <v>272</v>
      </c>
      <c r="B297" t="s">
        <v>441</v>
      </c>
      <c r="C297" t="s">
        <v>432</v>
      </c>
      <c r="D297" t="s">
        <v>2271</v>
      </c>
      <c r="E297">
        <v>4</v>
      </c>
      <c r="F297">
        <v>2.022165488485741E-13</v>
      </c>
      <c r="G297">
        <v>6.8745672220908082E-18</v>
      </c>
      <c r="H297">
        <v>1.2988089147288379E-16</v>
      </c>
      <c r="I297" t="s">
        <v>2231</v>
      </c>
      <c r="L297" t="s">
        <v>2295</v>
      </c>
    </row>
    <row r="298" spans="1:12" hidden="1" x14ac:dyDescent="0.25">
      <c r="A298" s="516">
        <v>273</v>
      </c>
      <c r="B298" t="s">
        <v>441</v>
      </c>
      <c r="C298" t="s">
        <v>432</v>
      </c>
      <c r="D298" t="s">
        <v>2271</v>
      </c>
      <c r="E298">
        <v>4</v>
      </c>
      <c r="F298">
        <v>0</v>
      </c>
      <c r="G298">
        <v>0</v>
      </c>
      <c r="H298">
        <v>8.4740783159740807E-9</v>
      </c>
      <c r="I298" t="s">
        <v>2231</v>
      </c>
      <c r="L298" t="s">
        <v>2295</v>
      </c>
    </row>
    <row r="299" spans="1:12" hidden="1" x14ac:dyDescent="0.25">
      <c r="A299" s="516">
        <v>274</v>
      </c>
      <c r="B299" t="s">
        <v>441</v>
      </c>
      <c r="C299" t="s">
        <v>432</v>
      </c>
      <c r="D299" t="s">
        <v>2271</v>
      </c>
      <c r="E299">
        <v>4</v>
      </c>
      <c r="F299">
        <v>1.6794509806123669E-6</v>
      </c>
      <c r="G299">
        <v>5.7094727054567931E-11</v>
      </c>
      <c r="H299">
        <v>8.7640823681785851E-10</v>
      </c>
      <c r="I299" t="s">
        <v>2231</v>
      </c>
      <c r="L299" t="s">
        <v>2295</v>
      </c>
    </row>
    <row r="300" spans="1:12" hidden="1" x14ac:dyDescent="0.25">
      <c r="A300" s="516">
        <v>275</v>
      </c>
      <c r="B300" t="s">
        <v>441</v>
      </c>
      <c r="C300" t="s">
        <v>432</v>
      </c>
      <c r="D300" t="s">
        <v>2271</v>
      </c>
      <c r="E300">
        <v>4</v>
      </c>
      <c r="F300">
        <v>9.53711594399267E-13</v>
      </c>
      <c r="G300">
        <v>3.2422442690853959E-17</v>
      </c>
      <c r="H300">
        <v>2.6369756756143838E-16</v>
      </c>
      <c r="I300" t="s">
        <v>2231</v>
      </c>
      <c r="L300" t="s">
        <v>2295</v>
      </c>
    </row>
    <row r="301" spans="1:12" hidden="1" x14ac:dyDescent="0.25">
      <c r="A301" s="516">
        <v>276</v>
      </c>
      <c r="B301" t="s">
        <v>441</v>
      </c>
      <c r="C301" t="s">
        <v>432</v>
      </c>
      <c r="D301" t="s">
        <v>2271</v>
      </c>
      <c r="E301">
        <v>4</v>
      </c>
      <c r="F301">
        <v>7.7122522463261742E-6</v>
      </c>
      <c r="G301">
        <v>2.621862394694111E-10</v>
      </c>
      <c r="H301">
        <v>4.840468409058872E-9</v>
      </c>
      <c r="I301" t="s">
        <v>2231</v>
      </c>
      <c r="L301" t="s">
        <v>2295</v>
      </c>
    </row>
    <row r="302" spans="1:12" hidden="1" x14ac:dyDescent="0.25">
      <c r="A302" s="516">
        <v>277</v>
      </c>
      <c r="B302" t="s">
        <v>441</v>
      </c>
      <c r="C302" t="s">
        <v>432</v>
      </c>
      <c r="D302" t="s">
        <v>2271</v>
      </c>
      <c r="E302">
        <v>4</v>
      </c>
      <c r="F302">
        <v>3.191153958997724E-11</v>
      </c>
      <c r="G302">
        <v>1.0848668188674691E-15</v>
      </c>
      <c r="H302">
        <v>1.5831594325221111E-12</v>
      </c>
      <c r="I302" t="s">
        <v>2231</v>
      </c>
      <c r="L302" t="s">
        <v>2295</v>
      </c>
    </row>
    <row r="303" spans="1:12" hidden="1" x14ac:dyDescent="0.25">
      <c r="A303" s="516">
        <v>278</v>
      </c>
      <c r="B303" t="s">
        <v>441</v>
      </c>
      <c r="C303" t="s">
        <v>432</v>
      </c>
      <c r="D303" t="s">
        <v>2271</v>
      </c>
      <c r="E303">
        <v>4</v>
      </c>
      <c r="F303">
        <v>3.3778294559255758E-5</v>
      </c>
      <c r="G303">
        <v>1.148329144757953E-9</v>
      </c>
      <c r="H303">
        <v>1.5637872242419301E-9</v>
      </c>
      <c r="I303" t="s">
        <v>2231</v>
      </c>
      <c r="L303" t="s">
        <v>2295</v>
      </c>
    </row>
    <row r="304" spans="1:12" hidden="1" x14ac:dyDescent="0.25">
      <c r="A304" s="516">
        <v>279</v>
      </c>
      <c r="B304" t="s">
        <v>441</v>
      </c>
      <c r="C304" t="s">
        <v>432</v>
      </c>
      <c r="D304" t="s">
        <v>2271</v>
      </c>
      <c r="E304">
        <v>4</v>
      </c>
      <c r="F304">
        <v>3.2411902649232699E-4</v>
      </c>
      <c r="G304">
        <v>1.1018771946546581E-8</v>
      </c>
      <c r="H304">
        <v>1.068306032931589E-7</v>
      </c>
      <c r="I304" t="s">
        <v>2274</v>
      </c>
      <c r="J304" t="s">
        <v>1992</v>
      </c>
      <c r="K304" t="s">
        <v>417</v>
      </c>
      <c r="L304" t="s">
        <v>2295</v>
      </c>
    </row>
    <row r="305" spans="1:12" hidden="1" x14ac:dyDescent="0.25">
      <c r="A305" s="516">
        <v>280</v>
      </c>
      <c r="B305" t="s">
        <v>441</v>
      </c>
      <c r="C305" t="s">
        <v>432</v>
      </c>
      <c r="D305" t="s">
        <v>2271</v>
      </c>
      <c r="E305">
        <v>4</v>
      </c>
      <c r="F305">
        <v>1.1667868652194769E-5</v>
      </c>
      <c r="G305">
        <v>3.9666163746125378E-10</v>
      </c>
      <c r="H305">
        <v>8.3836450444873882E-10</v>
      </c>
      <c r="I305" t="s">
        <v>2231</v>
      </c>
      <c r="L305" t="s">
        <v>2295</v>
      </c>
    </row>
    <row r="306" spans="1:12" hidden="1" x14ac:dyDescent="0.25">
      <c r="A306" s="516">
        <v>281</v>
      </c>
      <c r="B306" t="s">
        <v>441</v>
      </c>
      <c r="C306" t="s">
        <v>432</v>
      </c>
      <c r="D306" t="s">
        <v>2271</v>
      </c>
      <c r="E306">
        <v>4</v>
      </c>
      <c r="F306">
        <v>3.3281483761947491E-6</v>
      </c>
      <c r="G306">
        <v>1.131439531903796E-10</v>
      </c>
      <c r="H306">
        <v>2.4503857874028319E-7</v>
      </c>
      <c r="I306" t="s">
        <v>2231</v>
      </c>
      <c r="L306" t="s">
        <v>2295</v>
      </c>
    </row>
    <row r="307" spans="1:12" hidden="1" x14ac:dyDescent="0.25">
      <c r="A307" s="516">
        <v>282</v>
      </c>
      <c r="B307" t="s">
        <v>441</v>
      </c>
      <c r="C307" t="s">
        <v>432</v>
      </c>
      <c r="D307" t="s">
        <v>2271</v>
      </c>
      <c r="E307">
        <v>4</v>
      </c>
      <c r="F307">
        <v>3.4026898102077981E-7</v>
      </c>
      <c r="G307">
        <v>1.156780687307327E-11</v>
      </c>
      <c r="H307">
        <v>2.57972749659869E-8</v>
      </c>
      <c r="I307" t="s">
        <v>2231</v>
      </c>
      <c r="L307" t="s">
        <v>2295</v>
      </c>
    </row>
    <row r="308" spans="1:12" hidden="1" x14ac:dyDescent="0.25">
      <c r="A308" s="516">
        <v>283</v>
      </c>
      <c r="B308" t="s">
        <v>441</v>
      </c>
      <c r="C308" t="s">
        <v>432</v>
      </c>
      <c r="D308" t="s">
        <v>2271</v>
      </c>
      <c r="E308">
        <v>4</v>
      </c>
      <c r="F308">
        <v>5.2204465447750422E-6</v>
      </c>
      <c r="G308">
        <v>1.7747464738042769E-10</v>
      </c>
      <c r="H308">
        <v>2.5683567968891642E-7</v>
      </c>
      <c r="I308" t="s">
        <v>2231</v>
      </c>
      <c r="L308" t="s">
        <v>2295</v>
      </c>
    </row>
    <row r="309" spans="1:12" hidden="1" x14ac:dyDescent="0.25">
      <c r="A309" s="516">
        <v>284</v>
      </c>
      <c r="B309" t="s">
        <v>441</v>
      </c>
      <c r="C309" t="s">
        <v>432</v>
      </c>
      <c r="D309" t="s">
        <v>2271</v>
      </c>
      <c r="E309">
        <v>4</v>
      </c>
      <c r="F309">
        <v>2.286096625586367E-6</v>
      </c>
      <c r="G309">
        <v>7.7718292683142399E-11</v>
      </c>
      <c r="H309">
        <v>2.581859502794226E-7</v>
      </c>
      <c r="I309" t="s">
        <v>2231</v>
      </c>
      <c r="L309" t="s">
        <v>2295</v>
      </c>
    </row>
    <row r="310" spans="1:12" x14ac:dyDescent="0.25">
      <c r="A310" s="516">
        <v>285</v>
      </c>
      <c r="B310" t="s">
        <v>441</v>
      </c>
      <c r="C310" t="s">
        <v>432</v>
      </c>
      <c r="D310" t="s">
        <v>2271</v>
      </c>
      <c r="E310">
        <v>3</v>
      </c>
      <c r="F310">
        <v>1.8557691018983728E-5</v>
      </c>
      <c r="G310">
        <v>6.3088849613553307E-10</v>
      </c>
      <c r="H310">
        <v>5.3300154888402678E-6</v>
      </c>
      <c r="I310" t="s">
        <v>2231</v>
      </c>
    </row>
    <row r="311" spans="1:12" x14ac:dyDescent="0.25">
      <c r="A311" s="516">
        <v>286</v>
      </c>
      <c r="B311" t="s">
        <v>441</v>
      </c>
      <c r="C311" t="s">
        <v>432</v>
      </c>
      <c r="D311" t="s">
        <v>2271</v>
      </c>
      <c r="E311">
        <v>3</v>
      </c>
      <c r="F311">
        <v>3.18788533553354E-6</v>
      </c>
      <c r="G311">
        <v>1.083755615464177E-10</v>
      </c>
      <c r="H311">
        <v>6.6625193610503347E-7</v>
      </c>
      <c r="I311" t="s">
        <v>2231</v>
      </c>
    </row>
    <row r="312" spans="1:12" x14ac:dyDescent="0.25">
      <c r="A312" s="516">
        <v>287</v>
      </c>
      <c r="B312" t="s">
        <v>441</v>
      </c>
      <c r="C312" t="s">
        <v>432</v>
      </c>
      <c r="D312" t="s">
        <v>2271</v>
      </c>
      <c r="E312">
        <v>3</v>
      </c>
      <c r="F312">
        <v>2.4039716154286331E-4</v>
      </c>
      <c r="G312">
        <v>8.1725578664868514E-9</v>
      </c>
      <c r="H312">
        <v>7.5508552758570464E-7</v>
      </c>
      <c r="I312" t="s">
        <v>2245</v>
      </c>
      <c r="J312" t="s">
        <v>462</v>
      </c>
      <c r="K312" t="s">
        <v>417</v>
      </c>
    </row>
    <row r="313" spans="1:12" hidden="1" x14ac:dyDescent="0.25">
      <c r="A313" s="516">
        <v>288</v>
      </c>
      <c r="B313" t="s">
        <v>441</v>
      </c>
      <c r="C313" t="s">
        <v>432</v>
      </c>
      <c r="D313" t="s">
        <v>2271</v>
      </c>
      <c r="E313">
        <v>4</v>
      </c>
      <c r="F313">
        <v>1.9562388967788959E-4</v>
      </c>
      <c r="G313">
        <v>6.6504427431633056E-9</v>
      </c>
      <c r="H313">
        <v>6.1113945710942813E-7</v>
      </c>
      <c r="I313" t="s">
        <v>2246</v>
      </c>
      <c r="J313" t="s">
        <v>1992</v>
      </c>
      <c r="K313" t="s">
        <v>417</v>
      </c>
      <c r="L313" t="s">
        <v>2295</v>
      </c>
    </row>
    <row r="314" spans="1:12" hidden="1" x14ac:dyDescent="0.25">
      <c r="A314" s="516">
        <v>289</v>
      </c>
      <c r="B314" t="s">
        <v>441</v>
      </c>
      <c r="C314" t="s">
        <v>432</v>
      </c>
      <c r="D314" t="s">
        <v>2271</v>
      </c>
      <c r="E314">
        <v>4</v>
      </c>
      <c r="F314">
        <v>3.1391022433146972E-5</v>
      </c>
      <c r="G314">
        <v>1.067171283040869E-9</v>
      </c>
      <c r="H314">
        <v>1.4394607047618739E-7</v>
      </c>
      <c r="I314" t="s">
        <v>2231</v>
      </c>
      <c r="L314" t="s">
        <v>2295</v>
      </c>
    </row>
    <row r="315" spans="1:12" hidden="1" x14ac:dyDescent="0.25">
      <c r="A315" s="516">
        <v>290</v>
      </c>
      <c r="B315" t="s">
        <v>441</v>
      </c>
      <c r="C315" t="s">
        <v>432</v>
      </c>
      <c r="D315" t="s">
        <v>2271</v>
      </c>
      <c r="E315">
        <v>4</v>
      </c>
      <c r="F315">
        <v>1.7048000319180159E-18</v>
      </c>
      <c r="G315">
        <v>5.7956495085963845E-23</v>
      </c>
      <c r="H315">
        <v>2.214554930402883E-20</v>
      </c>
      <c r="I315" t="s">
        <v>2231</v>
      </c>
      <c r="L315" t="s">
        <v>2295</v>
      </c>
    </row>
    <row r="316" spans="1:12" hidden="1" x14ac:dyDescent="0.25">
      <c r="A316" s="516">
        <v>291</v>
      </c>
      <c r="B316" t="s">
        <v>441</v>
      </c>
      <c r="C316" t="s">
        <v>432</v>
      </c>
      <c r="D316" t="s">
        <v>2271</v>
      </c>
      <c r="E316">
        <v>4</v>
      </c>
      <c r="F316">
        <v>1.6815596177624241E-18</v>
      </c>
      <c r="G316">
        <v>5.716641242313746E-23</v>
      </c>
      <c r="H316">
        <v>2.214554930402883E-20</v>
      </c>
      <c r="I316" t="s">
        <v>2231</v>
      </c>
      <c r="L316" t="s">
        <v>2295</v>
      </c>
    </row>
    <row r="317" spans="1:12" hidden="1" x14ac:dyDescent="0.25">
      <c r="A317" s="516">
        <v>292</v>
      </c>
      <c r="B317" t="s">
        <v>441</v>
      </c>
      <c r="C317" t="s">
        <v>432</v>
      </c>
      <c r="D317" t="s">
        <v>2271</v>
      </c>
      <c r="E317">
        <v>4</v>
      </c>
      <c r="F317">
        <v>8.1531013069676054E-19</v>
      </c>
      <c r="G317">
        <v>2.7717337340791259E-23</v>
      </c>
      <c r="H317">
        <v>2.214554930402883E-20</v>
      </c>
      <c r="I317" t="s">
        <v>2231</v>
      </c>
      <c r="L317" t="s">
        <v>2295</v>
      </c>
    </row>
    <row r="318" spans="1:12" hidden="1" x14ac:dyDescent="0.25">
      <c r="A318" s="516">
        <v>293</v>
      </c>
      <c r="B318" t="s">
        <v>441</v>
      </c>
      <c r="C318" t="s">
        <v>432</v>
      </c>
      <c r="D318" t="s">
        <v>2271</v>
      </c>
      <c r="E318">
        <v>4</v>
      </c>
      <c r="F318">
        <v>2.6656903104522352E-18</v>
      </c>
      <c r="G318">
        <v>9.0622984799343354E-23</v>
      </c>
      <c r="H318">
        <v>2.214554930402883E-20</v>
      </c>
      <c r="I318" t="s">
        <v>2231</v>
      </c>
      <c r="L318" t="s">
        <v>2295</v>
      </c>
    </row>
    <row r="319" spans="1:12" hidden="1" x14ac:dyDescent="0.25">
      <c r="A319" s="516">
        <v>294</v>
      </c>
      <c r="B319" t="s">
        <v>441</v>
      </c>
      <c r="C319" t="s">
        <v>432</v>
      </c>
      <c r="D319" t="s">
        <v>2271</v>
      </c>
      <c r="E319">
        <v>4</v>
      </c>
      <c r="F319">
        <v>2.9608141341948641E-6</v>
      </c>
      <c r="G319">
        <v>1.00656033907893E-10</v>
      </c>
      <c r="H319">
        <v>2.1799319181399291E-7</v>
      </c>
      <c r="I319" t="s">
        <v>2231</v>
      </c>
      <c r="L319" t="s">
        <v>2295</v>
      </c>
    </row>
    <row r="320" spans="1:12" hidden="1" x14ac:dyDescent="0.25">
      <c r="A320" s="516">
        <v>295</v>
      </c>
      <c r="B320" t="s">
        <v>441</v>
      </c>
      <c r="C320" t="s">
        <v>432</v>
      </c>
      <c r="D320" t="s">
        <v>2271</v>
      </c>
      <c r="E320">
        <v>4</v>
      </c>
      <c r="F320">
        <v>6.9126859269565542E-6</v>
      </c>
      <c r="G320">
        <v>2.3500412978390631E-10</v>
      </c>
      <c r="H320">
        <v>3.4009052162460141E-7</v>
      </c>
      <c r="I320" t="s">
        <v>2231</v>
      </c>
      <c r="L320" t="s">
        <v>2295</v>
      </c>
    </row>
    <row r="321" spans="1:12" hidden="1" x14ac:dyDescent="0.25">
      <c r="A321" s="516">
        <v>296</v>
      </c>
      <c r="B321" t="s">
        <v>441</v>
      </c>
      <c r="C321" t="s">
        <v>432</v>
      </c>
      <c r="D321" t="s">
        <v>2271</v>
      </c>
      <c r="E321">
        <v>4</v>
      </c>
      <c r="F321">
        <v>3.508746155868303E-6</v>
      </c>
      <c r="G321">
        <v>1.192835673000828E-10</v>
      </c>
      <c r="H321">
        <v>3.9626888487697791E-7</v>
      </c>
      <c r="I321" t="s">
        <v>2231</v>
      </c>
      <c r="L321" t="s">
        <v>2295</v>
      </c>
    </row>
    <row r="322" spans="1:12" x14ac:dyDescent="0.25">
      <c r="A322" s="516">
        <v>297</v>
      </c>
      <c r="B322" t="s">
        <v>441</v>
      </c>
      <c r="C322" t="s">
        <v>432</v>
      </c>
      <c r="D322" t="s">
        <v>2271</v>
      </c>
      <c r="E322">
        <v>3</v>
      </c>
      <c r="F322">
        <v>3.6551035491073801E-6</v>
      </c>
      <c r="G322">
        <v>1.2425914295895449E-10</v>
      </c>
      <c r="H322">
        <v>-7.1066873184536906E-7</v>
      </c>
      <c r="I322" t="s">
        <v>2231</v>
      </c>
    </row>
    <row r="323" spans="1:12" x14ac:dyDescent="0.25">
      <c r="A323" s="516">
        <v>298</v>
      </c>
      <c r="B323" t="s">
        <v>441</v>
      </c>
      <c r="C323" t="s">
        <v>432</v>
      </c>
      <c r="D323" t="s">
        <v>2271</v>
      </c>
      <c r="E323">
        <v>3</v>
      </c>
      <c r="F323">
        <v>2.345713471694742E-6</v>
      </c>
      <c r="G323">
        <v>7.974503094207672E-11</v>
      </c>
      <c r="H323">
        <v>-7.1066873184536906E-7</v>
      </c>
      <c r="I323" t="s">
        <v>2231</v>
      </c>
    </row>
    <row r="324" spans="1:12" x14ac:dyDescent="0.25">
      <c r="A324" s="516">
        <v>299</v>
      </c>
      <c r="B324" t="s">
        <v>441</v>
      </c>
      <c r="C324" t="s">
        <v>432</v>
      </c>
      <c r="D324" t="s">
        <v>2271</v>
      </c>
      <c r="E324">
        <v>3</v>
      </c>
      <c r="F324">
        <v>1.6231177307987759E-4</v>
      </c>
      <c r="G324">
        <v>5.5179618153306044E-9</v>
      </c>
      <c r="H324">
        <v>-8.7634337995682083E-5</v>
      </c>
      <c r="I324" t="s">
        <v>533</v>
      </c>
      <c r="J324" t="s">
        <v>432</v>
      </c>
      <c r="K324" t="s">
        <v>417</v>
      </c>
    </row>
    <row r="325" spans="1:12" hidden="1" x14ac:dyDescent="0.25">
      <c r="A325" s="516">
        <v>300</v>
      </c>
      <c r="B325" t="s">
        <v>441</v>
      </c>
      <c r="C325" t="s">
        <v>432</v>
      </c>
      <c r="D325" t="s">
        <v>2271</v>
      </c>
      <c r="E325">
        <v>4</v>
      </c>
      <c r="F325">
        <v>-7.2704090678901359E-5</v>
      </c>
      <c r="G325">
        <v>-2.4716530943635351E-9</v>
      </c>
      <c r="H325">
        <v>6.7460078776333243E-5</v>
      </c>
      <c r="I325" t="s">
        <v>2231</v>
      </c>
      <c r="L325" t="s">
        <v>2295</v>
      </c>
    </row>
    <row r="326" spans="1:12" hidden="1" x14ac:dyDescent="0.25">
      <c r="A326" s="516">
        <v>301</v>
      </c>
      <c r="B326" t="s">
        <v>441</v>
      </c>
      <c r="C326" t="s">
        <v>432</v>
      </c>
      <c r="D326" t="s">
        <v>2271</v>
      </c>
      <c r="E326">
        <v>4</v>
      </c>
      <c r="F326">
        <v>-4.2962854184932679E-5</v>
      </c>
      <c r="G326">
        <v>-1.4605680436588451E-9</v>
      </c>
      <c r="H326">
        <v>2.017425921934883E-5</v>
      </c>
      <c r="I326" t="s">
        <v>2231</v>
      </c>
      <c r="L326" t="s">
        <v>2295</v>
      </c>
    </row>
    <row r="327" spans="1:12" hidden="1" x14ac:dyDescent="0.25">
      <c r="A327" s="516">
        <v>302</v>
      </c>
      <c r="B327" t="s">
        <v>441</v>
      </c>
      <c r="C327" t="s">
        <v>432</v>
      </c>
      <c r="D327" t="s">
        <v>2271</v>
      </c>
      <c r="E327">
        <v>4</v>
      </c>
      <c r="F327">
        <v>-9.9537618239420535E-7</v>
      </c>
      <c r="G327">
        <v>-3.3838874790911243E-11</v>
      </c>
      <c r="H327">
        <v>-3.1197824326462818E-7</v>
      </c>
      <c r="I327" t="s">
        <v>2231</v>
      </c>
      <c r="L327" t="s">
        <v>2295</v>
      </c>
    </row>
    <row r="328" spans="1:12" hidden="1" x14ac:dyDescent="0.25">
      <c r="A328" s="516">
        <v>303</v>
      </c>
      <c r="B328" t="s">
        <v>441</v>
      </c>
      <c r="C328" t="s">
        <v>432</v>
      </c>
      <c r="D328" t="s">
        <v>2271</v>
      </c>
      <c r="E328">
        <v>4</v>
      </c>
      <c r="F328">
        <v>-4.5649452817792251E-5</v>
      </c>
      <c r="G328">
        <v>-1.551901829175087E-9</v>
      </c>
      <c r="H328">
        <v>-2.2583368901487269E-6</v>
      </c>
      <c r="I328" t="s">
        <v>2231</v>
      </c>
      <c r="L328" t="s">
        <v>2295</v>
      </c>
    </row>
    <row r="329" spans="1:12" x14ac:dyDescent="0.25">
      <c r="A329" s="516">
        <v>304</v>
      </c>
      <c r="B329" t="s">
        <v>441</v>
      </c>
      <c r="C329" t="s">
        <v>432</v>
      </c>
      <c r="D329" t="s">
        <v>2271</v>
      </c>
      <c r="E329">
        <v>3</v>
      </c>
      <c r="F329">
        <v>4.5358400151181208E-5</v>
      </c>
      <c r="G329">
        <v>1.542007183394713E-9</v>
      </c>
      <c r="H329">
        <v>7.1066873184536906E-7</v>
      </c>
      <c r="I329" t="s">
        <v>2231</v>
      </c>
    </row>
    <row r="330" spans="1:12" x14ac:dyDescent="0.25">
      <c r="A330" s="516">
        <v>305</v>
      </c>
      <c r="B330" t="s">
        <v>441</v>
      </c>
      <c r="C330" t="s">
        <v>432</v>
      </c>
      <c r="D330" t="s">
        <v>2271</v>
      </c>
      <c r="E330">
        <v>3</v>
      </c>
      <c r="F330">
        <v>8.4068460995826469E-5</v>
      </c>
      <c r="G330">
        <v>2.857996982266288E-9</v>
      </c>
      <c r="H330">
        <v>1.0215863020277181E-6</v>
      </c>
      <c r="I330" t="s">
        <v>2231</v>
      </c>
    </row>
    <row r="331" spans="1:12" x14ac:dyDescent="0.25">
      <c r="A331" s="516">
        <v>306</v>
      </c>
      <c r="B331" t="s">
        <v>441</v>
      </c>
      <c r="C331" t="s">
        <v>432</v>
      </c>
      <c r="D331" t="s">
        <v>2271</v>
      </c>
      <c r="E331">
        <v>3</v>
      </c>
      <c r="F331">
        <v>3.2348283201405368E-3</v>
      </c>
      <c r="G331">
        <v>1.099714383681908E-7</v>
      </c>
      <c r="H331">
        <v>8.661275169365436E-5</v>
      </c>
      <c r="I331" t="s">
        <v>2247</v>
      </c>
      <c r="J331" t="s">
        <v>419</v>
      </c>
      <c r="K331" t="s">
        <v>417</v>
      </c>
    </row>
    <row r="332" spans="1:12" hidden="1" x14ac:dyDescent="0.25">
      <c r="A332" s="516">
        <v>307</v>
      </c>
      <c r="B332" t="s">
        <v>441</v>
      </c>
      <c r="C332" t="s">
        <v>432</v>
      </c>
      <c r="D332" t="s">
        <v>2271</v>
      </c>
      <c r="E332">
        <v>4</v>
      </c>
      <c r="F332">
        <v>4.3603425767726929E-7</v>
      </c>
      <c r="G332">
        <v>1.482344957722282E-11</v>
      </c>
      <c r="H332">
        <v>-1.671626107687529E-8</v>
      </c>
      <c r="I332" t="s">
        <v>2231</v>
      </c>
      <c r="L332" t="s">
        <v>2295</v>
      </c>
    </row>
    <row r="333" spans="1:12" hidden="1" x14ac:dyDescent="0.25">
      <c r="A333" s="516">
        <v>308</v>
      </c>
      <c r="B333" t="s">
        <v>441</v>
      </c>
      <c r="C333" t="s">
        <v>432</v>
      </c>
      <c r="D333" t="s">
        <v>2271</v>
      </c>
      <c r="E333">
        <v>4</v>
      </c>
      <c r="F333">
        <v>6.4281271463104898E-10</v>
      </c>
      <c r="G333">
        <v>2.1853103730174661E-14</v>
      </c>
      <c r="H333">
        <v>1.368481476759739E-12</v>
      </c>
      <c r="I333" t="s">
        <v>2231</v>
      </c>
      <c r="L333" t="s">
        <v>2295</v>
      </c>
    </row>
    <row r="334" spans="1:12" hidden="1" x14ac:dyDescent="0.25">
      <c r="A334" s="516">
        <v>309</v>
      </c>
      <c r="B334" t="s">
        <v>441</v>
      </c>
      <c r="C334" t="s">
        <v>432</v>
      </c>
      <c r="D334" t="s">
        <v>2271</v>
      </c>
      <c r="E334">
        <v>4</v>
      </c>
      <c r="F334">
        <v>9.4274391380836742E-4</v>
      </c>
      <c r="G334">
        <v>3.2049584693217871E-8</v>
      </c>
      <c r="H334">
        <v>1.9434314734445009E-5</v>
      </c>
      <c r="I334" t="s">
        <v>481</v>
      </c>
      <c r="J334" t="s">
        <v>419</v>
      </c>
      <c r="K334" t="s">
        <v>433</v>
      </c>
      <c r="L334" t="s">
        <v>2295</v>
      </c>
    </row>
    <row r="335" spans="1:12" hidden="1" x14ac:dyDescent="0.25">
      <c r="A335" s="516">
        <v>310</v>
      </c>
      <c r="B335" t="s">
        <v>441</v>
      </c>
      <c r="C335" t="s">
        <v>432</v>
      </c>
      <c r="D335" t="s">
        <v>2271</v>
      </c>
      <c r="E335">
        <v>4</v>
      </c>
      <c r="F335">
        <v>1.089708887976986E-4</v>
      </c>
      <c r="G335">
        <v>3.704581571371445E-9</v>
      </c>
      <c r="H335">
        <v>8.6297481277489464E-5</v>
      </c>
      <c r="I335" t="s">
        <v>2248</v>
      </c>
      <c r="J335" t="s">
        <v>419</v>
      </c>
      <c r="K335" t="s">
        <v>434</v>
      </c>
      <c r="L335" t="s">
        <v>2295</v>
      </c>
    </row>
    <row r="336" spans="1:12" hidden="1" x14ac:dyDescent="0.25">
      <c r="A336" s="516">
        <v>311</v>
      </c>
      <c r="B336" t="s">
        <v>441</v>
      </c>
      <c r="C336" t="s">
        <v>432</v>
      </c>
      <c r="D336" t="s">
        <v>2271</v>
      </c>
      <c r="E336">
        <v>4</v>
      </c>
      <c r="F336">
        <v>9.94931468445789E-5</v>
      </c>
      <c r="G336">
        <v>3.3823756265991311E-9</v>
      </c>
      <c r="H336">
        <v>6.2827331049046386E-6</v>
      </c>
      <c r="I336" t="s">
        <v>2231</v>
      </c>
      <c r="L336" t="s">
        <v>2295</v>
      </c>
    </row>
    <row r="337" spans="1:12" hidden="1" x14ac:dyDescent="0.25">
      <c r="A337" s="516">
        <v>312</v>
      </c>
      <c r="B337" t="s">
        <v>441</v>
      </c>
      <c r="C337" t="s">
        <v>432</v>
      </c>
      <c r="D337" t="s">
        <v>2271</v>
      </c>
      <c r="E337">
        <v>4</v>
      </c>
      <c r="F337">
        <v>4.6994244222914862E-6</v>
      </c>
      <c r="G337">
        <v>1.5976194470794861E-10</v>
      </c>
      <c r="H337">
        <v>3.4385262422380778E-8</v>
      </c>
      <c r="I337" t="s">
        <v>2231</v>
      </c>
      <c r="L337" t="s">
        <v>2295</v>
      </c>
    </row>
    <row r="338" spans="1:12" hidden="1" x14ac:dyDescent="0.25">
      <c r="A338" s="516">
        <v>313</v>
      </c>
      <c r="B338" t="s">
        <v>441</v>
      </c>
      <c r="C338" t="s">
        <v>432</v>
      </c>
      <c r="D338" t="s">
        <v>2271</v>
      </c>
      <c r="E338">
        <v>4</v>
      </c>
      <c r="F338">
        <v>3.4397316872836832E-7</v>
      </c>
      <c r="G338">
        <v>1.1693734684343199E-11</v>
      </c>
      <c r="H338">
        <v>2.4598021480997841E-9</v>
      </c>
      <c r="I338" t="s">
        <v>2231</v>
      </c>
      <c r="L338" t="s">
        <v>2295</v>
      </c>
    </row>
    <row r="339" spans="1:12" hidden="1" x14ac:dyDescent="0.25">
      <c r="A339" s="516">
        <v>314</v>
      </c>
      <c r="B339" t="s">
        <v>441</v>
      </c>
      <c r="C339" t="s">
        <v>432</v>
      </c>
      <c r="D339" t="s">
        <v>2271</v>
      </c>
      <c r="E339">
        <v>4</v>
      </c>
      <c r="F339">
        <v>1.101949067704068E-7</v>
      </c>
      <c r="G339">
        <v>3.7461933676479756E-12</v>
      </c>
      <c r="H339">
        <v>4.6944111417960666E-9</v>
      </c>
      <c r="I339" t="s">
        <v>2231</v>
      </c>
      <c r="L339" t="s">
        <v>2295</v>
      </c>
    </row>
    <row r="340" spans="1:12" hidden="1" x14ac:dyDescent="0.25">
      <c r="A340" s="516">
        <v>315</v>
      </c>
      <c r="B340" t="s">
        <v>441</v>
      </c>
      <c r="C340" t="s">
        <v>432</v>
      </c>
      <c r="D340" t="s">
        <v>2271</v>
      </c>
      <c r="E340">
        <v>4</v>
      </c>
      <c r="F340">
        <v>8.1490218537832708E-5</v>
      </c>
      <c r="G340">
        <v>2.7703468804657711E-9</v>
      </c>
      <c r="H340">
        <v>3.9755253027387352E-7</v>
      </c>
      <c r="I340" t="s">
        <v>2231</v>
      </c>
      <c r="L340" t="s">
        <v>2295</v>
      </c>
    </row>
    <row r="341" spans="1:12" hidden="1" x14ac:dyDescent="0.25">
      <c r="A341" s="516">
        <v>316</v>
      </c>
      <c r="B341" t="s">
        <v>441</v>
      </c>
      <c r="C341" t="s">
        <v>432</v>
      </c>
      <c r="D341" t="s">
        <v>2271</v>
      </c>
      <c r="E341">
        <v>4</v>
      </c>
      <c r="F341">
        <v>2.9448447627497242E-7</v>
      </c>
      <c r="G341">
        <v>1.001131380958576E-11</v>
      </c>
      <c r="H341">
        <v>-3.1007365106328259E-8</v>
      </c>
      <c r="I341" t="s">
        <v>2231</v>
      </c>
      <c r="L341" t="s">
        <v>2295</v>
      </c>
    </row>
    <row r="342" spans="1:12" hidden="1" x14ac:dyDescent="0.25">
      <c r="A342" s="516">
        <v>317</v>
      </c>
      <c r="B342" t="s">
        <v>441</v>
      </c>
      <c r="C342" t="s">
        <v>432</v>
      </c>
      <c r="D342" t="s">
        <v>2271</v>
      </c>
      <c r="E342">
        <v>4</v>
      </c>
      <c r="F342">
        <v>3.2236635986563591E-6</v>
      </c>
      <c r="G342">
        <v>1.09591881755263E-10</v>
      </c>
      <c r="H342">
        <v>7.3534226187912552E-9</v>
      </c>
      <c r="I342" t="s">
        <v>2231</v>
      </c>
      <c r="L342" t="s">
        <v>2295</v>
      </c>
    </row>
    <row r="343" spans="1:12" hidden="1" x14ac:dyDescent="0.25">
      <c r="A343" s="516">
        <v>318</v>
      </c>
      <c r="B343" t="s">
        <v>441</v>
      </c>
      <c r="C343" t="s">
        <v>432</v>
      </c>
      <c r="D343" t="s">
        <v>2271</v>
      </c>
      <c r="E343">
        <v>4</v>
      </c>
      <c r="F343">
        <v>4.3249851421072316E-6</v>
      </c>
      <c r="G343">
        <v>1.470324820755628E-10</v>
      </c>
      <c r="H343">
        <v>1.4031265774372009E-13</v>
      </c>
      <c r="I343" t="s">
        <v>2231</v>
      </c>
      <c r="L343" t="s">
        <v>2295</v>
      </c>
    </row>
    <row r="344" spans="1:12" hidden="1" x14ac:dyDescent="0.25">
      <c r="A344" s="516">
        <v>319</v>
      </c>
      <c r="B344" t="s">
        <v>441</v>
      </c>
      <c r="C344" t="s">
        <v>432</v>
      </c>
      <c r="D344" t="s">
        <v>2271</v>
      </c>
      <c r="E344">
        <v>4</v>
      </c>
      <c r="F344">
        <v>1.761897130008894E-6</v>
      </c>
      <c r="G344">
        <v>5.9897571823980892E-11</v>
      </c>
      <c r="H344">
        <v>1.6023359063326059E-10</v>
      </c>
      <c r="I344" t="s">
        <v>2231</v>
      </c>
      <c r="L344" t="s">
        <v>2295</v>
      </c>
    </row>
    <row r="345" spans="1:12" hidden="1" x14ac:dyDescent="0.25">
      <c r="A345" s="516">
        <v>320</v>
      </c>
      <c r="B345" t="s">
        <v>441</v>
      </c>
      <c r="C345" t="s">
        <v>432</v>
      </c>
      <c r="D345" t="s">
        <v>2271</v>
      </c>
      <c r="E345">
        <v>4</v>
      </c>
      <c r="F345">
        <v>4.1754602976078117E-6</v>
      </c>
      <c r="G345">
        <v>1.4194922553332159E-10</v>
      </c>
      <c r="H345">
        <v>3.8715900007063501E-9</v>
      </c>
      <c r="I345" t="s">
        <v>2231</v>
      </c>
      <c r="L345" t="s">
        <v>2295</v>
      </c>
    </row>
    <row r="346" spans="1:12" hidden="1" x14ac:dyDescent="0.25">
      <c r="A346" s="516">
        <v>321</v>
      </c>
      <c r="B346" t="s">
        <v>441</v>
      </c>
      <c r="C346" t="s">
        <v>432</v>
      </c>
      <c r="D346" t="s">
        <v>2271</v>
      </c>
      <c r="E346">
        <v>4</v>
      </c>
      <c r="F346">
        <v>4.5410821654472061E-5</v>
      </c>
      <c r="G346">
        <v>1.5437893083014431E-9</v>
      </c>
      <c r="H346">
        <v>-1.740916309042453E-6</v>
      </c>
      <c r="I346" t="s">
        <v>2231</v>
      </c>
      <c r="L346" t="s">
        <v>2295</v>
      </c>
    </row>
    <row r="347" spans="1:12" hidden="1" x14ac:dyDescent="0.25">
      <c r="A347" s="516">
        <v>322</v>
      </c>
      <c r="B347" t="s">
        <v>441</v>
      </c>
      <c r="C347" t="s">
        <v>432</v>
      </c>
      <c r="D347" t="s">
        <v>2271</v>
      </c>
      <c r="E347">
        <v>4</v>
      </c>
      <c r="F347">
        <v>8.1701322215837876E-6</v>
      </c>
      <c r="G347">
        <v>2.777523575120786E-10</v>
      </c>
      <c r="H347">
        <v>1.299191275404815E-8</v>
      </c>
      <c r="I347" t="s">
        <v>2231</v>
      </c>
      <c r="L347" t="s">
        <v>2295</v>
      </c>
    </row>
    <row r="348" spans="1:12" hidden="1" x14ac:dyDescent="0.25">
      <c r="A348" s="516">
        <v>323</v>
      </c>
      <c r="B348" t="s">
        <v>441</v>
      </c>
      <c r="C348" t="s">
        <v>432</v>
      </c>
      <c r="D348" t="s">
        <v>2271</v>
      </c>
      <c r="E348">
        <v>4</v>
      </c>
      <c r="F348">
        <v>2.6168838186026689E-6</v>
      </c>
      <c r="G348">
        <v>8.8963756061612696E-11</v>
      </c>
      <c r="H348">
        <v>-6.8424073837986952E-7</v>
      </c>
      <c r="I348" t="s">
        <v>2231</v>
      </c>
      <c r="L348" t="s">
        <v>2295</v>
      </c>
    </row>
    <row r="349" spans="1:12" hidden="1" x14ac:dyDescent="0.25">
      <c r="A349" s="516">
        <v>324</v>
      </c>
      <c r="B349" t="s">
        <v>441</v>
      </c>
      <c r="C349" t="s">
        <v>432</v>
      </c>
      <c r="D349" t="s">
        <v>2271</v>
      </c>
      <c r="E349">
        <v>4</v>
      </c>
      <c r="F349">
        <v>5.3219222302268348E-6</v>
      </c>
      <c r="G349">
        <v>1.8092442152116069E-10</v>
      </c>
      <c r="H349">
        <v>2.0440609399702429E-8</v>
      </c>
      <c r="I349" t="s">
        <v>2231</v>
      </c>
      <c r="L349" t="s">
        <v>2295</v>
      </c>
    </row>
    <row r="350" spans="1:12" hidden="1" x14ac:dyDescent="0.25">
      <c r="A350" s="516">
        <v>325</v>
      </c>
      <c r="B350" t="s">
        <v>441</v>
      </c>
      <c r="C350" t="s">
        <v>432</v>
      </c>
      <c r="D350" t="s">
        <v>2271</v>
      </c>
      <c r="E350">
        <v>4</v>
      </c>
      <c r="F350">
        <v>1.5142191042097071E-3</v>
      </c>
      <c r="G350">
        <v>5.1477493212777462E-8</v>
      </c>
      <c r="H350">
        <v>7.4053902698074482E-6</v>
      </c>
      <c r="I350" t="s">
        <v>2249</v>
      </c>
      <c r="J350" t="s">
        <v>462</v>
      </c>
      <c r="K350" t="s">
        <v>417</v>
      </c>
      <c r="L350" t="s">
        <v>2295</v>
      </c>
    </row>
    <row r="351" spans="1:12" hidden="1" x14ac:dyDescent="0.25">
      <c r="A351" s="516">
        <v>326</v>
      </c>
      <c r="B351" t="s">
        <v>441</v>
      </c>
      <c r="C351" t="s">
        <v>432</v>
      </c>
      <c r="D351" t="s">
        <v>2271</v>
      </c>
      <c r="E351">
        <v>4</v>
      </c>
      <c r="F351">
        <v>1.4188356833027771E-4</v>
      </c>
      <c r="G351">
        <v>4.8234832102045647E-9</v>
      </c>
      <c r="H351">
        <v>3.6204130207947519E-7</v>
      </c>
      <c r="I351" t="s">
        <v>2275</v>
      </c>
      <c r="J351" t="s">
        <v>419</v>
      </c>
      <c r="K351" t="s">
        <v>417</v>
      </c>
      <c r="L351" t="s">
        <v>2295</v>
      </c>
    </row>
    <row r="352" spans="1:12" hidden="1" x14ac:dyDescent="0.25">
      <c r="A352" s="516">
        <v>327</v>
      </c>
      <c r="B352" t="s">
        <v>441</v>
      </c>
      <c r="C352" t="s">
        <v>432</v>
      </c>
      <c r="D352" t="s">
        <v>2271</v>
      </c>
      <c r="E352">
        <v>4</v>
      </c>
      <c r="F352">
        <v>1.2120975457775941E-8</v>
      </c>
      <c r="G352">
        <v>4.1206548651065639E-13</v>
      </c>
      <c r="H352">
        <v>-1.858040544559376E-9</v>
      </c>
      <c r="I352" t="s">
        <v>2231</v>
      </c>
      <c r="L352" t="s">
        <v>2295</v>
      </c>
    </row>
    <row r="353" spans="1:12" hidden="1" x14ac:dyDescent="0.25">
      <c r="A353" s="516">
        <v>328</v>
      </c>
      <c r="B353" t="s">
        <v>441</v>
      </c>
      <c r="C353" t="s">
        <v>432</v>
      </c>
      <c r="D353" t="s">
        <v>2271</v>
      </c>
      <c r="E353">
        <v>4</v>
      </c>
      <c r="F353">
        <v>4.6618306919146579E-7</v>
      </c>
      <c r="G353">
        <v>1.5848390575378669E-11</v>
      </c>
      <c r="H353">
        <v>-7.5054082959405696E-8</v>
      </c>
      <c r="I353" t="s">
        <v>2231</v>
      </c>
      <c r="L353" t="s">
        <v>2295</v>
      </c>
    </row>
    <row r="354" spans="1:12" hidden="1" x14ac:dyDescent="0.25">
      <c r="A354" s="516">
        <v>329</v>
      </c>
      <c r="B354" t="s">
        <v>441</v>
      </c>
      <c r="C354" t="s">
        <v>432</v>
      </c>
      <c r="D354" t="s">
        <v>2271</v>
      </c>
      <c r="E354">
        <v>4</v>
      </c>
      <c r="F354">
        <v>1.47846804665403E-6</v>
      </c>
      <c r="G354">
        <v>5.0262097886199211E-11</v>
      </c>
      <c r="H354">
        <v>1.1650781536370321E-5</v>
      </c>
      <c r="I354" t="s">
        <v>2231</v>
      </c>
      <c r="L354" t="s">
        <v>2295</v>
      </c>
    </row>
    <row r="355" spans="1:12" hidden="1" x14ac:dyDescent="0.25">
      <c r="A355" s="516">
        <v>330</v>
      </c>
      <c r="B355" t="s">
        <v>441</v>
      </c>
      <c r="C355" t="s">
        <v>432</v>
      </c>
      <c r="D355" t="s">
        <v>2271</v>
      </c>
      <c r="E355">
        <v>4</v>
      </c>
      <c r="F355">
        <v>4.8614870025500128E-9</v>
      </c>
      <c r="G355">
        <v>1.6527143494757779E-13</v>
      </c>
      <c r="H355">
        <v>4.193994227302119E-8</v>
      </c>
      <c r="I355" t="s">
        <v>2231</v>
      </c>
      <c r="L355" t="s">
        <v>2295</v>
      </c>
    </row>
    <row r="356" spans="1:12" x14ac:dyDescent="0.25">
      <c r="A356" s="516">
        <v>331</v>
      </c>
      <c r="B356" t="s">
        <v>441</v>
      </c>
      <c r="C356" t="s">
        <v>432</v>
      </c>
      <c r="D356" t="s">
        <v>2271</v>
      </c>
      <c r="E356">
        <v>3</v>
      </c>
      <c r="F356">
        <v>8.4495207154461479E-4</v>
      </c>
      <c r="G356">
        <v>2.872504673011729E-8</v>
      </c>
      <c r="H356">
        <v>1.0215863020277181E-6</v>
      </c>
      <c r="I356" t="s">
        <v>460</v>
      </c>
      <c r="J356" t="s">
        <v>462</v>
      </c>
      <c r="K356" t="s">
        <v>417</v>
      </c>
    </row>
    <row r="357" spans="1:12" hidden="1" x14ac:dyDescent="0.25">
      <c r="A357" s="516">
        <v>332</v>
      </c>
      <c r="B357" t="s">
        <v>441</v>
      </c>
      <c r="C357" t="s">
        <v>432</v>
      </c>
      <c r="D357" t="s">
        <v>2271</v>
      </c>
      <c r="E357">
        <v>4</v>
      </c>
      <c r="F357">
        <v>1.028016374985618E-4</v>
      </c>
      <c r="G357">
        <v>3.494851294559898E-9</v>
      </c>
      <c r="H357">
        <v>1.3313215338194921E-7</v>
      </c>
      <c r="I357" t="s">
        <v>580</v>
      </c>
      <c r="J357" t="s">
        <v>419</v>
      </c>
      <c r="K357" t="s">
        <v>417</v>
      </c>
      <c r="L357" t="s">
        <v>2295</v>
      </c>
    </row>
    <row r="358" spans="1:12" hidden="1" x14ac:dyDescent="0.25">
      <c r="A358" s="516">
        <v>333</v>
      </c>
      <c r="B358" t="s">
        <v>441</v>
      </c>
      <c r="C358" t="s">
        <v>432</v>
      </c>
      <c r="D358" t="s">
        <v>2271</v>
      </c>
      <c r="E358">
        <v>4</v>
      </c>
      <c r="F358">
        <v>7.3247349165488811E-4</v>
      </c>
      <c r="G358">
        <v>2.4901217459466129E-8</v>
      </c>
      <c r="H358">
        <v>8.8845414864576876E-7</v>
      </c>
      <c r="I358" t="s">
        <v>580</v>
      </c>
      <c r="J358" t="s">
        <v>1992</v>
      </c>
      <c r="K358" t="s">
        <v>417</v>
      </c>
      <c r="L358" t="s">
        <v>2295</v>
      </c>
    </row>
    <row r="359" spans="1:12" hidden="1" x14ac:dyDescent="0.25">
      <c r="A359" s="516">
        <v>334</v>
      </c>
      <c r="B359" t="s">
        <v>441</v>
      </c>
      <c r="C359" t="s">
        <v>432</v>
      </c>
      <c r="D359" t="s">
        <v>2271</v>
      </c>
      <c r="E359">
        <v>4</v>
      </c>
      <c r="F359">
        <v>2.6404750267848728E-6</v>
      </c>
      <c r="G359">
        <v>8.9765764341460985E-11</v>
      </c>
      <c r="H359">
        <v>1.9440787327587471E-7</v>
      </c>
      <c r="I359" t="s">
        <v>2231</v>
      </c>
      <c r="L359" t="s">
        <v>2295</v>
      </c>
    </row>
    <row r="360" spans="1:12" hidden="1" x14ac:dyDescent="0.25">
      <c r="A360" s="516">
        <v>335</v>
      </c>
      <c r="B360" t="s">
        <v>441</v>
      </c>
      <c r="C360" t="s">
        <v>432</v>
      </c>
      <c r="D360" t="s">
        <v>2271</v>
      </c>
      <c r="E360">
        <v>4</v>
      </c>
      <c r="F360">
        <v>2.7084426640135431E-7</v>
      </c>
      <c r="G360">
        <v>9.2076396649823936E-12</v>
      </c>
      <c r="H360">
        <v>2.0533884670757129E-8</v>
      </c>
      <c r="I360" t="s">
        <v>2231</v>
      </c>
      <c r="L360" t="s">
        <v>2295</v>
      </c>
    </row>
    <row r="361" spans="1:12" hidden="1" x14ac:dyDescent="0.25">
      <c r="A361" s="516">
        <v>336</v>
      </c>
      <c r="B361" t="s">
        <v>441</v>
      </c>
      <c r="C361" t="s">
        <v>432</v>
      </c>
      <c r="D361" t="s">
        <v>2271</v>
      </c>
      <c r="E361">
        <v>4</v>
      </c>
      <c r="F361">
        <v>4.2879273077630481E-6</v>
      </c>
      <c r="G361">
        <v>1.4577266147851081E-10</v>
      </c>
      <c r="H361">
        <v>2.109575713687238E-7</v>
      </c>
      <c r="I361" t="s">
        <v>2231</v>
      </c>
      <c r="L361" t="s">
        <v>2295</v>
      </c>
    </row>
    <row r="362" spans="1:12" hidden="1" x14ac:dyDescent="0.25">
      <c r="A362" s="516">
        <v>337</v>
      </c>
      <c r="B362" t="s">
        <v>441</v>
      </c>
      <c r="C362" t="s">
        <v>432</v>
      </c>
      <c r="D362" t="s">
        <v>2271</v>
      </c>
      <c r="E362">
        <v>4</v>
      </c>
      <c r="F362">
        <v>2.4777082873137678E-6</v>
      </c>
      <c r="G362">
        <v>8.4232335458483867E-11</v>
      </c>
      <c r="H362">
        <v>4.5041740056402089E-7</v>
      </c>
      <c r="I362" t="s">
        <v>2231</v>
      </c>
      <c r="L362" t="s">
        <v>2295</v>
      </c>
    </row>
    <row r="363" spans="1:12" x14ac:dyDescent="0.25">
      <c r="A363" s="516">
        <v>338</v>
      </c>
      <c r="B363" t="s">
        <v>441</v>
      </c>
      <c r="C363" t="s">
        <v>432</v>
      </c>
      <c r="D363" t="s">
        <v>2271</v>
      </c>
      <c r="E363">
        <v>3</v>
      </c>
      <c r="F363">
        <v>2.255051792469007E-2</v>
      </c>
      <c r="G363">
        <v>7.6662890475068424E-7</v>
      </c>
      <c r="H363">
        <v>8.661275169365436E-5</v>
      </c>
      <c r="I363" t="s">
        <v>2250</v>
      </c>
      <c r="J363" t="s">
        <v>462</v>
      </c>
      <c r="K363" t="s">
        <v>417</v>
      </c>
    </row>
    <row r="364" spans="1:12" hidden="1" x14ac:dyDescent="0.25">
      <c r="A364" s="516">
        <v>339</v>
      </c>
      <c r="B364" t="s">
        <v>441</v>
      </c>
      <c r="C364" t="s">
        <v>432</v>
      </c>
      <c r="D364" t="s">
        <v>2271</v>
      </c>
      <c r="E364">
        <v>4</v>
      </c>
      <c r="F364">
        <v>1.423221242229885E-2</v>
      </c>
      <c r="G364">
        <v>4.8383923854538287E-7</v>
      </c>
      <c r="H364">
        <v>5.1118942784407733E-5</v>
      </c>
      <c r="I364" t="s">
        <v>2251</v>
      </c>
      <c r="J364" t="s">
        <v>1992</v>
      </c>
      <c r="K364" t="s">
        <v>417</v>
      </c>
      <c r="L364" t="s">
        <v>2295</v>
      </c>
    </row>
    <row r="365" spans="1:12" hidden="1" x14ac:dyDescent="0.25">
      <c r="A365" s="516">
        <v>340</v>
      </c>
      <c r="B365" t="s">
        <v>441</v>
      </c>
      <c r="C365" t="s">
        <v>432</v>
      </c>
      <c r="D365" t="s">
        <v>2271</v>
      </c>
      <c r="E365">
        <v>4</v>
      </c>
      <c r="F365">
        <v>4.8645554224046912E-8</v>
      </c>
      <c r="G365">
        <v>1.653757491527044E-12</v>
      </c>
      <c r="H365">
        <v>9.8650667878707843E-10</v>
      </c>
      <c r="I365" t="s">
        <v>2231</v>
      </c>
      <c r="L365" t="s">
        <v>2295</v>
      </c>
    </row>
    <row r="366" spans="1:12" hidden="1" x14ac:dyDescent="0.25">
      <c r="A366" s="516">
        <v>341</v>
      </c>
      <c r="B366" t="s">
        <v>441</v>
      </c>
      <c r="C366" t="s">
        <v>432</v>
      </c>
      <c r="D366" t="s">
        <v>2271</v>
      </c>
      <c r="E366">
        <v>4</v>
      </c>
      <c r="F366">
        <v>2.7974939647980091E-3</v>
      </c>
      <c r="G366">
        <v>9.5103790584411687E-8</v>
      </c>
      <c r="H366">
        <v>1.082371738256408E-5</v>
      </c>
      <c r="I366" t="s">
        <v>2251</v>
      </c>
      <c r="J366" t="s">
        <v>419</v>
      </c>
      <c r="K366" t="s">
        <v>417</v>
      </c>
      <c r="L366" t="s">
        <v>2295</v>
      </c>
    </row>
    <row r="367" spans="1:12" hidden="1" x14ac:dyDescent="0.25">
      <c r="A367" s="516">
        <v>342</v>
      </c>
      <c r="B367" t="s">
        <v>441</v>
      </c>
      <c r="C367" t="s">
        <v>432</v>
      </c>
      <c r="D367" t="s">
        <v>2271</v>
      </c>
      <c r="E367">
        <v>4</v>
      </c>
      <c r="F367">
        <v>3.7836696386222533E-5</v>
      </c>
      <c r="G367">
        <v>1.286298842750531E-9</v>
      </c>
      <c r="H367">
        <v>8.5097238472389624E-7</v>
      </c>
      <c r="I367" t="s">
        <v>2231</v>
      </c>
      <c r="L367" t="s">
        <v>2295</v>
      </c>
    </row>
    <row r="368" spans="1:12" hidden="1" x14ac:dyDescent="0.25">
      <c r="A368" s="516">
        <v>343</v>
      </c>
      <c r="B368" t="s">
        <v>441</v>
      </c>
      <c r="C368" t="s">
        <v>432</v>
      </c>
      <c r="D368" t="s">
        <v>2271</v>
      </c>
      <c r="E368">
        <v>4</v>
      </c>
      <c r="F368">
        <v>2.306441819457107E-3</v>
      </c>
      <c r="G368">
        <v>7.8409949244918689E-8</v>
      </c>
      <c r="H368">
        <v>1.2277194154703439E-5</v>
      </c>
      <c r="I368" t="s">
        <v>1454</v>
      </c>
      <c r="J368" t="s">
        <v>1992</v>
      </c>
      <c r="K368" t="s">
        <v>417</v>
      </c>
      <c r="L368" t="s">
        <v>2295</v>
      </c>
    </row>
    <row r="369" spans="1:12" hidden="1" x14ac:dyDescent="0.25">
      <c r="A369" s="516">
        <v>344</v>
      </c>
      <c r="B369" t="s">
        <v>441</v>
      </c>
      <c r="C369" t="s">
        <v>432</v>
      </c>
      <c r="D369" t="s">
        <v>2271</v>
      </c>
      <c r="E369">
        <v>4</v>
      </c>
      <c r="F369">
        <v>6.9541303351237146E-4</v>
      </c>
      <c r="G369">
        <v>2.3641307663591821E-8</v>
      </c>
      <c r="H369">
        <v>2.3333258765765228E-6</v>
      </c>
      <c r="I369" t="s">
        <v>2251</v>
      </c>
      <c r="J369" t="s">
        <v>2252</v>
      </c>
      <c r="K369" t="s">
        <v>417</v>
      </c>
      <c r="L369" t="s">
        <v>2295</v>
      </c>
    </row>
    <row r="370" spans="1:12" hidden="1" x14ac:dyDescent="0.25">
      <c r="A370" s="516">
        <v>345</v>
      </c>
      <c r="B370" t="s">
        <v>441</v>
      </c>
      <c r="C370" t="s">
        <v>432</v>
      </c>
      <c r="D370" t="s">
        <v>2271</v>
      </c>
      <c r="E370">
        <v>4</v>
      </c>
      <c r="F370">
        <v>1.1973373847627929E-3</v>
      </c>
      <c r="G370">
        <v>4.0704761237113109E-8</v>
      </c>
      <c r="H370">
        <v>2.8157606536467428E-6</v>
      </c>
      <c r="I370" t="s">
        <v>1454</v>
      </c>
      <c r="J370" t="s">
        <v>2252</v>
      </c>
      <c r="K370" t="s">
        <v>417</v>
      </c>
      <c r="L370" t="s">
        <v>2295</v>
      </c>
    </row>
    <row r="371" spans="1:12" hidden="1" x14ac:dyDescent="0.25">
      <c r="A371" s="516">
        <v>346</v>
      </c>
      <c r="B371" t="s">
        <v>441</v>
      </c>
      <c r="C371" t="s">
        <v>432</v>
      </c>
      <c r="D371" t="s">
        <v>2271</v>
      </c>
      <c r="E371">
        <v>4</v>
      </c>
      <c r="F371">
        <v>4.4481627544140081E-4</v>
      </c>
      <c r="G371">
        <v>1.5122003636269321E-8</v>
      </c>
      <c r="H371">
        <v>6.3431531194027866E-6</v>
      </c>
      <c r="I371" t="s">
        <v>1454</v>
      </c>
      <c r="J371" t="s">
        <v>2253</v>
      </c>
      <c r="K371" t="s">
        <v>417</v>
      </c>
      <c r="L371" t="s">
        <v>2295</v>
      </c>
    </row>
    <row r="372" spans="1:12" hidden="1" x14ac:dyDescent="0.25">
      <c r="A372" s="516">
        <v>347</v>
      </c>
      <c r="B372" t="s">
        <v>441</v>
      </c>
      <c r="C372" t="s">
        <v>432</v>
      </c>
      <c r="D372" t="s">
        <v>2271</v>
      </c>
      <c r="E372">
        <v>4</v>
      </c>
      <c r="F372">
        <v>1.8479707746779789E-5</v>
      </c>
      <c r="G372">
        <v>6.2823737163550012E-10</v>
      </c>
      <c r="H372">
        <v>4.8698830950311433E-8</v>
      </c>
      <c r="I372" t="s">
        <v>2231</v>
      </c>
      <c r="L372" t="s">
        <v>2295</v>
      </c>
    </row>
    <row r="373" spans="1:12" hidden="1" x14ac:dyDescent="0.25">
      <c r="A373" s="516">
        <v>348</v>
      </c>
      <c r="B373" t="s">
        <v>441</v>
      </c>
      <c r="C373" t="s">
        <v>432</v>
      </c>
      <c r="D373" t="s">
        <v>2271</v>
      </c>
      <c r="E373">
        <v>4</v>
      </c>
      <c r="F373">
        <v>2.238663609665439E-4</v>
      </c>
      <c r="G373">
        <v>7.6105756724282238E-9</v>
      </c>
      <c r="H373">
        <v>1.6482406647302429E-5</v>
      </c>
      <c r="I373" t="s">
        <v>2254</v>
      </c>
      <c r="J373" t="s">
        <v>462</v>
      </c>
      <c r="K373" t="s">
        <v>925</v>
      </c>
      <c r="L373" t="s">
        <v>2295</v>
      </c>
    </row>
    <row r="374" spans="1:12" hidden="1" x14ac:dyDescent="0.25">
      <c r="A374" s="516">
        <v>349</v>
      </c>
      <c r="B374" t="s">
        <v>441</v>
      </c>
      <c r="C374" t="s">
        <v>432</v>
      </c>
      <c r="D374" t="s">
        <v>2271</v>
      </c>
      <c r="E374">
        <v>4</v>
      </c>
      <c r="F374">
        <v>2.2962883455766999E-5</v>
      </c>
      <c r="G374">
        <v>7.8064771072676846E-10</v>
      </c>
      <c r="H374">
        <v>1.740916309042453E-6</v>
      </c>
      <c r="I374" t="s">
        <v>2231</v>
      </c>
      <c r="L374" t="s">
        <v>2295</v>
      </c>
    </row>
    <row r="375" spans="1:12" hidden="1" x14ac:dyDescent="0.25">
      <c r="A375" s="516">
        <v>350</v>
      </c>
      <c r="B375" t="s">
        <v>441</v>
      </c>
      <c r="C375" t="s">
        <v>432</v>
      </c>
      <c r="D375" t="s">
        <v>2271</v>
      </c>
      <c r="E375">
        <v>4</v>
      </c>
      <c r="F375">
        <v>3.6354166304947589E-4</v>
      </c>
      <c r="G375">
        <v>1.2358986516656349E-8</v>
      </c>
      <c r="H375">
        <v>1.788553322473962E-5</v>
      </c>
      <c r="I375" t="s">
        <v>2255</v>
      </c>
      <c r="J375" t="s">
        <v>462</v>
      </c>
      <c r="K375" t="s">
        <v>925</v>
      </c>
      <c r="L375" t="s">
        <v>2295</v>
      </c>
    </row>
    <row r="376" spans="1:12" hidden="1" x14ac:dyDescent="0.25">
      <c r="A376" s="516">
        <v>351</v>
      </c>
      <c r="B376" t="s">
        <v>441</v>
      </c>
      <c r="C376" t="s">
        <v>432</v>
      </c>
      <c r="D376" t="s">
        <v>2271</v>
      </c>
      <c r="E376">
        <v>4</v>
      </c>
      <c r="F376">
        <v>2.1006657218528929E-4</v>
      </c>
      <c r="G376">
        <v>7.1414371366972603E-9</v>
      </c>
      <c r="H376">
        <v>3.8187562221732208E-5</v>
      </c>
      <c r="I376" t="s">
        <v>2262</v>
      </c>
      <c r="J376" t="s">
        <v>462</v>
      </c>
      <c r="K376" t="s">
        <v>925</v>
      </c>
      <c r="L376" t="s">
        <v>2295</v>
      </c>
    </row>
    <row r="377" spans="1:12" x14ac:dyDescent="0.25">
      <c r="A377" s="516">
        <v>352</v>
      </c>
      <c r="B377" t="s">
        <v>441</v>
      </c>
      <c r="C377" t="s">
        <v>432</v>
      </c>
      <c r="D377" t="s">
        <v>2271</v>
      </c>
      <c r="E377">
        <v>3</v>
      </c>
      <c r="F377">
        <v>7.1686038149243304E-5</v>
      </c>
      <c r="G377">
        <v>2.4370433129653041E-9</v>
      </c>
      <c r="H377">
        <v>1.9987558083151011E-7</v>
      </c>
      <c r="I377" t="s">
        <v>2231</v>
      </c>
    </row>
    <row r="378" spans="1:12" x14ac:dyDescent="0.25">
      <c r="A378" s="516">
        <v>353</v>
      </c>
      <c r="B378" t="s">
        <v>441</v>
      </c>
      <c r="C378" t="s">
        <v>432</v>
      </c>
      <c r="D378" t="s">
        <v>2271</v>
      </c>
      <c r="E378">
        <v>3</v>
      </c>
      <c r="F378">
        <v>5.0057778564812269E-8</v>
      </c>
      <c r="G378">
        <v>1.701767563989186E-12</v>
      </c>
      <c r="H378">
        <v>-3.1091757018234902E-8</v>
      </c>
      <c r="I378" t="s">
        <v>2231</v>
      </c>
    </row>
    <row r="379" spans="1:12" x14ac:dyDescent="0.25">
      <c r="A379" s="516">
        <v>354</v>
      </c>
      <c r="B379" t="s">
        <v>441</v>
      </c>
      <c r="C379" t="s">
        <v>432</v>
      </c>
      <c r="D379" t="s">
        <v>2271</v>
      </c>
      <c r="E379">
        <v>3</v>
      </c>
      <c r="F379">
        <v>1.0638708801485131E-7</v>
      </c>
      <c r="G379">
        <v>3.6167425083901269E-12</v>
      </c>
      <c r="H379">
        <v>-1.9987558083151011E-7</v>
      </c>
      <c r="I379" t="s">
        <v>2231</v>
      </c>
    </row>
    <row r="380" spans="1:12" x14ac:dyDescent="0.25">
      <c r="A380" s="516">
        <v>355</v>
      </c>
      <c r="B380" t="s">
        <v>441</v>
      </c>
      <c r="C380" t="s">
        <v>432</v>
      </c>
      <c r="D380" t="s">
        <v>2271</v>
      </c>
      <c r="E380">
        <v>3</v>
      </c>
      <c r="F380">
        <v>8.6585102770158261E-6</v>
      </c>
      <c r="G380">
        <v>2.9435529031346688E-10</v>
      </c>
      <c r="H380">
        <v>-7.5508552758570464E-7</v>
      </c>
      <c r="I380" t="s">
        <v>2231</v>
      </c>
    </row>
    <row r="381" spans="1:12" x14ac:dyDescent="0.25">
      <c r="A381" s="516">
        <v>356</v>
      </c>
      <c r="B381" t="s">
        <v>441</v>
      </c>
      <c r="C381" t="s">
        <v>432</v>
      </c>
      <c r="D381" t="s">
        <v>2271</v>
      </c>
      <c r="E381">
        <v>3</v>
      </c>
      <c r="F381">
        <v>4.886632152029379E-4</v>
      </c>
      <c r="G381">
        <v>1.6612627111894811E-8</v>
      </c>
      <c r="H381">
        <v>7.1066873184536906E-7</v>
      </c>
      <c r="I381" t="s">
        <v>2276</v>
      </c>
      <c r="J381" t="s">
        <v>419</v>
      </c>
      <c r="K381" t="s">
        <v>417</v>
      </c>
    </row>
    <row r="382" spans="1:12" hidden="1" x14ac:dyDescent="0.25">
      <c r="A382" s="516">
        <v>357</v>
      </c>
      <c r="B382" t="s">
        <v>441</v>
      </c>
      <c r="C382" t="s">
        <v>432</v>
      </c>
      <c r="D382" t="s">
        <v>2271</v>
      </c>
      <c r="E382">
        <v>4</v>
      </c>
      <c r="F382">
        <v>4.6178628833133879E-4</v>
      </c>
      <c r="G382">
        <v>1.5698917321305981E-8</v>
      </c>
      <c r="H382">
        <v>2.8173751205277811E-8</v>
      </c>
      <c r="I382" t="s">
        <v>2242</v>
      </c>
      <c r="J382" t="s">
        <v>462</v>
      </c>
      <c r="K382" t="s">
        <v>417</v>
      </c>
      <c r="L382" t="s">
        <v>2295</v>
      </c>
    </row>
    <row r="383" spans="1:12" hidden="1" x14ac:dyDescent="0.25">
      <c r="A383" s="516">
        <v>358</v>
      </c>
      <c r="B383" t="s">
        <v>441</v>
      </c>
      <c r="C383" t="s">
        <v>432</v>
      </c>
      <c r="D383" t="s">
        <v>2271</v>
      </c>
      <c r="E383">
        <v>4</v>
      </c>
      <c r="F383">
        <v>3.132560306934635E-8</v>
      </c>
      <c r="G383">
        <v>1.064947282005175E-12</v>
      </c>
      <c r="H383">
        <v>2.3478362893975461E-10</v>
      </c>
      <c r="I383" t="s">
        <v>2231</v>
      </c>
      <c r="L383" t="s">
        <v>2295</v>
      </c>
    </row>
    <row r="384" spans="1:12" hidden="1" x14ac:dyDescent="0.25">
      <c r="A384" s="516">
        <v>359</v>
      </c>
      <c r="B384" t="s">
        <v>441</v>
      </c>
      <c r="C384" t="s">
        <v>432</v>
      </c>
      <c r="D384" t="s">
        <v>2271</v>
      </c>
      <c r="E384">
        <v>4</v>
      </c>
      <c r="F384">
        <v>1.5398502856182889E-5</v>
      </c>
      <c r="G384">
        <v>5.2348852557886488E-10</v>
      </c>
      <c r="H384">
        <v>3.1743440245337098E-7</v>
      </c>
      <c r="I384" t="s">
        <v>2231</v>
      </c>
      <c r="L384" t="s">
        <v>2295</v>
      </c>
    </row>
    <row r="385" spans="1:12" hidden="1" x14ac:dyDescent="0.25">
      <c r="A385" s="516">
        <v>360</v>
      </c>
      <c r="B385" t="s">
        <v>441</v>
      </c>
      <c r="C385" t="s">
        <v>432</v>
      </c>
      <c r="D385" t="s">
        <v>2271</v>
      </c>
      <c r="E385">
        <v>4</v>
      </c>
      <c r="F385">
        <v>2.9044404080862698E-7</v>
      </c>
      <c r="G385">
        <v>9.8739548971818562E-12</v>
      </c>
      <c r="H385">
        <v>-1.09883599317931E-8</v>
      </c>
      <c r="I385" t="s">
        <v>2231</v>
      </c>
      <c r="L385" t="s">
        <v>2295</v>
      </c>
    </row>
    <row r="386" spans="1:12" hidden="1" x14ac:dyDescent="0.25">
      <c r="A386" s="516">
        <v>361</v>
      </c>
      <c r="B386" t="s">
        <v>441</v>
      </c>
      <c r="C386" t="s">
        <v>432</v>
      </c>
      <c r="D386" t="s">
        <v>2271</v>
      </c>
      <c r="E386">
        <v>4</v>
      </c>
      <c r="F386">
        <v>6.4620719358842648E-7</v>
      </c>
      <c r="G386">
        <v>2.1968502662207369E-11</v>
      </c>
      <c r="H386">
        <v>5.1175184313311846E-7</v>
      </c>
      <c r="I386" t="s">
        <v>2231</v>
      </c>
      <c r="L386" t="s">
        <v>2295</v>
      </c>
    </row>
    <row r="387" spans="1:12" hidden="1" x14ac:dyDescent="0.25">
      <c r="A387" s="516">
        <v>362</v>
      </c>
      <c r="B387" t="s">
        <v>441</v>
      </c>
      <c r="C387" t="s">
        <v>432</v>
      </c>
      <c r="D387" t="s">
        <v>2271</v>
      </c>
      <c r="E387">
        <v>4</v>
      </c>
      <c r="F387">
        <v>8.5543116357054696E-6</v>
      </c>
      <c r="G387">
        <v>2.9081294638455842E-10</v>
      </c>
      <c r="H387">
        <v>5.4018250108495833E-7</v>
      </c>
      <c r="I387" t="s">
        <v>2231</v>
      </c>
      <c r="L387" t="s">
        <v>2295</v>
      </c>
    </row>
    <row r="388" spans="1:12" hidden="1" x14ac:dyDescent="0.25">
      <c r="A388" s="516">
        <v>363</v>
      </c>
      <c r="B388" t="s">
        <v>441</v>
      </c>
      <c r="C388" t="s">
        <v>432</v>
      </c>
      <c r="D388" t="s">
        <v>2271</v>
      </c>
      <c r="E388">
        <v>4</v>
      </c>
      <c r="F388">
        <v>1.048843436183267E-6</v>
      </c>
      <c r="G388">
        <v>3.5656551101017502E-11</v>
      </c>
      <c r="H388">
        <v>5.1168148692866566E-9</v>
      </c>
      <c r="I388" t="s">
        <v>2231</v>
      </c>
      <c r="L388" t="s">
        <v>2295</v>
      </c>
    </row>
    <row r="389" spans="1:12" hidden="1" x14ac:dyDescent="0.25">
      <c r="A389" s="516">
        <v>364</v>
      </c>
      <c r="B389" t="s">
        <v>441</v>
      </c>
      <c r="C389" t="s">
        <v>432</v>
      </c>
      <c r="D389" t="s">
        <v>2271</v>
      </c>
      <c r="E389">
        <v>4</v>
      </c>
      <c r="F389">
        <v>1.5653193465163511E-7</v>
      </c>
      <c r="G389">
        <v>5.3214700443354861E-12</v>
      </c>
      <c r="H389">
        <v>-1.64818292289578E-8</v>
      </c>
      <c r="I389" t="s">
        <v>2231</v>
      </c>
      <c r="L389" t="s">
        <v>2295</v>
      </c>
    </row>
    <row r="390" spans="1:12" hidden="1" x14ac:dyDescent="0.25">
      <c r="A390" s="516">
        <v>365</v>
      </c>
      <c r="B390" t="s">
        <v>441</v>
      </c>
      <c r="C390" t="s">
        <v>432</v>
      </c>
      <c r="D390" t="s">
        <v>2271</v>
      </c>
      <c r="E390">
        <v>4</v>
      </c>
      <c r="F390">
        <v>4.1171298438579359E-7</v>
      </c>
      <c r="G390">
        <v>1.399662195544249E-11</v>
      </c>
      <c r="H390">
        <v>9.3914872913365522E-10</v>
      </c>
      <c r="I390" t="s">
        <v>2231</v>
      </c>
      <c r="L390" t="s">
        <v>2295</v>
      </c>
    </row>
    <row r="391" spans="1:12" hidden="1" x14ac:dyDescent="0.25">
      <c r="A391" s="516">
        <v>366</v>
      </c>
      <c r="B391" t="s">
        <v>441</v>
      </c>
      <c r="C391" t="s">
        <v>432</v>
      </c>
      <c r="D391" t="s">
        <v>2271</v>
      </c>
      <c r="E391">
        <v>4</v>
      </c>
      <c r="F391">
        <v>3.1294327440402092E-8</v>
      </c>
      <c r="G391">
        <v>1.0638840336468441E-12</v>
      </c>
      <c r="H391">
        <v>1.015261350314294E-15</v>
      </c>
      <c r="I391" t="s">
        <v>2231</v>
      </c>
      <c r="L391" t="s">
        <v>2295</v>
      </c>
    </row>
    <row r="392" spans="1:12" hidden="1" x14ac:dyDescent="0.25">
      <c r="A392" s="516">
        <v>367</v>
      </c>
      <c r="B392" t="s">
        <v>441</v>
      </c>
      <c r="C392" t="s">
        <v>432</v>
      </c>
      <c r="D392" t="s">
        <v>2271</v>
      </c>
      <c r="E392">
        <v>4</v>
      </c>
      <c r="F392">
        <v>4.7808339920252427E-9</v>
      </c>
      <c r="G392">
        <v>1.6252954984631579E-13</v>
      </c>
      <c r="H392">
        <v>4.3478713014299679E-13</v>
      </c>
      <c r="I392" t="s">
        <v>2231</v>
      </c>
      <c r="L392" t="s">
        <v>2295</v>
      </c>
    </row>
    <row r="393" spans="1:12" hidden="1" x14ac:dyDescent="0.25">
      <c r="A393" s="516">
        <v>368</v>
      </c>
      <c r="B393" t="s">
        <v>441</v>
      </c>
      <c r="C393" t="s">
        <v>432</v>
      </c>
      <c r="D393" t="s">
        <v>2271</v>
      </c>
      <c r="E393">
        <v>4</v>
      </c>
      <c r="F393">
        <v>4.3845028939816588E-8</v>
      </c>
      <c r="G393">
        <v>1.4905585152033979E-12</v>
      </c>
      <c r="H393">
        <v>1.173953678135365E-9</v>
      </c>
      <c r="I393" t="s">
        <v>2231</v>
      </c>
      <c r="L393" t="s">
        <v>2295</v>
      </c>
    </row>
    <row r="394" spans="1:12" hidden="1" x14ac:dyDescent="0.25">
      <c r="A394" s="516">
        <v>369</v>
      </c>
      <c r="B394" t="s">
        <v>441</v>
      </c>
      <c r="C394" t="s">
        <v>432</v>
      </c>
      <c r="D394" t="s">
        <v>2271</v>
      </c>
      <c r="E394">
        <v>4</v>
      </c>
      <c r="F394">
        <v>2.4004448410198969E-7</v>
      </c>
      <c r="G394">
        <v>8.1605682207886862E-12</v>
      </c>
      <c r="H394">
        <v>1.173953678135365E-9</v>
      </c>
      <c r="I394" t="s">
        <v>2231</v>
      </c>
      <c r="L394" t="s">
        <v>2295</v>
      </c>
    </row>
    <row r="395" spans="1:12" hidden="1" x14ac:dyDescent="0.25">
      <c r="A395" s="516">
        <v>370</v>
      </c>
      <c r="B395" t="s">
        <v>441</v>
      </c>
      <c r="C395" t="s">
        <v>432</v>
      </c>
      <c r="D395" t="s">
        <v>2271</v>
      </c>
      <c r="E395">
        <v>4</v>
      </c>
      <c r="F395">
        <v>4.8383103698398705E-10</v>
      </c>
      <c r="G395">
        <v>1.6448352060300608E-14</v>
      </c>
      <c r="H395">
        <v>-7.4167106976174657E-11</v>
      </c>
      <c r="I395" t="s">
        <v>2231</v>
      </c>
      <c r="L395" t="s">
        <v>2295</v>
      </c>
    </row>
    <row r="396" spans="1:12" hidden="1" x14ac:dyDescent="0.25">
      <c r="A396" s="516">
        <v>371</v>
      </c>
      <c r="B396" t="s">
        <v>441</v>
      </c>
      <c r="C396" t="s">
        <v>432</v>
      </c>
      <c r="D396" t="s">
        <v>2271</v>
      </c>
      <c r="E396">
        <v>4</v>
      </c>
      <c r="F396">
        <v>1.860855494485684E-8</v>
      </c>
      <c r="G396">
        <v>6.3261766953694467E-13</v>
      </c>
      <c r="H396">
        <v>-2.9959218145958202E-9</v>
      </c>
      <c r="I396" t="s">
        <v>2231</v>
      </c>
      <c r="L396" t="s">
        <v>2295</v>
      </c>
    </row>
    <row r="397" spans="1:12" x14ac:dyDescent="0.25">
      <c r="A397" s="516">
        <v>372</v>
      </c>
      <c r="B397" t="s">
        <v>441</v>
      </c>
      <c r="C397" t="s">
        <v>432</v>
      </c>
      <c r="D397" t="s">
        <v>2271</v>
      </c>
      <c r="E397">
        <v>2</v>
      </c>
      <c r="F397">
        <v>0</v>
      </c>
      <c r="G397">
        <v>0</v>
      </c>
      <c r="H397">
        <v>0</v>
      </c>
      <c r="I397" t="s">
        <v>2231</v>
      </c>
    </row>
    <row r="398" spans="1:12" x14ac:dyDescent="0.25">
      <c r="A398" s="568">
        <v>373</v>
      </c>
      <c r="B398" s="417" t="s">
        <v>441</v>
      </c>
      <c r="C398" s="417" t="s">
        <v>432</v>
      </c>
      <c r="D398" s="417" t="s">
        <v>2271</v>
      </c>
      <c r="E398" s="417">
        <v>2</v>
      </c>
      <c r="F398" s="417">
        <v>7.9725205868744417E-3</v>
      </c>
      <c r="G398" s="417">
        <v>2.7103433925683709E-7</v>
      </c>
      <c r="H398" s="417">
        <v>6.0980602046066296E-4</v>
      </c>
      <c r="I398" s="417" t="s">
        <v>1003</v>
      </c>
      <c r="J398" s="417" t="s">
        <v>432</v>
      </c>
      <c r="K398" s="417" t="s">
        <v>417</v>
      </c>
      <c r="L398" s="417" t="s">
        <v>155</v>
      </c>
    </row>
    <row r="399" spans="1:12" x14ac:dyDescent="0.25">
      <c r="A399" s="516">
        <v>374</v>
      </c>
      <c r="B399" t="s">
        <v>441</v>
      </c>
      <c r="C399" t="s">
        <v>432</v>
      </c>
      <c r="D399" t="s">
        <v>2271</v>
      </c>
      <c r="E399">
        <v>3</v>
      </c>
      <c r="F399">
        <v>7.25317703705366E-3</v>
      </c>
      <c r="G399">
        <v>2.46579488171808E-7</v>
      </c>
      <c r="H399">
        <v>6.0980602046066296E-4</v>
      </c>
      <c r="I399" t="s">
        <v>1000</v>
      </c>
      <c r="J399" t="s">
        <v>432</v>
      </c>
      <c r="K399" t="s">
        <v>417</v>
      </c>
    </row>
    <row r="400" spans="1:12" hidden="1" x14ac:dyDescent="0.25">
      <c r="A400" s="516">
        <v>375</v>
      </c>
      <c r="B400" t="s">
        <v>441</v>
      </c>
      <c r="C400" t="s">
        <v>432</v>
      </c>
      <c r="D400" t="s">
        <v>2271</v>
      </c>
      <c r="E400">
        <v>4</v>
      </c>
      <c r="F400">
        <v>6.5338334872330059E-3</v>
      </c>
      <c r="G400">
        <v>2.2212463708678331E-7</v>
      </c>
      <c r="H400">
        <v>6.0980602046066296E-4</v>
      </c>
      <c r="I400" t="s">
        <v>998</v>
      </c>
      <c r="J400" t="s">
        <v>432</v>
      </c>
      <c r="K400" t="s">
        <v>417</v>
      </c>
      <c r="L400" t="s">
        <v>2295</v>
      </c>
    </row>
    <row r="401" spans="1:12" hidden="1" x14ac:dyDescent="0.25">
      <c r="A401" s="516">
        <v>376</v>
      </c>
      <c r="B401" t="s">
        <v>441</v>
      </c>
      <c r="C401" t="s">
        <v>432</v>
      </c>
      <c r="D401" t="s">
        <v>2271</v>
      </c>
      <c r="E401">
        <v>4</v>
      </c>
      <c r="F401">
        <v>7.1934353910164755E-4</v>
      </c>
      <c r="G401">
        <v>2.4454850720620699E-8</v>
      </c>
      <c r="H401">
        <v>6.0980602046066303E-5</v>
      </c>
      <c r="I401" t="s">
        <v>506</v>
      </c>
      <c r="J401" t="s">
        <v>432</v>
      </c>
      <c r="K401" t="s">
        <v>433</v>
      </c>
      <c r="L401" t="s">
        <v>2295</v>
      </c>
    </row>
    <row r="402" spans="1:12" x14ac:dyDescent="0.25">
      <c r="A402" s="516">
        <v>377</v>
      </c>
      <c r="B402" t="s">
        <v>441</v>
      </c>
      <c r="C402" t="s">
        <v>432</v>
      </c>
      <c r="D402" t="s">
        <v>2271</v>
      </c>
      <c r="E402">
        <v>3</v>
      </c>
      <c r="F402">
        <v>7.1934353910164755E-4</v>
      </c>
      <c r="G402">
        <v>2.4454850720620699E-8</v>
      </c>
      <c r="H402">
        <v>6.0980602046066303E-5</v>
      </c>
      <c r="I402" t="s">
        <v>506</v>
      </c>
      <c r="J402" t="s">
        <v>432</v>
      </c>
      <c r="K402" t="s">
        <v>433</v>
      </c>
    </row>
    <row r="403" spans="1:12" hidden="1" x14ac:dyDescent="0.25">
      <c r="A403" s="516">
        <v>378</v>
      </c>
      <c r="B403" t="s">
        <v>441</v>
      </c>
      <c r="C403" t="s">
        <v>432</v>
      </c>
      <c r="D403" t="s">
        <v>2271</v>
      </c>
      <c r="E403">
        <v>4</v>
      </c>
      <c r="F403">
        <v>4.311104760220047E-4</v>
      </c>
      <c r="G403">
        <v>1.465606036912511E-8</v>
      </c>
      <c r="H403">
        <v>5.3300022630301139E-12</v>
      </c>
      <c r="I403" t="s">
        <v>2277</v>
      </c>
      <c r="J403" t="s">
        <v>462</v>
      </c>
      <c r="K403" t="s">
        <v>1995</v>
      </c>
      <c r="L403" t="s">
        <v>2295</v>
      </c>
    </row>
    <row r="404" spans="1:12" hidden="1" x14ac:dyDescent="0.25">
      <c r="A404" s="516">
        <v>379</v>
      </c>
      <c r="B404" t="s">
        <v>441</v>
      </c>
      <c r="C404" t="s">
        <v>432</v>
      </c>
      <c r="D404" t="s">
        <v>2271</v>
      </c>
      <c r="E404">
        <v>4</v>
      </c>
      <c r="F404">
        <v>4.6346703190306993E-6</v>
      </c>
      <c r="G404">
        <v>1.575605599137405E-10</v>
      </c>
      <c r="H404">
        <v>2.0371767410342151E-7</v>
      </c>
      <c r="I404" t="s">
        <v>2231</v>
      </c>
      <c r="L404" t="s">
        <v>2295</v>
      </c>
    </row>
    <row r="405" spans="1:12" hidden="1" x14ac:dyDescent="0.25">
      <c r="A405" s="516">
        <v>380</v>
      </c>
      <c r="B405" t="s">
        <v>441</v>
      </c>
      <c r="C405" t="s">
        <v>432</v>
      </c>
      <c r="D405" t="s">
        <v>2271</v>
      </c>
      <c r="E405">
        <v>4</v>
      </c>
      <c r="F405">
        <v>2.822464921114766E-6</v>
      </c>
      <c r="G405">
        <v>9.5952704873459273E-11</v>
      </c>
      <c r="H405">
        <v>1.044214083571819E-7</v>
      </c>
      <c r="I405" t="s">
        <v>2231</v>
      </c>
      <c r="L405" t="s">
        <v>2295</v>
      </c>
    </row>
    <row r="406" spans="1:12" hidden="1" x14ac:dyDescent="0.25">
      <c r="A406" s="516">
        <v>381</v>
      </c>
      <c r="B406" t="s">
        <v>441</v>
      </c>
      <c r="C406" t="s">
        <v>432</v>
      </c>
      <c r="D406" t="s">
        <v>2271</v>
      </c>
      <c r="E406">
        <v>4</v>
      </c>
      <c r="F406">
        <v>5.9548348422429012E-6</v>
      </c>
      <c r="G406">
        <v>2.0244096070545709E-10</v>
      </c>
      <c r="H406">
        <v>3.1728043308528322E-7</v>
      </c>
      <c r="I406" t="s">
        <v>2231</v>
      </c>
      <c r="L406" t="s">
        <v>2295</v>
      </c>
    </row>
    <row r="407" spans="1:12" hidden="1" x14ac:dyDescent="0.25">
      <c r="A407" s="516">
        <v>382</v>
      </c>
      <c r="B407" t="s">
        <v>441</v>
      </c>
      <c r="C407" t="s">
        <v>432</v>
      </c>
      <c r="D407" t="s">
        <v>2271</v>
      </c>
      <c r="E407">
        <v>4</v>
      </c>
      <c r="F407">
        <v>3.4943886844483468E-6</v>
      </c>
      <c r="G407">
        <v>1.187954697483357E-10</v>
      </c>
      <c r="H407">
        <v>1.7671315260446161E-7</v>
      </c>
      <c r="I407" t="s">
        <v>2231</v>
      </c>
      <c r="L407" t="s">
        <v>2295</v>
      </c>
    </row>
    <row r="408" spans="1:12" hidden="1" x14ac:dyDescent="0.25">
      <c r="A408" s="516">
        <v>383</v>
      </c>
      <c r="B408" t="s">
        <v>441</v>
      </c>
      <c r="C408" t="s">
        <v>432</v>
      </c>
      <c r="D408" t="s">
        <v>2271</v>
      </c>
      <c r="E408">
        <v>4</v>
      </c>
      <c r="F408">
        <v>1.314909189436538E-6</v>
      </c>
      <c r="G408">
        <v>4.4701740115718329E-11</v>
      </c>
      <c r="H408">
        <v>6.8275536233541985E-8</v>
      </c>
      <c r="I408" t="s">
        <v>2231</v>
      </c>
      <c r="L408" t="s">
        <v>2295</v>
      </c>
    </row>
    <row r="409" spans="1:12" hidden="1" x14ac:dyDescent="0.25">
      <c r="A409" s="516">
        <v>384</v>
      </c>
      <c r="B409" t="s">
        <v>441</v>
      </c>
      <c r="C409" t="s">
        <v>432</v>
      </c>
      <c r="D409" t="s">
        <v>2271</v>
      </c>
      <c r="E409">
        <v>4</v>
      </c>
      <c r="F409">
        <v>1.477511565894771E-5</v>
      </c>
      <c r="G409">
        <v>5.0229581302795911E-10</v>
      </c>
      <c r="H409">
        <v>8.1067158757296726E-7</v>
      </c>
      <c r="I409" t="s">
        <v>2231</v>
      </c>
      <c r="L409" t="s">
        <v>2295</v>
      </c>
    </row>
    <row r="410" spans="1:12" hidden="1" x14ac:dyDescent="0.25">
      <c r="A410" s="516">
        <v>385</v>
      </c>
      <c r="B410" t="s">
        <v>441</v>
      </c>
      <c r="C410" t="s">
        <v>432</v>
      </c>
      <c r="D410" t="s">
        <v>2271</v>
      </c>
      <c r="E410">
        <v>4</v>
      </c>
      <c r="F410">
        <v>2.0664965624334569E-6</v>
      </c>
      <c r="G410">
        <v>7.0252754354474024E-11</v>
      </c>
      <c r="H410">
        <v>1.124538243846574E-7</v>
      </c>
      <c r="I410" t="s">
        <v>2231</v>
      </c>
      <c r="L410" t="s">
        <v>2295</v>
      </c>
    </row>
    <row r="411" spans="1:12" hidden="1" x14ac:dyDescent="0.25">
      <c r="A411" s="516">
        <v>386</v>
      </c>
      <c r="B411" t="s">
        <v>441</v>
      </c>
      <c r="C411" t="s">
        <v>432</v>
      </c>
      <c r="D411" t="s">
        <v>2271</v>
      </c>
      <c r="E411">
        <v>4</v>
      </c>
      <c r="F411">
        <v>4.263006493740003E-6</v>
      </c>
      <c r="G411">
        <v>1.449254518302098E-10</v>
      </c>
      <c r="H411">
        <v>2.0884281671436361E-7</v>
      </c>
      <c r="I411" t="s">
        <v>2231</v>
      </c>
      <c r="L411" t="s">
        <v>2295</v>
      </c>
    </row>
    <row r="412" spans="1:12" hidden="1" x14ac:dyDescent="0.25">
      <c r="A412" s="516">
        <v>387</v>
      </c>
      <c r="B412" t="s">
        <v>441</v>
      </c>
      <c r="C412" t="s">
        <v>432</v>
      </c>
      <c r="D412" t="s">
        <v>2271</v>
      </c>
      <c r="E412">
        <v>4</v>
      </c>
      <c r="F412">
        <v>1.8316977127257541E-6</v>
      </c>
      <c r="G412">
        <v>6.2270517068870272E-11</v>
      </c>
      <c r="H412">
        <v>1.044214083571819E-7</v>
      </c>
      <c r="I412" t="s">
        <v>2231</v>
      </c>
      <c r="L412" t="s">
        <v>2295</v>
      </c>
    </row>
    <row r="413" spans="1:12" hidden="1" x14ac:dyDescent="0.25">
      <c r="A413" s="516">
        <v>388</v>
      </c>
      <c r="B413" t="s">
        <v>441</v>
      </c>
      <c r="C413" t="s">
        <v>432</v>
      </c>
      <c r="D413" t="s">
        <v>2271</v>
      </c>
      <c r="E413">
        <v>4</v>
      </c>
      <c r="F413">
        <v>2.921995519802125E-6</v>
      </c>
      <c r="G413">
        <v>9.9336353715392385E-11</v>
      </c>
      <c r="H413">
        <v>1.044214083571819E-7</v>
      </c>
      <c r="I413" t="s">
        <v>2231</v>
      </c>
      <c r="L413" t="s">
        <v>2295</v>
      </c>
    </row>
    <row r="414" spans="1:12" hidden="1" x14ac:dyDescent="0.25">
      <c r="A414" s="516">
        <v>389</v>
      </c>
      <c r="B414" t="s">
        <v>441</v>
      </c>
      <c r="C414" t="s">
        <v>432</v>
      </c>
      <c r="D414" t="s">
        <v>2271</v>
      </c>
      <c r="E414">
        <v>4</v>
      </c>
      <c r="F414">
        <v>2.0725989939111849E-4</v>
      </c>
      <c r="G414">
        <v>7.046021302020004E-9</v>
      </c>
      <c r="H414">
        <v>5.798008747587617E-5</v>
      </c>
      <c r="I414" t="s">
        <v>2258</v>
      </c>
      <c r="J414" t="s">
        <v>432</v>
      </c>
      <c r="K414" t="s">
        <v>433</v>
      </c>
      <c r="L414" t="s">
        <v>2295</v>
      </c>
    </row>
    <row r="415" spans="1:12" hidden="1" x14ac:dyDescent="0.25">
      <c r="A415" s="516">
        <v>390</v>
      </c>
      <c r="B415" t="s">
        <v>441</v>
      </c>
      <c r="C415" t="s">
        <v>432</v>
      </c>
      <c r="D415" t="s">
        <v>2271</v>
      </c>
      <c r="E415">
        <v>4</v>
      </c>
      <c r="F415">
        <v>1.9728697899272008E-5</v>
      </c>
      <c r="G415">
        <v>6.7069812379415202E-10</v>
      </c>
      <c r="H415">
        <v>1.6724524654590221E-6</v>
      </c>
      <c r="I415" t="s">
        <v>2231</v>
      </c>
      <c r="L415" t="s">
        <v>2295</v>
      </c>
    </row>
    <row r="416" spans="1:12" hidden="1" x14ac:dyDescent="0.25">
      <c r="A416" s="516">
        <v>391</v>
      </c>
      <c r="B416" t="s">
        <v>441</v>
      </c>
      <c r="C416" t="s">
        <v>432</v>
      </c>
      <c r="D416" t="s">
        <v>2271</v>
      </c>
      <c r="E416">
        <v>4</v>
      </c>
      <c r="F416">
        <v>4.192864132541938E-7</v>
      </c>
      <c r="G416">
        <v>1.425408874613788E-11</v>
      </c>
      <c r="H416">
        <v>2.409724808242658E-8</v>
      </c>
      <c r="I416" t="s">
        <v>2231</v>
      </c>
      <c r="L416" t="s">
        <v>2295</v>
      </c>
    </row>
    <row r="417" spans="1:12" hidden="1" x14ac:dyDescent="0.25">
      <c r="A417" s="516">
        <v>392</v>
      </c>
      <c r="B417" t="s">
        <v>441</v>
      </c>
      <c r="C417" t="s">
        <v>432</v>
      </c>
      <c r="D417" t="s">
        <v>2271</v>
      </c>
      <c r="E417">
        <v>4</v>
      </c>
      <c r="F417">
        <v>2.045634251561733E-6</v>
      </c>
      <c r="G417">
        <v>6.9543517848795056E-11</v>
      </c>
      <c r="H417">
        <v>6.927958823697639E-8</v>
      </c>
      <c r="I417" t="s">
        <v>2231</v>
      </c>
      <c r="L417" t="s">
        <v>2295</v>
      </c>
    </row>
    <row r="418" spans="1:12" hidden="1" x14ac:dyDescent="0.25">
      <c r="A418" s="516">
        <v>393</v>
      </c>
      <c r="B418" t="s">
        <v>441</v>
      </c>
      <c r="C418" t="s">
        <v>432</v>
      </c>
      <c r="D418" t="s">
        <v>2271</v>
      </c>
      <c r="E418">
        <v>4</v>
      </c>
      <c r="F418">
        <v>2.684881151512484E-6</v>
      </c>
      <c r="G418">
        <v>9.1275397906323695E-11</v>
      </c>
      <c r="H418">
        <v>1.9277798465941261E-7</v>
      </c>
      <c r="I418" t="s">
        <v>2231</v>
      </c>
      <c r="L418" t="s">
        <v>2295</v>
      </c>
    </row>
    <row r="419" spans="1:12" hidden="1" x14ac:dyDescent="0.25">
      <c r="A419" s="516">
        <v>394</v>
      </c>
      <c r="B419" t="s">
        <v>441</v>
      </c>
      <c r="C419" t="s">
        <v>432</v>
      </c>
      <c r="D419" t="s">
        <v>2271</v>
      </c>
      <c r="E419">
        <v>4</v>
      </c>
      <c r="F419">
        <v>9.576898998695656E-6</v>
      </c>
      <c r="G419">
        <v>3.255768942778675E-10</v>
      </c>
      <c r="H419">
        <v>4.137798711353674E-7</v>
      </c>
      <c r="I419" t="s">
        <v>2231</v>
      </c>
      <c r="L419" t="s">
        <v>2295</v>
      </c>
    </row>
    <row r="420" spans="1:12" hidden="1" x14ac:dyDescent="0.25">
      <c r="A420" s="516">
        <v>395</v>
      </c>
      <c r="B420" t="s">
        <v>441</v>
      </c>
      <c r="C420" t="s">
        <v>432</v>
      </c>
      <c r="D420" t="s">
        <v>2271</v>
      </c>
      <c r="E420">
        <v>4</v>
      </c>
      <c r="F420">
        <v>1.350358536792216E-7</v>
      </c>
      <c r="G420">
        <v>4.5906878482303457E-12</v>
      </c>
      <c r="H420">
        <v>8.032416027475526E-9</v>
      </c>
      <c r="I420" t="s">
        <v>2231</v>
      </c>
      <c r="L420" t="s">
        <v>2295</v>
      </c>
    </row>
    <row r="421" spans="1:12" hidden="1" x14ac:dyDescent="0.25">
      <c r="A421" s="516">
        <v>396</v>
      </c>
      <c r="B421" t="s">
        <v>441</v>
      </c>
      <c r="C421" t="s">
        <v>432</v>
      </c>
      <c r="D421" t="s">
        <v>2271</v>
      </c>
      <c r="E421">
        <v>4</v>
      </c>
      <c r="F421">
        <v>2.107720419153505E-6</v>
      </c>
      <c r="G421">
        <v>7.1654203324845028E-11</v>
      </c>
      <c r="H421">
        <v>6.927958823697639E-8</v>
      </c>
      <c r="I421" t="s">
        <v>2231</v>
      </c>
      <c r="L421" t="s">
        <v>2295</v>
      </c>
    </row>
    <row r="422" spans="1:12" hidden="1" x14ac:dyDescent="0.25">
      <c r="A422" s="516">
        <v>397</v>
      </c>
      <c r="B422" t="s">
        <v>441</v>
      </c>
      <c r="C422" t="s">
        <v>432</v>
      </c>
      <c r="D422" t="s">
        <v>2271</v>
      </c>
      <c r="E422">
        <v>4</v>
      </c>
      <c r="F422">
        <v>1.951123764010432E-7</v>
      </c>
      <c r="G422">
        <v>6.6330533038385096E-12</v>
      </c>
      <c r="H422">
        <v>1.204862404121329E-8</v>
      </c>
      <c r="I422" t="s">
        <v>2231</v>
      </c>
      <c r="L422" t="s">
        <v>2295</v>
      </c>
    </row>
    <row r="423" spans="1:12" hidden="1" x14ac:dyDescent="0.25">
      <c r="A423" s="516">
        <v>398</v>
      </c>
      <c r="B423" t="s">
        <v>441</v>
      </c>
      <c r="C423" t="s">
        <v>432</v>
      </c>
      <c r="D423" t="s">
        <v>2271</v>
      </c>
      <c r="E423">
        <v>4</v>
      </c>
      <c r="F423">
        <v>3.3082963104565942E-10</v>
      </c>
      <c r="G423">
        <v>1.1246906104534299E-14</v>
      </c>
      <c r="H423">
        <v>1.8233200011773819E-13</v>
      </c>
      <c r="I423" t="s">
        <v>2231</v>
      </c>
      <c r="L423" t="s">
        <v>2295</v>
      </c>
    </row>
    <row r="424" spans="1:12" x14ac:dyDescent="0.25">
      <c r="A424" s="568">
        <v>399</v>
      </c>
      <c r="B424" s="417" t="s">
        <v>441</v>
      </c>
      <c r="C424" s="417" t="s">
        <v>432</v>
      </c>
      <c r="D424" s="417" t="s">
        <v>2271</v>
      </c>
      <c r="E424" s="417">
        <v>2</v>
      </c>
      <c r="F424" s="417">
        <v>0.85120231921775447</v>
      </c>
      <c r="G424" s="417">
        <v>2.8937530565037699E-5</v>
      </c>
      <c r="H424" s="417">
        <v>1.345215447737791E-5</v>
      </c>
      <c r="I424" s="417" t="s">
        <v>2090</v>
      </c>
      <c r="J424" s="417" t="s">
        <v>432</v>
      </c>
      <c r="K424" s="417" t="s">
        <v>1047</v>
      </c>
    </row>
    <row r="425" spans="1:12" x14ac:dyDescent="0.25">
      <c r="A425" s="516">
        <v>400</v>
      </c>
      <c r="B425" t="s">
        <v>441</v>
      </c>
      <c r="C425" t="s">
        <v>432</v>
      </c>
      <c r="D425" t="s">
        <v>2271</v>
      </c>
      <c r="E425">
        <v>3</v>
      </c>
      <c r="F425">
        <v>6.1822300287699087E-3</v>
      </c>
      <c r="G425">
        <v>2.101715025659573E-7</v>
      </c>
      <c r="H425">
        <v>1.775618624925329E-3</v>
      </c>
      <c r="I425" t="s">
        <v>1034</v>
      </c>
      <c r="J425" t="s">
        <v>432</v>
      </c>
      <c r="K425" t="s">
        <v>433</v>
      </c>
      <c r="L425" s="308" t="s">
        <v>827</v>
      </c>
    </row>
    <row r="426" spans="1:12" hidden="1" x14ac:dyDescent="0.25">
      <c r="A426" s="516">
        <v>401</v>
      </c>
      <c r="B426" t="s">
        <v>441</v>
      </c>
      <c r="C426" t="s">
        <v>432</v>
      </c>
      <c r="D426" t="s">
        <v>2271</v>
      </c>
      <c r="E426">
        <v>4</v>
      </c>
      <c r="F426">
        <v>2.3248034170219011E-5</v>
      </c>
      <c r="G426">
        <v>7.9034171334964706E-10</v>
      </c>
      <c r="H426">
        <v>6.6771443756444723E-6</v>
      </c>
      <c r="I426" t="s">
        <v>2231</v>
      </c>
      <c r="L426" t="s">
        <v>2295</v>
      </c>
    </row>
    <row r="427" spans="1:12" hidden="1" x14ac:dyDescent="0.25">
      <c r="A427" s="516">
        <v>402</v>
      </c>
      <c r="B427" t="s">
        <v>441</v>
      </c>
      <c r="C427" t="s">
        <v>432</v>
      </c>
      <c r="D427" t="s">
        <v>2271</v>
      </c>
      <c r="E427">
        <v>4</v>
      </c>
      <c r="F427">
        <v>1.3480298630757319E-5</v>
      </c>
      <c r="G427">
        <v>4.5827712736010982E-10</v>
      </c>
      <c r="H427">
        <v>1.2685391188773391E-5</v>
      </c>
      <c r="I427" t="s">
        <v>2231</v>
      </c>
      <c r="L427" t="s">
        <v>2295</v>
      </c>
    </row>
    <row r="428" spans="1:12" hidden="1" x14ac:dyDescent="0.25">
      <c r="A428" s="516">
        <v>403</v>
      </c>
      <c r="B428" t="s">
        <v>441</v>
      </c>
      <c r="C428" t="s">
        <v>432</v>
      </c>
      <c r="D428" t="s">
        <v>2271</v>
      </c>
      <c r="E428">
        <v>4</v>
      </c>
      <c r="F428">
        <v>4.254293056462302E-3</v>
      </c>
      <c r="G428">
        <v>1.4462922923793381E-7</v>
      </c>
      <c r="H428">
        <v>1.762933233736555E-3</v>
      </c>
      <c r="I428" t="s">
        <v>2259</v>
      </c>
      <c r="J428" t="s">
        <v>432</v>
      </c>
      <c r="K428" t="s">
        <v>433</v>
      </c>
      <c r="L428" t="s">
        <v>2295</v>
      </c>
    </row>
    <row r="429" spans="1:12" hidden="1" x14ac:dyDescent="0.25">
      <c r="A429" s="516">
        <v>404</v>
      </c>
      <c r="B429" t="s">
        <v>441</v>
      </c>
      <c r="C429" t="s">
        <v>432</v>
      </c>
      <c r="D429" t="s">
        <v>2271</v>
      </c>
      <c r="E429">
        <v>4</v>
      </c>
      <c r="F429">
        <v>1.7397424328069881E-7</v>
      </c>
      <c r="G429">
        <v>5.9144399266804977E-12</v>
      </c>
      <c r="H429">
        <v>9.5883405745967752E-11</v>
      </c>
      <c r="I429" t="s">
        <v>2231</v>
      </c>
      <c r="L429" t="s">
        <v>2295</v>
      </c>
    </row>
    <row r="430" spans="1:12" hidden="1" x14ac:dyDescent="0.25">
      <c r="A430" s="516">
        <v>405</v>
      </c>
      <c r="B430" t="s">
        <v>441</v>
      </c>
      <c r="C430" t="s">
        <v>432</v>
      </c>
      <c r="D430" t="s">
        <v>2271</v>
      </c>
      <c r="E430">
        <v>4</v>
      </c>
      <c r="F430">
        <v>1.8910346716780749E-3</v>
      </c>
      <c r="G430">
        <v>6.4287740265462531E-8</v>
      </c>
      <c r="H430">
        <v>3.3075811248947343E-11</v>
      </c>
      <c r="I430" t="s">
        <v>2260</v>
      </c>
      <c r="J430" t="s">
        <v>462</v>
      </c>
      <c r="K430" t="s">
        <v>1995</v>
      </c>
      <c r="L430" t="s">
        <v>2295</v>
      </c>
    </row>
    <row r="431" spans="1:12" x14ac:dyDescent="0.25">
      <c r="A431" s="516">
        <v>406</v>
      </c>
      <c r="B431" t="s">
        <v>441</v>
      </c>
      <c r="C431" t="s">
        <v>432</v>
      </c>
      <c r="D431" t="s">
        <v>2271</v>
      </c>
      <c r="E431">
        <v>3</v>
      </c>
      <c r="F431">
        <v>0.74393905026674978</v>
      </c>
      <c r="G431">
        <v>2.529100135136258E-5</v>
      </c>
      <c r="H431">
        <v>8.9945686730693111E-4</v>
      </c>
      <c r="I431" t="s">
        <v>460</v>
      </c>
      <c r="J431" t="s">
        <v>462</v>
      </c>
      <c r="K431" t="s">
        <v>417</v>
      </c>
      <c r="L431" t="str">
        <f>O12</f>
        <v>Casing, steel</v>
      </c>
    </row>
    <row r="432" spans="1:12" hidden="1" x14ac:dyDescent="0.25">
      <c r="A432" s="516">
        <v>407</v>
      </c>
      <c r="B432" t="s">
        <v>441</v>
      </c>
      <c r="C432" t="s">
        <v>432</v>
      </c>
      <c r="D432" t="s">
        <v>2271</v>
      </c>
      <c r="E432">
        <v>4</v>
      </c>
      <c r="F432">
        <v>9.0511823264414135E-2</v>
      </c>
      <c r="G432">
        <v>3.0770459537966011E-6</v>
      </c>
      <c r="H432">
        <v>1.172163618297076E-4</v>
      </c>
      <c r="I432" t="s">
        <v>580</v>
      </c>
      <c r="J432" t="s">
        <v>419</v>
      </c>
      <c r="K432" t="s">
        <v>417</v>
      </c>
      <c r="L432" t="s">
        <v>2295</v>
      </c>
    </row>
    <row r="433" spans="1:12" hidden="1" x14ac:dyDescent="0.25">
      <c r="A433" s="516">
        <v>408</v>
      </c>
      <c r="B433" t="s">
        <v>441</v>
      </c>
      <c r="C433" t="s">
        <v>432</v>
      </c>
      <c r="D433" t="s">
        <v>2271</v>
      </c>
      <c r="E433">
        <v>4</v>
      </c>
      <c r="F433">
        <v>0.64490715163426204</v>
      </c>
      <c r="G433">
        <v>2.1924306349609159E-5</v>
      </c>
      <c r="H433">
        <v>7.8224050547722357E-4</v>
      </c>
      <c r="I433" t="s">
        <v>580</v>
      </c>
      <c r="J433" t="s">
        <v>1992</v>
      </c>
      <c r="K433" t="s">
        <v>417</v>
      </c>
      <c r="L433" t="s">
        <v>2295</v>
      </c>
    </row>
    <row r="434" spans="1:12" hidden="1" x14ac:dyDescent="0.25">
      <c r="A434" s="516">
        <v>409</v>
      </c>
      <c r="B434" t="s">
        <v>441</v>
      </c>
      <c r="C434" t="s">
        <v>432</v>
      </c>
      <c r="D434" t="s">
        <v>2271</v>
      </c>
      <c r="E434">
        <v>4</v>
      </c>
      <c r="F434">
        <v>2.3248093588178042E-3</v>
      </c>
      <c r="G434">
        <v>7.9034373332652782E-8</v>
      </c>
      <c r="H434">
        <v>1.7116664184850899E-4</v>
      </c>
      <c r="I434" t="s">
        <v>2254</v>
      </c>
      <c r="J434" t="s">
        <v>462</v>
      </c>
      <c r="K434" t="s">
        <v>925</v>
      </c>
      <c r="L434" t="s">
        <v>2295</v>
      </c>
    </row>
    <row r="435" spans="1:12" hidden="1" x14ac:dyDescent="0.25">
      <c r="A435" s="516">
        <v>410</v>
      </c>
      <c r="B435" t="s">
        <v>441</v>
      </c>
      <c r="C435" t="s">
        <v>432</v>
      </c>
      <c r="D435" t="s">
        <v>2271</v>
      </c>
      <c r="E435">
        <v>4</v>
      </c>
      <c r="F435">
        <v>2.3846515453649481E-4</v>
      </c>
      <c r="G435">
        <v>8.1068772280106367E-9</v>
      </c>
      <c r="H435">
        <v>1.8079083032869311E-5</v>
      </c>
      <c r="I435" t="s">
        <v>2261</v>
      </c>
      <c r="J435" t="s">
        <v>462</v>
      </c>
      <c r="K435" t="s">
        <v>925</v>
      </c>
      <c r="L435" t="s">
        <v>2295</v>
      </c>
    </row>
    <row r="436" spans="1:12" hidden="1" x14ac:dyDescent="0.25">
      <c r="A436" s="516">
        <v>411</v>
      </c>
      <c r="B436" t="s">
        <v>441</v>
      </c>
      <c r="C436" t="s">
        <v>432</v>
      </c>
      <c r="D436" t="s">
        <v>2271</v>
      </c>
      <c r="E436">
        <v>4</v>
      </c>
      <c r="F436">
        <v>3.7753106671703902E-3</v>
      </c>
      <c r="G436">
        <v>1.283457121265293E-7</v>
      </c>
      <c r="H436">
        <v>1.8573784309888129E-4</v>
      </c>
      <c r="I436" t="s">
        <v>2255</v>
      </c>
      <c r="J436" t="s">
        <v>462</v>
      </c>
      <c r="K436" t="s">
        <v>925</v>
      </c>
      <c r="L436" t="s">
        <v>2295</v>
      </c>
    </row>
    <row r="437" spans="1:12" hidden="1" x14ac:dyDescent="0.25">
      <c r="A437" s="516">
        <v>412</v>
      </c>
      <c r="B437" t="s">
        <v>441</v>
      </c>
      <c r="C437" t="s">
        <v>432</v>
      </c>
      <c r="D437" t="s">
        <v>2271</v>
      </c>
      <c r="E437">
        <v>4</v>
      </c>
      <c r="F437">
        <v>2.181501190632794E-3</v>
      </c>
      <c r="G437">
        <v>7.4162459331191494E-8</v>
      </c>
      <c r="H437">
        <v>3.9657053279562588E-4</v>
      </c>
      <c r="I437" t="s">
        <v>2262</v>
      </c>
      <c r="J437" t="s">
        <v>462</v>
      </c>
      <c r="K437" t="s">
        <v>925</v>
      </c>
      <c r="L437" t="s">
        <v>2295</v>
      </c>
    </row>
    <row r="438" spans="1:12" x14ac:dyDescent="0.25">
      <c r="A438" s="516">
        <v>413</v>
      </c>
      <c r="B438" t="s">
        <v>441</v>
      </c>
      <c r="C438" t="s">
        <v>432</v>
      </c>
      <c r="D438" t="s">
        <v>2271</v>
      </c>
      <c r="E438">
        <v>3</v>
      </c>
      <c r="F438">
        <v>5.236701576546491E-2</v>
      </c>
      <c r="G438">
        <v>1.780272545198845E-6</v>
      </c>
      <c r="H438">
        <v>9.4973176160183628E-4</v>
      </c>
      <c r="I438" t="s">
        <v>1060</v>
      </c>
      <c r="J438" t="s">
        <v>459</v>
      </c>
      <c r="K438" t="s">
        <v>417</v>
      </c>
      <c r="L438" t="str">
        <f>O11</f>
        <v>Casing, cement</v>
      </c>
    </row>
    <row r="439" spans="1:12" hidden="1" x14ac:dyDescent="0.25">
      <c r="A439" s="516">
        <v>414</v>
      </c>
      <c r="B439" t="s">
        <v>441</v>
      </c>
      <c r="C439" t="s">
        <v>432</v>
      </c>
      <c r="D439" t="s">
        <v>2271</v>
      </c>
      <c r="E439">
        <v>4</v>
      </c>
      <c r="F439">
        <v>4.9208470651644499E-2</v>
      </c>
      <c r="G439">
        <v>1.6728944357780149E-6</v>
      </c>
      <c r="H439">
        <v>9.4973176160183628E-4</v>
      </c>
      <c r="I439" t="s">
        <v>2263</v>
      </c>
      <c r="J439" t="s">
        <v>459</v>
      </c>
      <c r="K439" t="s">
        <v>417</v>
      </c>
      <c r="L439" t="s">
        <v>2295</v>
      </c>
    </row>
    <row r="440" spans="1:12" hidden="1" x14ac:dyDescent="0.25">
      <c r="A440" s="516">
        <v>415</v>
      </c>
      <c r="B440" t="s">
        <v>441</v>
      </c>
      <c r="C440" t="s">
        <v>432</v>
      </c>
      <c r="D440" t="s">
        <v>2271</v>
      </c>
      <c r="E440">
        <v>4</v>
      </c>
      <c r="F440">
        <v>2.451623191868859E-4</v>
      </c>
      <c r="G440">
        <v>8.3345544821655394E-9</v>
      </c>
      <c r="H440">
        <v>2.3743294040045909E-5</v>
      </c>
      <c r="I440" t="s">
        <v>2264</v>
      </c>
      <c r="J440" t="s">
        <v>459</v>
      </c>
      <c r="K440" t="s">
        <v>925</v>
      </c>
      <c r="L440" t="s">
        <v>2295</v>
      </c>
    </row>
    <row r="441" spans="1:12" hidden="1" x14ac:dyDescent="0.25">
      <c r="A441" s="516">
        <v>416</v>
      </c>
      <c r="B441" t="s">
        <v>441</v>
      </c>
      <c r="C441" t="s">
        <v>432</v>
      </c>
      <c r="D441" t="s">
        <v>2271</v>
      </c>
      <c r="E441">
        <v>4</v>
      </c>
      <c r="F441">
        <v>8.6115525702601945E-4</v>
      </c>
      <c r="G441">
        <v>2.9275891299655139E-8</v>
      </c>
      <c r="H441">
        <v>3.13411481328606E-6</v>
      </c>
      <c r="I441" t="s">
        <v>2265</v>
      </c>
      <c r="J441" t="s">
        <v>459</v>
      </c>
      <c r="K441" t="s">
        <v>925</v>
      </c>
      <c r="L441" t="s">
        <v>2295</v>
      </c>
    </row>
    <row r="442" spans="1:12" hidden="1" x14ac:dyDescent="0.25">
      <c r="A442" s="516">
        <v>417</v>
      </c>
      <c r="B442" t="s">
        <v>441</v>
      </c>
      <c r="C442" t="s">
        <v>432</v>
      </c>
      <c r="D442" t="s">
        <v>2271</v>
      </c>
      <c r="E442">
        <v>4</v>
      </c>
      <c r="F442">
        <v>2.0522275562422799E-3</v>
      </c>
      <c r="G442">
        <v>6.9767664272518708E-8</v>
      </c>
      <c r="H442">
        <v>1.015263253152363E-4</v>
      </c>
      <c r="I442" t="s">
        <v>2266</v>
      </c>
      <c r="J442" t="s">
        <v>419</v>
      </c>
      <c r="K442" t="s">
        <v>925</v>
      </c>
      <c r="L442" t="s">
        <v>2295</v>
      </c>
    </row>
    <row r="443" spans="1:12" x14ac:dyDescent="0.25">
      <c r="A443" s="516">
        <v>418</v>
      </c>
      <c r="B443" t="s">
        <v>441</v>
      </c>
      <c r="C443" t="s">
        <v>432</v>
      </c>
      <c r="D443" t="s">
        <v>2271</v>
      </c>
      <c r="E443">
        <v>3</v>
      </c>
      <c r="F443">
        <v>5.5546116392997469E-6</v>
      </c>
      <c r="G443">
        <v>1.8883494612287461E-10</v>
      </c>
      <c r="H443">
        <v>3.7989270464073449E-4</v>
      </c>
      <c r="I443" t="s">
        <v>2231</v>
      </c>
    </row>
    <row r="444" spans="1:12" x14ac:dyDescent="0.25">
      <c r="A444" s="516">
        <v>419</v>
      </c>
      <c r="B444" t="s">
        <v>441</v>
      </c>
      <c r="C444" t="s">
        <v>432</v>
      </c>
      <c r="D444" t="s">
        <v>2271</v>
      </c>
      <c r="E444">
        <v>3</v>
      </c>
      <c r="F444">
        <v>0</v>
      </c>
      <c r="G444">
        <v>0</v>
      </c>
      <c r="H444">
        <v>0</v>
      </c>
      <c r="I444" t="s">
        <v>2231</v>
      </c>
    </row>
    <row r="445" spans="1:12" x14ac:dyDescent="0.25">
      <c r="A445" s="516">
        <v>420</v>
      </c>
      <c r="B445" t="s">
        <v>441</v>
      </c>
      <c r="C445" t="s">
        <v>432</v>
      </c>
      <c r="D445" t="s">
        <v>2271</v>
      </c>
      <c r="E445">
        <v>3</v>
      </c>
      <c r="F445">
        <v>0</v>
      </c>
      <c r="G445">
        <v>0</v>
      </c>
      <c r="H445">
        <v>0</v>
      </c>
      <c r="I445" t="s">
        <v>2231</v>
      </c>
    </row>
    <row r="446" spans="1:12" x14ac:dyDescent="0.25">
      <c r="A446" s="516">
        <v>421</v>
      </c>
      <c r="B446" t="s">
        <v>441</v>
      </c>
      <c r="C446" t="s">
        <v>432</v>
      </c>
      <c r="D446" t="s">
        <v>2271</v>
      </c>
      <c r="E446">
        <v>3</v>
      </c>
      <c r="F446">
        <v>0</v>
      </c>
      <c r="G446">
        <v>0</v>
      </c>
      <c r="H446">
        <v>0</v>
      </c>
      <c r="I446" t="s">
        <v>2231</v>
      </c>
    </row>
    <row r="447" spans="1:12" x14ac:dyDescent="0.25">
      <c r="A447" s="516">
        <v>422</v>
      </c>
      <c r="B447" t="s">
        <v>441</v>
      </c>
      <c r="C447" t="s">
        <v>432</v>
      </c>
      <c r="D447" t="s">
        <v>2271</v>
      </c>
      <c r="E447">
        <v>3</v>
      </c>
      <c r="F447">
        <v>8.7808620807859703E-4</v>
      </c>
      <c r="G447">
        <v>2.9851477035875131E-8</v>
      </c>
      <c r="H447">
        <v>3.2613403314955022E-4</v>
      </c>
      <c r="I447" t="s">
        <v>1069</v>
      </c>
      <c r="J447" t="s">
        <v>462</v>
      </c>
      <c r="K447" t="s">
        <v>434</v>
      </c>
      <c r="L447" s="308" t="s">
        <v>827</v>
      </c>
    </row>
    <row r="448" spans="1:12" hidden="1" x14ac:dyDescent="0.25">
      <c r="A448" s="516">
        <v>423</v>
      </c>
      <c r="B448" t="s">
        <v>441</v>
      </c>
      <c r="C448" t="s">
        <v>432</v>
      </c>
      <c r="D448" t="s">
        <v>2271</v>
      </c>
      <c r="E448">
        <v>4</v>
      </c>
      <c r="F448">
        <v>8.5135548928137251E-4</v>
      </c>
      <c r="G448">
        <v>2.894273774469114E-8</v>
      </c>
      <c r="H448">
        <v>7.6315364083128775E-6</v>
      </c>
      <c r="I448" t="s">
        <v>2267</v>
      </c>
      <c r="J448" t="s">
        <v>462</v>
      </c>
      <c r="K448" t="s">
        <v>417</v>
      </c>
      <c r="L448" t="s">
        <v>2295</v>
      </c>
    </row>
    <row r="449" spans="1:12" hidden="1" x14ac:dyDescent="0.25">
      <c r="A449" s="516">
        <v>424</v>
      </c>
      <c r="B449" t="s">
        <v>441</v>
      </c>
      <c r="C449" t="s">
        <v>432</v>
      </c>
      <c r="D449" t="s">
        <v>2271</v>
      </c>
      <c r="E449">
        <v>4</v>
      </c>
      <c r="F449">
        <v>2.1394743396260479E-5</v>
      </c>
      <c r="G449">
        <v>7.2733711713730097E-10</v>
      </c>
      <c r="H449">
        <v>6.033479645880081E-14</v>
      </c>
      <c r="I449" t="s">
        <v>2231</v>
      </c>
      <c r="L449" t="s">
        <v>2295</v>
      </c>
    </row>
    <row r="450" spans="1:12" hidden="1" x14ac:dyDescent="0.25">
      <c r="A450" s="516">
        <v>425</v>
      </c>
      <c r="B450" t="s">
        <v>441</v>
      </c>
      <c r="C450" t="s">
        <v>432</v>
      </c>
      <c r="D450" t="s">
        <v>2271</v>
      </c>
      <c r="E450">
        <v>4</v>
      </c>
      <c r="F450">
        <v>7.7934747630439987E-7</v>
      </c>
      <c r="G450">
        <v>2.6494748554102819E-11</v>
      </c>
      <c r="H450">
        <v>3.8020705641319267E-9</v>
      </c>
      <c r="I450" t="s">
        <v>2231</v>
      </c>
      <c r="L450" t="s">
        <v>2295</v>
      </c>
    </row>
    <row r="451" spans="1:12" hidden="1" x14ac:dyDescent="0.25">
      <c r="A451" s="516">
        <v>426</v>
      </c>
      <c r="B451" t="s">
        <v>441</v>
      </c>
      <c r="C451" t="s">
        <v>432</v>
      </c>
      <c r="D451" t="s">
        <v>2271</v>
      </c>
      <c r="E451">
        <v>4</v>
      </c>
      <c r="F451">
        <v>4.4341053258431249E-6</v>
      </c>
      <c r="G451">
        <v>1.5074213908756639E-10</v>
      </c>
      <c r="H451">
        <v>1.8048909689501339E-8</v>
      </c>
      <c r="I451" t="s">
        <v>2231</v>
      </c>
      <c r="L451" t="s">
        <v>2295</v>
      </c>
    </row>
    <row r="452" spans="1:12" hidden="1" x14ac:dyDescent="0.25">
      <c r="A452" s="516">
        <v>427</v>
      </c>
      <c r="B452" t="s">
        <v>441</v>
      </c>
      <c r="C452" t="s">
        <v>432</v>
      </c>
      <c r="D452" t="s">
        <v>2271</v>
      </c>
      <c r="E452">
        <v>4</v>
      </c>
      <c r="F452">
        <v>9.6864055627280697E-10</v>
      </c>
      <c r="G452">
        <v>3.2929968670008778E-14</v>
      </c>
      <c r="H452">
        <v>-1.4848420681396731E-10</v>
      </c>
      <c r="I452" t="s">
        <v>2231</v>
      </c>
      <c r="L452" t="s">
        <v>2295</v>
      </c>
    </row>
    <row r="453" spans="1:12" hidden="1" x14ac:dyDescent="0.25">
      <c r="A453" s="516">
        <v>428</v>
      </c>
      <c r="B453" t="s">
        <v>441</v>
      </c>
      <c r="C453" t="s">
        <v>432</v>
      </c>
      <c r="D453" t="s">
        <v>2271</v>
      </c>
      <c r="E453">
        <v>4</v>
      </c>
      <c r="F453">
        <v>8.432591833145195E-8</v>
      </c>
      <c r="G453">
        <v>2.8667495189437049E-12</v>
      </c>
      <c r="H453">
        <v>-1.5704593544881591E-8</v>
      </c>
      <c r="I453" t="s">
        <v>2231</v>
      </c>
      <c r="L453" t="s">
        <v>2295</v>
      </c>
    </row>
    <row r="454" spans="1:12" hidden="1" x14ac:dyDescent="0.25">
      <c r="A454" s="516">
        <v>429</v>
      </c>
      <c r="B454" t="s">
        <v>441</v>
      </c>
      <c r="C454" t="s">
        <v>432</v>
      </c>
      <c r="D454" t="s">
        <v>2271</v>
      </c>
      <c r="E454">
        <v>4</v>
      </c>
      <c r="F454">
        <v>3.7254743154924522E-8</v>
      </c>
      <c r="G454">
        <v>1.2665147220568929E-12</v>
      </c>
      <c r="H454">
        <v>-5.9979024725856444E-9</v>
      </c>
      <c r="I454" t="s">
        <v>2231</v>
      </c>
      <c r="L454" t="s">
        <v>2295</v>
      </c>
    </row>
    <row r="455" spans="1:12" x14ac:dyDescent="0.25">
      <c r="A455" s="516">
        <v>430</v>
      </c>
      <c r="B455" t="s">
        <v>441</v>
      </c>
      <c r="C455" t="s">
        <v>432</v>
      </c>
      <c r="D455" t="s">
        <v>2271</v>
      </c>
      <c r="E455">
        <v>3</v>
      </c>
      <c r="F455">
        <v>4.1207286903212868E-3</v>
      </c>
      <c r="G455">
        <v>1.4008856617776089E-7</v>
      </c>
      <c r="H455">
        <v>-3.4494136018575578E-3</v>
      </c>
      <c r="I455" t="s">
        <v>1073</v>
      </c>
      <c r="J455" t="s">
        <v>432</v>
      </c>
      <c r="K455" t="s">
        <v>417</v>
      </c>
      <c r="L455" t="str">
        <f>O17</f>
        <v>Drilling waste</v>
      </c>
    </row>
    <row r="456" spans="1:12" hidden="1" x14ac:dyDescent="0.25">
      <c r="A456" s="516">
        <v>431</v>
      </c>
      <c r="B456" t="s">
        <v>441</v>
      </c>
      <c r="C456" t="s">
        <v>432</v>
      </c>
      <c r="D456" t="s">
        <v>2271</v>
      </c>
      <c r="E456">
        <v>4</v>
      </c>
      <c r="F456">
        <v>-6.592134580927358E-4</v>
      </c>
      <c r="G456">
        <v>-2.2410664493928281E-8</v>
      </c>
      <c r="H456">
        <v>2.0696481611145348E-3</v>
      </c>
      <c r="I456" t="s">
        <v>2268</v>
      </c>
      <c r="J456" t="s">
        <v>432</v>
      </c>
      <c r="K456" t="s">
        <v>417</v>
      </c>
      <c r="L456" t="s">
        <v>2295</v>
      </c>
    </row>
    <row r="457" spans="1:12" hidden="1" x14ac:dyDescent="0.25">
      <c r="A457" s="516">
        <v>432</v>
      </c>
      <c r="B457" t="s">
        <v>441</v>
      </c>
      <c r="C457" t="s">
        <v>432</v>
      </c>
      <c r="D457" t="s">
        <v>2271</v>
      </c>
      <c r="E457">
        <v>4</v>
      </c>
      <c r="F457">
        <v>-1.6255076668678251E-3</v>
      </c>
      <c r="G457">
        <v>-5.5260866578604227E-8</v>
      </c>
      <c r="H457">
        <v>1.3797654407430231E-3</v>
      </c>
      <c r="I457" t="s">
        <v>2269</v>
      </c>
      <c r="J457" t="s">
        <v>432</v>
      </c>
      <c r="K457" t="s">
        <v>417</v>
      </c>
      <c r="L457" t="s">
        <v>2295</v>
      </c>
    </row>
    <row r="458" spans="1:12" hidden="1" x14ac:dyDescent="0.25">
      <c r="A458" s="516">
        <v>433</v>
      </c>
      <c r="B458" t="s">
        <v>441</v>
      </c>
      <c r="C458" t="s">
        <v>432</v>
      </c>
      <c r="D458" t="s">
        <v>2271</v>
      </c>
      <c r="E458">
        <v>4</v>
      </c>
      <c r="F458">
        <v>-3.9179438346242732E-5</v>
      </c>
      <c r="G458">
        <v>-1.331946787583143E-9</v>
      </c>
      <c r="H458">
        <v>-1.227991242261291E-5</v>
      </c>
      <c r="I458" t="s">
        <v>2231</v>
      </c>
      <c r="L458" t="s">
        <v>2295</v>
      </c>
    </row>
    <row r="459" spans="1:12" hidden="1" x14ac:dyDescent="0.25">
      <c r="A459" s="516">
        <v>434</v>
      </c>
      <c r="B459" t="s">
        <v>441</v>
      </c>
      <c r="C459" t="s">
        <v>432</v>
      </c>
      <c r="D459" t="s">
        <v>2271</v>
      </c>
      <c r="E459">
        <v>4</v>
      </c>
      <c r="F459">
        <v>-1.7968281277460671E-3</v>
      </c>
      <c r="G459">
        <v>-6.108508834251627E-8</v>
      </c>
      <c r="H459">
        <v>-8.8891388519869285E-5</v>
      </c>
      <c r="I459" t="s">
        <v>2266</v>
      </c>
      <c r="J459" t="s">
        <v>419</v>
      </c>
      <c r="K459" t="s">
        <v>925</v>
      </c>
      <c r="L459" t="s">
        <v>2295</v>
      </c>
    </row>
    <row r="460" spans="1:12" x14ac:dyDescent="0.25">
      <c r="A460" s="516">
        <v>435</v>
      </c>
      <c r="B460" t="s">
        <v>441</v>
      </c>
      <c r="C460" t="s">
        <v>432</v>
      </c>
      <c r="D460" t="s">
        <v>2271</v>
      </c>
      <c r="E460">
        <v>3</v>
      </c>
      <c r="F460">
        <v>4.3709686551039302E-2</v>
      </c>
      <c r="G460">
        <v>1.485957406367619E-6</v>
      </c>
      <c r="H460">
        <v>2.4911397180329472E-10</v>
      </c>
      <c r="I460" t="s">
        <v>1038</v>
      </c>
      <c r="J460" t="s">
        <v>432</v>
      </c>
      <c r="K460" t="s">
        <v>416</v>
      </c>
      <c r="L460" t="str">
        <f>O22</f>
        <v>Drilling equipment</v>
      </c>
    </row>
    <row r="461" spans="1:12" hidden="1" x14ac:dyDescent="0.25">
      <c r="A461" s="516">
        <v>436</v>
      </c>
      <c r="B461" t="s">
        <v>441</v>
      </c>
      <c r="C461" t="s">
        <v>432</v>
      </c>
      <c r="D461" t="s">
        <v>2271</v>
      </c>
      <c r="E461">
        <v>4</v>
      </c>
      <c r="F461">
        <v>1.4422918188671361E-3</v>
      </c>
      <c r="G461">
        <v>4.9032248444208679E-8</v>
      </c>
      <c r="H461">
        <v>1.743797802623063E-6</v>
      </c>
      <c r="I461" t="s">
        <v>460</v>
      </c>
      <c r="J461" t="s">
        <v>462</v>
      </c>
      <c r="K461" t="s">
        <v>417</v>
      </c>
      <c r="L461" t="s">
        <v>2295</v>
      </c>
    </row>
    <row r="462" spans="1:12" hidden="1" x14ac:dyDescent="0.25">
      <c r="A462" s="516">
        <v>437</v>
      </c>
      <c r="B462" t="s">
        <v>441</v>
      </c>
      <c r="C462" t="s">
        <v>432</v>
      </c>
      <c r="D462" t="s">
        <v>2271</v>
      </c>
      <c r="E462">
        <v>4</v>
      </c>
      <c r="F462">
        <v>5.7005443736779489E-3</v>
      </c>
      <c r="G462">
        <v>1.9379608505091411E-7</v>
      </c>
      <c r="H462">
        <v>7.4734191540988415E-7</v>
      </c>
      <c r="I462" t="s">
        <v>1494</v>
      </c>
      <c r="J462" t="s">
        <v>462</v>
      </c>
      <c r="K462" t="s">
        <v>417</v>
      </c>
      <c r="L462" t="s">
        <v>2295</v>
      </c>
    </row>
    <row r="463" spans="1:12" hidden="1" x14ac:dyDescent="0.25">
      <c r="A463" s="516">
        <v>438</v>
      </c>
      <c r="B463" t="s">
        <v>441</v>
      </c>
      <c r="C463" t="s">
        <v>432</v>
      </c>
      <c r="D463" t="s">
        <v>2271</v>
      </c>
      <c r="E463">
        <v>4</v>
      </c>
      <c r="F463">
        <v>1.373583133285779E-2</v>
      </c>
      <c r="G463">
        <v>4.669642340684121E-7</v>
      </c>
      <c r="H463">
        <v>2.4911397180329471E-4</v>
      </c>
      <c r="I463" t="s">
        <v>1060</v>
      </c>
      <c r="J463" t="s">
        <v>459</v>
      </c>
      <c r="K463" t="s">
        <v>417</v>
      </c>
      <c r="L463" t="s">
        <v>2295</v>
      </c>
    </row>
    <row r="464" spans="1:12" hidden="1" x14ac:dyDescent="0.25">
      <c r="A464" s="516">
        <v>439</v>
      </c>
      <c r="B464" t="s">
        <v>441</v>
      </c>
      <c r="C464" t="s">
        <v>432</v>
      </c>
      <c r="D464" t="s">
        <v>2271</v>
      </c>
      <c r="E464">
        <v>4</v>
      </c>
      <c r="F464">
        <v>1.94445723744174E-2</v>
      </c>
      <c r="G464">
        <v>6.6103897358490052E-7</v>
      </c>
      <c r="H464">
        <v>7.4734191540988412E-5</v>
      </c>
      <c r="I464" t="s">
        <v>1105</v>
      </c>
      <c r="J464" t="s">
        <v>462</v>
      </c>
      <c r="K464" t="s">
        <v>417</v>
      </c>
      <c r="L464" t="s">
        <v>2295</v>
      </c>
    </row>
    <row r="465" spans="1:12" hidden="1" x14ac:dyDescent="0.25">
      <c r="A465" s="516">
        <v>440</v>
      </c>
      <c r="B465" t="s">
        <v>441</v>
      </c>
      <c r="C465" t="s">
        <v>432</v>
      </c>
      <c r="D465" t="s">
        <v>2271</v>
      </c>
      <c r="E465">
        <v>4</v>
      </c>
      <c r="F465">
        <v>1.821213398398066E-6</v>
      </c>
      <c r="G465">
        <v>6.1914091622814474E-11</v>
      </c>
      <c r="H465">
        <v>1.2455698590164741E-4</v>
      </c>
      <c r="I465" t="s">
        <v>2231</v>
      </c>
      <c r="L465" t="s">
        <v>2295</v>
      </c>
    </row>
    <row r="466" spans="1:12" hidden="1" x14ac:dyDescent="0.25">
      <c r="A466" s="516">
        <v>441</v>
      </c>
      <c r="B466" t="s">
        <v>441</v>
      </c>
      <c r="C466" t="s">
        <v>432</v>
      </c>
      <c r="D466" t="s">
        <v>2271</v>
      </c>
      <c r="E466">
        <v>4</v>
      </c>
      <c r="F466">
        <v>1.0795938230537239E-3</v>
      </c>
      <c r="G466">
        <v>3.6701943294930108E-8</v>
      </c>
      <c r="H466">
        <v>1.1210128731148261E-3</v>
      </c>
      <c r="I466" t="s">
        <v>1107</v>
      </c>
      <c r="J466" t="s">
        <v>432</v>
      </c>
      <c r="K466" t="s">
        <v>417</v>
      </c>
      <c r="L466" t="s">
        <v>2295</v>
      </c>
    </row>
    <row r="467" spans="1:12" hidden="1" x14ac:dyDescent="0.25">
      <c r="A467" s="516">
        <v>442</v>
      </c>
      <c r="B467" t="s">
        <v>441</v>
      </c>
      <c r="C467" t="s">
        <v>432</v>
      </c>
      <c r="D467" t="s">
        <v>2271</v>
      </c>
      <c r="E467">
        <v>4</v>
      </c>
      <c r="F467">
        <v>1.2457691213889249E-4</v>
      </c>
      <c r="G467">
        <v>4.2351249771383687E-9</v>
      </c>
      <c r="H467">
        <v>-6.7260772386889571E-5</v>
      </c>
      <c r="I467" t="s">
        <v>533</v>
      </c>
      <c r="J467" t="s">
        <v>432</v>
      </c>
      <c r="K467" t="s">
        <v>417</v>
      </c>
      <c r="L467" t="s">
        <v>2295</v>
      </c>
    </row>
    <row r="468" spans="1:12" hidden="1" x14ac:dyDescent="0.25">
      <c r="A468" s="516">
        <v>443</v>
      </c>
      <c r="B468" t="s">
        <v>441</v>
      </c>
      <c r="C468" t="s">
        <v>432</v>
      </c>
      <c r="D468" t="s">
        <v>2271</v>
      </c>
      <c r="E468">
        <v>4</v>
      </c>
      <c r="F468">
        <v>2.1657990240091561E-3</v>
      </c>
      <c r="G468">
        <v>7.3628647432010567E-8</v>
      </c>
      <c r="H468">
        <v>-1.3452154477377909E-3</v>
      </c>
      <c r="I468" t="s">
        <v>1448</v>
      </c>
      <c r="J468" t="s">
        <v>432</v>
      </c>
      <c r="K468" t="s">
        <v>417</v>
      </c>
      <c r="L468" t="s">
        <v>2295</v>
      </c>
    </row>
    <row r="469" spans="1:12" hidden="1" x14ac:dyDescent="0.25">
      <c r="A469" s="516">
        <v>444</v>
      </c>
      <c r="B469" t="s">
        <v>441</v>
      </c>
      <c r="C469" t="s">
        <v>432</v>
      </c>
      <c r="D469" t="s">
        <v>2271</v>
      </c>
      <c r="E469">
        <v>4</v>
      </c>
      <c r="F469">
        <v>1.4655678618856109E-5</v>
      </c>
      <c r="G469">
        <v>4.9823542348223454E-10</v>
      </c>
      <c r="H469">
        <v>-7.4734191540988415E-7</v>
      </c>
      <c r="I469" t="s">
        <v>2231</v>
      </c>
      <c r="L469" t="s">
        <v>2295</v>
      </c>
    </row>
    <row r="470" spans="1:12" x14ac:dyDescent="0.25">
      <c r="A470" s="568">
        <v>445</v>
      </c>
      <c r="B470" s="417" t="s">
        <v>441</v>
      </c>
      <c r="C470" s="417" t="s">
        <v>432</v>
      </c>
      <c r="D470" s="417" t="s">
        <v>2271</v>
      </c>
      <c r="E470" s="417">
        <v>2</v>
      </c>
      <c r="F470" s="417">
        <v>3.9944754171932897E-2</v>
      </c>
      <c r="G470" s="417">
        <v>1.357964515211245E-6</v>
      </c>
      <c r="H470" s="417">
        <v>4.7082540670822703E-5</v>
      </c>
      <c r="I470" s="417" t="s">
        <v>2091</v>
      </c>
      <c r="J470" s="417" t="s">
        <v>432</v>
      </c>
      <c r="K470" s="417" t="s">
        <v>1047</v>
      </c>
    </row>
    <row r="471" spans="1:12" x14ac:dyDescent="0.25">
      <c r="A471" s="516">
        <v>446</v>
      </c>
      <c r="B471" t="s">
        <v>441</v>
      </c>
      <c r="C471" t="s">
        <v>432</v>
      </c>
      <c r="D471" t="s">
        <v>2271</v>
      </c>
      <c r="E471">
        <v>3</v>
      </c>
      <c r="F471">
        <v>3.2130052121143657E-2</v>
      </c>
      <c r="G471">
        <v>1.0922953853865111E-6</v>
      </c>
      <c r="H471">
        <v>9.2281779714812485E-3</v>
      </c>
      <c r="I471" t="s">
        <v>1034</v>
      </c>
      <c r="J471" t="s">
        <v>432</v>
      </c>
      <c r="K471" t="s">
        <v>433</v>
      </c>
      <c r="L471" t="str">
        <f>O15</f>
        <v>Energy use, horizontal</v>
      </c>
    </row>
    <row r="472" spans="1:12" hidden="1" x14ac:dyDescent="0.25">
      <c r="A472" s="516">
        <v>447</v>
      </c>
      <c r="B472" t="s">
        <v>441</v>
      </c>
      <c r="C472" t="s">
        <v>432</v>
      </c>
      <c r="D472" t="s">
        <v>2271</v>
      </c>
      <c r="E472">
        <v>4</v>
      </c>
      <c r="F472">
        <v>1.2082380405245001E-4</v>
      </c>
      <c r="G472">
        <v>4.107534065420544E-9</v>
      </c>
      <c r="H472">
        <v>3.4702202249265933E-5</v>
      </c>
      <c r="I472" t="s">
        <v>2270</v>
      </c>
      <c r="L472" t="s">
        <v>2295</v>
      </c>
    </row>
    <row r="473" spans="1:12" hidden="1" x14ac:dyDescent="0.25">
      <c r="A473" s="516">
        <v>448</v>
      </c>
      <c r="B473" t="s">
        <v>441</v>
      </c>
      <c r="C473" t="s">
        <v>432</v>
      </c>
      <c r="D473" t="s">
        <v>2271</v>
      </c>
      <c r="E473">
        <v>4</v>
      </c>
      <c r="F473">
        <v>7.0059298278972934E-5</v>
      </c>
      <c r="G473">
        <v>2.381740556318007E-9</v>
      </c>
      <c r="H473">
        <v>6.5928035381349892E-5</v>
      </c>
      <c r="I473" t="s">
        <v>2231</v>
      </c>
      <c r="L473" t="s">
        <v>2295</v>
      </c>
    </row>
    <row r="474" spans="1:12" hidden="1" x14ac:dyDescent="0.25">
      <c r="A474" s="516">
        <v>449</v>
      </c>
      <c r="B474" t="s">
        <v>441</v>
      </c>
      <c r="C474" t="s">
        <v>432</v>
      </c>
      <c r="D474" t="s">
        <v>2271</v>
      </c>
      <c r="E474">
        <v>4</v>
      </c>
      <c r="F474">
        <v>2.211025099464816E-2</v>
      </c>
      <c r="G474">
        <v>7.516615609626982E-7</v>
      </c>
      <c r="H474">
        <v>9.162249936099898E-3</v>
      </c>
      <c r="I474" t="s">
        <v>2259</v>
      </c>
      <c r="J474" t="s">
        <v>432</v>
      </c>
      <c r="K474" t="s">
        <v>433</v>
      </c>
      <c r="L474" t="s">
        <v>2295</v>
      </c>
    </row>
    <row r="475" spans="1:12" hidden="1" x14ac:dyDescent="0.25">
      <c r="A475" s="516">
        <v>450</v>
      </c>
      <c r="B475" t="s">
        <v>441</v>
      </c>
      <c r="C475" t="s">
        <v>432</v>
      </c>
      <c r="D475" t="s">
        <v>2271</v>
      </c>
      <c r="E475">
        <v>4</v>
      </c>
      <c r="F475">
        <v>9.0417235824814535E-7</v>
      </c>
      <c r="G475">
        <v>3.0738303529192472E-11</v>
      </c>
      <c r="H475">
        <v>4.9832161045998741E-10</v>
      </c>
      <c r="I475" t="s">
        <v>2231</v>
      </c>
      <c r="L475" t="s">
        <v>2295</v>
      </c>
    </row>
    <row r="476" spans="1:12" hidden="1" x14ac:dyDescent="0.25">
      <c r="A476" s="516">
        <v>451</v>
      </c>
      <c r="B476" t="s">
        <v>441</v>
      </c>
      <c r="C476" t="s">
        <v>432</v>
      </c>
      <c r="D476" t="s">
        <v>2271</v>
      </c>
      <c r="E476">
        <v>4</v>
      </c>
      <c r="F476">
        <v>9.8280138851442791E-3</v>
      </c>
      <c r="G476">
        <v>3.3411381263192102E-7</v>
      </c>
      <c r="H476">
        <v>1.719003554433E-10</v>
      </c>
      <c r="I476" t="s">
        <v>2260</v>
      </c>
      <c r="J476" t="s">
        <v>462</v>
      </c>
      <c r="K476" t="s">
        <v>1995</v>
      </c>
      <c r="L476" t="s">
        <v>2295</v>
      </c>
    </row>
    <row r="477" spans="1:12" x14ac:dyDescent="0.25">
      <c r="A477" s="516">
        <v>452</v>
      </c>
      <c r="B477" t="s">
        <v>441</v>
      </c>
      <c r="C477" t="s">
        <v>432</v>
      </c>
      <c r="D477" t="s">
        <v>2271</v>
      </c>
      <c r="E477">
        <v>3</v>
      </c>
      <c r="F477">
        <v>4.5635564353202164E-3</v>
      </c>
      <c r="G477">
        <v>1.5514296760106709E-7</v>
      </c>
      <c r="H477">
        <v>1.6949714641496169E-3</v>
      </c>
      <c r="I477" t="s">
        <v>1069</v>
      </c>
      <c r="J477" t="s">
        <v>462</v>
      </c>
      <c r="K477" t="s">
        <v>434</v>
      </c>
      <c r="L477" t="str">
        <f>O16</f>
        <v>Energy use, horizontal</v>
      </c>
    </row>
    <row r="478" spans="1:12" hidden="1" x14ac:dyDescent="0.25">
      <c r="A478" s="516">
        <v>453</v>
      </c>
      <c r="B478" t="s">
        <v>441</v>
      </c>
      <c r="C478" t="s">
        <v>432</v>
      </c>
      <c r="D478" t="s">
        <v>2271</v>
      </c>
      <c r="E478">
        <v>4</v>
      </c>
      <c r="F478">
        <v>4.4246325544239004E-3</v>
      </c>
      <c r="G478">
        <v>1.504201021213945E-7</v>
      </c>
      <c r="H478">
        <v>3.9662332430598193E-5</v>
      </c>
      <c r="I478" t="s">
        <v>2267</v>
      </c>
      <c r="J478" t="s">
        <v>462</v>
      </c>
      <c r="K478" t="s">
        <v>417</v>
      </c>
      <c r="L478" t="s">
        <v>2295</v>
      </c>
    </row>
    <row r="479" spans="1:12" hidden="1" x14ac:dyDescent="0.25">
      <c r="A479" s="516">
        <v>454</v>
      </c>
      <c r="B479" t="s">
        <v>441</v>
      </c>
      <c r="C479" t="s">
        <v>432</v>
      </c>
      <c r="D479" t="s">
        <v>2271</v>
      </c>
      <c r="E479">
        <v>4</v>
      </c>
      <c r="F479">
        <v>1.111919513252277E-4</v>
      </c>
      <c r="G479">
        <v>3.7800889605386871E-9</v>
      </c>
      <c r="H479">
        <v>3.1356972256265062E-13</v>
      </c>
      <c r="I479" t="s">
        <v>2278</v>
      </c>
      <c r="J479" t="s">
        <v>462</v>
      </c>
      <c r="K479" t="s">
        <v>416</v>
      </c>
      <c r="L479" t="s">
        <v>2295</v>
      </c>
    </row>
    <row r="480" spans="1:12" hidden="1" x14ac:dyDescent="0.25">
      <c r="A480" s="516">
        <v>455</v>
      </c>
      <c r="B480" t="s">
        <v>441</v>
      </c>
      <c r="C480" t="s">
        <v>432</v>
      </c>
      <c r="D480" t="s">
        <v>2271</v>
      </c>
      <c r="E480">
        <v>4</v>
      </c>
      <c r="F480">
        <v>4.0503952324020034E-6</v>
      </c>
      <c r="G480">
        <v>1.3769750527210639E-10</v>
      </c>
      <c r="H480">
        <v>1.9759977358547381E-8</v>
      </c>
      <c r="I480" t="s">
        <v>2231</v>
      </c>
      <c r="L480" t="s">
        <v>2295</v>
      </c>
    </row>
    <row r="481" spans="1:12" hidden="1" x14ac:dyDescent="0.25">
      <c r="A481" s="516">
        <v>456</v>
      </c>
      <c r="B481" t="s">
        <v>441</v>
      </c>
      <c r="C481" t="s">
        <v>432</v>
      </c>
      <c r="D481" t="s">
        <v>2271</v>
      </c>
      <c r="E481">
        <v>4</v>
      </c>
      <c r="F481">
        <v>2.304476452137576E-5</v>
      </c>
      <c r="G481">
        <v>7.8343134487021034E-10</v>
      </c>
      <c r="H481">
        <v>9.3803110908974122E-8</v>
      </c>
      <c r="I481" t="s">
        <v>2231</v>
      </c>
      <c r="L481" t="s">
        <v>2295</v>
      </c>
    </row>
    <row r="482" spans="1:12" hidden="1" x14ac:dyDescent="0.25">
      <c r="A482" s="516">
        <v>457</v>
      </c>
      <c r="B482" t="s">
        <v>441</v>
      </c>
      <c r="C482" t="s">
        <v>432</v>
      </c>
      <c r="D482" t="s">
        <v>2271</v>
      </c>
      <c r="E482">
        <v>4</v>
      </c>
      <c r="F482">
        <v>5.0341820693934074E-9</v>
      </c>
      <c r="G482">
        <v>1.7114238790715679E-13</v>
      </c>
      <c r="H482">
        <v>-7.716965046427933E-10</v>
      </c>
      <c r="I482" t="s">
        <v>2231</v>
      </c>
      <c r="L482" t="s">
        <v>2295</v>
      </c>
    </row>
    <row r="483" spans="1:12" hidden="1" x14ac:dyDescent="0.25">
      <c r="A483" s="516">
        <v>458</v>
      </c>
      <c r="B483" t="s">
        <v>441</v>
      </c>
      <c r="C483" t="s">
        <v>432</v>
      </c>
      <c r="D483" t="s">
        <v>2271</v>
      </c>
      <c r="E483">
        <v>4</v>
      </c>
      <c r="F483">
        <v>4.3825547392191659E-7</v>
      </c>
      <c r="G483">
        <v>1.4898962192167411E-11</v>
      </c>
      <c r="H483">
        <v>-8.1619319693741971E-8</v>
      </c>
      <c r="I483" t="s">
        <v>2231</v>
      </c>
      <c r="L483" t="s">
        <v>2295</v>
      </c>
    </row>
    <row r="484" spans="1:12" hidden="1" x14ac:dyDescent="0.25">
      <c r="A484" s="516">
        <v>459</v>
      </c>
      <c r="B484" t="s">
        <v>441</v>
      </c>
      <c r="C484" t="s">
        <v>432</v>
      </c>
      <c r="D484" t="s">
        <v>2271</v>
      </c>
      <c r="E484">
        <v>4</v>
      </c>
      <c r="F484">
        <v>1.936189423164697E-7</v>
      </c>
      <c r="G484">
        <v>6.5822824195334346E-12</v>
      </c>
      <c r="H484">
        <v>-3.1172071916589303E-8</v>
      </c>
      <c r="I484" t="s">
        <v>2231</v>
      </c>
      <c r="L484" t="s">
        <v>2295</v>
      </c>
    </row>
    <row r="485" spans="1:12" x14ac:dyDescent="0.25">
      <c r="A485" s="516">
        <v>460</v>
      </c>
      <c r="B485" t="s">
        <v>441</v>
      </c>
      <c r="C485" t="s">
        <v>432</v>
      </c>
      <c r="D485" t="s">
        <v>2271</v>
      </c>
      <c r="E485">
        <v>3</v>
      </c>
      <c r="F485">
        <v>3.2511456948702811E-3</v>
      </c>
      <c r="G485">
        <v>1.105261649229975E-7</v>
      </c>
      <c r="H485">
        <v>-2.7214958868432108E-3</v>
      </c>
      <c r="I485" t="s">
        <v>1073</v>
      </c>
      <c r="J485" t="s">
        <v>432</v>
      </c>
      <c r="K485" t="s">
        <v>417</v>
      </c>
      <c r="L485" t="str">
        <f>O17</f>
        <v>Drilling waste</v>
      </c>
    </row>
    <row r="486" spans="1:12" hidden="1" x14ac:dyDescent="0.25">
      <c r="A486" s="516">
        <v>461</v>
      </c>
      <c r="B486" t="s">
        <v>441</v>
      </c>
      <c r="C486" t="s">
        <v>432</v>
      </c>
      <c r="D486" t="s">
        <v>2271</v>
      </c>
      <c r="E486">
        <v>4</v>
      </c>
      <c r="F486">
        <v>-5.2010194248232604E-4</v>
      </c>
      <c r="G486">
        <v>-1.7681420172056161E-8</v>
      </c>
      <c r="H486">
        <v>1.6328975321059269E-3</v>
      </c>
      <c r="I486" t="s">
        <v>2268</v>
      </c>
      <c r="J486" t="s">
        <v>432</v>
      </c>
      <c r="K486" t="s">
        <v>417</v>
      </c>
      <c r="L486" t="s">
        <v>2295</v>
      </c>
    </row>
    <row r="487" spans="1:12" hidden="1" x14ac:dyDescent="0.25">
      <c r="A487" s="516">
        <v>462</v>
      </c>
      <c r="B487" t="s">
        <v>441</v>
      </c>
      <c r="C487" t="s">
        <v>432</v>
      </c>
      <c r="D487" t="s">
        <v>2271</v>
      </c>
      <c r="E487">
        <v>4</v>
      </c>
      <c r="F487">
        <v>-1.2824824564472649E-3</v>
      </c>
      <c r="G487">
        <v>-4.3599358747838878E-8</v>
      </c>
      <c r="H487">
        <v>1.088598354737285E-3</v>
      </c>
      <c r="I487" t="s">
        <v>2269</v>
      </c>
      <c r="J487" t="s">
        <v>432</v>
      </c>
      <c r="K487" t="s">
        <v>417</v>
      </c>
      <c r="L487" t="s">
        <v>2295</v>
      </c>
    </row>
    <row r="488" spans="1:12" hidden="1" x14ac:dyDescent="0.25">
      <c r="A488" s="516">
        <v>463</v>
      </c>
      <c r="B488" t="s">
        <v>441</v>
      </c>
      <c r="C488" t="s">
        <v>432</v>
      </c>
      <c r="D488" t="s">
        <v>2271</v>
      </c>
      <c r="E488">
        <v>4</v>
      </c>
      <c r="F488">
        <v>-3.0911538196146377E-5</v>
      </c>
      <c r="G488">
        <v>-1.050870705081437E-9</v>
      </c>
      <c r="H488">
        <v>-9.6885253571618308E-6</v>
      </c>
      <c r="I488" t="s">
        <v>2231</v>
      </c>
      <c r="L488" t="s">
        <v>2295</v>
      </c>
    </row>
    <row r="489" spans="1:12" hidden="1" x14ac:dyDescent="0.25">
      <c r="A489" s="516">
        <v>464</v>
      </c>
      <c r="B489" t="s">
        <v>441</v>
      </c>
      <c r="C489" t="s">
        <v>432</v>
      </c>
      <c r="D489" t="s">
        <v>2271</v>
      </c>
      <c r="E489">
        <v>4</v>
      </c>
      <c r="F489">
        <v>-1.4176497583217409E-3</v>
      </c>
      <c r="G489">
        <v>-4.819451531764342E-8</v>
      </c>
      <c r="H489">
        <v>-7.013294900394956E-5</v>
      </c>
      <c r="I489" t="s">
        <v>2266</v>
      </c>
      <c r="J489" t="s">
        <v>419</v>
      </c>
      <c r="K489" t="s">
        <v>925</v>
      </c>
      <c r="L489" t="s">
        <v>2295</v>
      </c>
    </row>
    <row r="490" spans="1:12" x14ac:dyDescent="0.25">
      <c r="A490" s="568">
        <v>465</v>
      </c>
      <c r="B490" s="417" t="s">
        <v>441</v>
      </c>
      <c r="C490" s="417" t="s">
        <v>432</v>
      </c>
      <c r="D490" s="417" t="s">
        <v>2271</v>
      </c>
      <c r="E490" s="417">
        <v>2</v>
      </c>
      <c r="F490" s="417">
        <v>3.188256164991085E-3</v>
      </c>
      <c r="G490" s="417">
        <v>1.0838816828927999E-7</v>
      </c>
      <c r="H490" s="417">
        <v>1.1210128731148259E-9</v>
      </c>
      <c r="I490" s="417" t="s">
        <v>1517</v>
      </c>
      <c r="J490" s="417" t="s">
        <v>432</v>
      </c>
      <c r="K490" s="417" t="s">
        <v>416</v>
      </c>
      <c r="L490" s="417" t="s">
        <v>829</v>
      </c>
    </row>
    <row r="491" spans="1:12" x14ac:dyDescent="0.25">
      <c r="A491" s="516">
        <v>466</v>
      </c>
      <c r="B491" t="s">
        <v>441</v>
      </c>
      <c r="C491" t="s">
        <v>432</v>
      </c>
      <c r="D491" t="s">
        <v>2271</v>
      </c>
      <c r="E491">
        <v>3</v>
      </c>
      <c r="F491">
        <v>3.1882562834437099E-3</v>
      </c>
      <c r="G491">
        <v>1.0838817231620329E-7</v>
      </c>
      <c r="H491">
        <v>5.7822432923703427E-5</v>
      </c>
      <c r="I491" t="s">
        <v>1060</v>
      </c>
      <c r="J491" t="s">
        <v>459</v>
      </c>
      <c r="K491" t="s">
        <v>417</v>
      </c>
    </row>
    <row r="492" spans="1:12" hidden="1" x14ac:dyDescent="0.25">
      <c r="A492" s="516">
        <v>467</v>
      </c>
      <c r="B492" t="s">
        <v>441</v>
      </c>
      <c r="C492" t="s">
        <v>432</v>
      </c>
      <c r="D492" t="s">
        <v>2271</v>
      </c>
      <c r="E492">
        <v>4</v>
      </c>
      <c r="F492">
        <v>2.9959548670181581E-3</v>
      </c>
      <c r="G492">
        <v>1.018506805943429E-7</v>
      </c>
      <c r="H492">
        <v>5.7822432923703427E-5</v>
      </c>
      <c r="I492" t="s">
        <v>2263</v>
      </c>
      <c r="J492" t="s">
        <v>459</v>
      </c>
      <c r="K492" t="s">
        <v>417</v>
      </c>
      <c r="L492" t="s">
        <v>2295</v>
      </c>
    </row>
    <row r="493" spans="1:12" hidden="1" x14ac:dyDescent="0.25">
      <c r="A493" s="516">
        <v>468</v>
      </c>
      <c r="B493" t="s">
        <v>441</v>
      </c>
      <c r="C493" t="s">
        <v>432</v>
      </c>
      <c r="D493" t="s">
        <v>2271</v>
      </c>
      <c r="E493">
        <v>4</v>
      </c>
      <c r="F493">
        <v>1.4926195300338229E-5</v>
      </c>
      <c r="G493">
        <v>5.0743192654855073E-10</v>
      </c>
      <c r="H493">
        <v>1.4455608230925861E-6</v>
      </c>
      <c r="I493" t="s">
        <v>2231</v>
      </c>
      <c r="L493" t="s">
        <v>2295</v>
      </c>
    </row>
    <row r="494" spans="1:12" hidden="1" x14ac:dyDescent="0.25">
      <c r="A494" s="516">
        <v>469</v>
      </c>
      <c r="B494" t="s">
        <v>441</v>
      </c>
      <c r="C494" t="s">
        <v>432</v>
      </c>
      <c r="D494" t="s">
        <v>2271</v>
      </c>
      <c r="E494">
        <v>4</v>
      </c>
      <c r="F494">
        <v>5.2429637608726399E-5</v>
      </c>
      <c r="G494">
        <v>1.782401441540532E-9</v>
      </c>
      <c r="H494">
        <v>1.9081402864822129E-7</v>
      </c>
      <c r="I494" t="s">
        <v>2231</v>
      </c>
      <c r="L494" t="s">
        <v>2295</v>
      </c>
    </row>
    <row r="495" spans="1:12" hidden="1" x14ac:dyDescent="0.25">
      <c r="A495" s="516">
        <v>470</v>
      </c>
      <c r="B495" t="s">
        <v>441</v>
      </c>
      <c r="C495" t="s">
        <v>432</v>
      </c>
      <c r="D495" t="s">
        <v>2271</v>
      </c>
      <c r="E495">
        <v>4</v>
      </c>
      <c r="F495">
        <v>1.249455846510305E-4</v>
      </c>
      <c r="G495">
        <v>4.2476583923413329E-9</v>
      </c>
      <c r="H495">
        <v>6.1812180795438962E-6</v>
      </c>
      <c r="I495" t="s">
        <v>2266</v>
      </c>
      <c r="J495" t="s">
        <v>419</v>
      </c>
      <c r="K495" t="s">
        <v>925</v>
      </c>
      <c r="L495" t="s">
        <v>2295</v>
      </c>
    </row>
    <row r="496" spans="1:12" hidden="1" x14ac:dyDescent="0.25">
      <c r="A496" s="516">
        <v>471</v>
      </c>
      <c r="B496" t="s">
        <v>441</v>
      </c>
      <c r="C496" t="s">
        <v>432</v>
      </c>
      <c r="D496" t="s">
        <v>2271</v>
      </c>
      <c r="E496">
        <v>1</v>
      </c>
      <c r="F496">
        <v>3.9862602934371519E-4</v>
      </c>
      <c r="G496">
        <v>1.3551716962841619E-8</v>
      </c>
      <c r="H496">
        <v>3.0490301023033151E-5</v>
      </c>
      <c r="I496" t="s">
        <v>1003</v>
      </c>
      <c r="J496" t="s">
        <v>432</v>
      </c>
      <c r="K496" t="s">
        <v>417</v>
      </c>
      <c r="L496" t="s">
        <v>823</v>
      </c>
    </row>
    <row r="497" spans="1:12" x14ac:dyDescent="0.25">
      <c r="A497" s="568">
        <v>472</v>
      </c>
      <c r="B497" s="417" t="s">
        <v>441</v>
      </c>
      <c r="C497" s="417" t="s">
        <v>432</v>
      </c>
      <c r="D497" s="417" t="s">
        <v>2271</v>
      </c>
      <c r="E497" s="417">
        <v>2</v>
      </c>
      <c r="F497" s="417">
        <v>3.6265885185268352E-4</v>
      </c>
      <c r="G497" s="417">
        <v>1.232897440859042E-8</v>
      </c>
      <c r="H497" s="417">
        <v>3.0490301023033151E-5</v>
      </c>
      <c r="I497" s="417" t="s">
        <v>1000</v>
      </c>
      <c r="J497" s="417" t="s">
        <v>432</v>
      </c>
      <c r="K497" s="417" t="s">
        <v>417</v>
      </c>
    </row>
    <row r="498" spans="1:12" x14ac:dyDescent="0.25">
      <c r="A498" s="516">
        <v>473</v>
      </c>
      <c r="B498" t="s">
        <v>441</v>
      </c>
      <c r="C498" t="s">
        <v>432</v>
      </c>
      <c r="D498" t="s">
        <v>2271</v>
      </c>
      <c r="E498">
        <v>3</v>
      </c>
      <c r="F498">
        <v>3.266916743616499E-4</v>
      </c>
      <c r="G498">
        <v>1.110623185433915E-8</v>
      </c>
      <c r="H498">
        <v>3.0490301023033151E-5</v>
      </c>
      <c r="I498" t="s">
        <v>998</v>
      </c>
      <c r="J498" t="s">
        <v>432</v>
      </c>
      <c r="K498" t="s">
        <v>417</v>
      </c>
    </row>
    <row r="499" spans="1:12" hidden="1" x14ac:dyDescent="0.25">
      <c r="A499" s="516">
        <v>474</v>
      </c>
      <c r="B499" t="s">
        <v>441</v>
      </c>
      <c r="C499" t="s">
        <v>432</v>
      </c>
      <c r="D499" t="s">
        <v>2271</v>
      </c>
      <c r="E499">
        <v>4</v>
      </c>
      <c r="F499">
        <v>2.4890098340152837E-4</v>
      </c>
      <c r="G499">
        <v>8.4616543590585589E-9</v>
      </c>
      <c r="H499">
        <v>3.1760730232326302E-5</v>
      </c>
      <c r="I499" t="s">
        <v>996</v>
      </c>
      <c r="J499" t="s">
        <v>432</v>
      </c>
      <c r="K499" t="s">
        <v>417</v>
      </c>
      <c r="L499" t="s">
        <v>2295</v>
      </c>
    </row>
    <row r="500" spans="1:12" hidden="1" x14ac:dyDescent="0.25">
      <c r="A500" s="516">
        <v>475</v>
      </c>
      <c r="B500" t="s">
        <v>441</v>
      </c>
      <c r="C500" t="s">
        <v>432</v>
      </c>
      <c r="D500" t="s">
        <v>2271</v>
      </c>
      <c r="E500">
        <v>4</v>
      </c>
      <c r="F500">
        <v>2.7439007140024719E-5</v>
      </c>
      <c r="G500">
        <v>9.3281830871706956E-10</v>
      </c>
      <c r="H500">
        <v>3.8213860155779714E-6</v>
      </c>
      <c r="I500" t="s">
        <v>2231</v>
      </c>
      <c r="L500" t="s">
        <v>2295</v>
      </c>
    </row>
    <row r="501" spans="1:12" hidden="1" x14ac:dyDescent="0.25">
      <c r="A501" s="516">
        <v>476</v>
      </c>
      <c r="B501" t="s">
        <v>441</v>
      </c>
      <c r="C501" t="s">
        <v>432</v>
      </c>
      <c r="D501" t="s">
        <v>2271</v>
      </c>
      <c r="E501">
        <v>4</v>
      </c>
      <c r="F501">
        <v>3.4801487926381618E-5</v>
      </c>
      <c r="G501">
        <v>1.183113694408098E-9</v>
      </c>
      <c r="H501">
        <v>4.2076615411785742E-8</v>
      </c>
      <c r="I501" t="s">
        <v>2231</v>
      </c>
      <c r="L501" t="s">
        <v>2295</v>
      </c>
    </row>
    <row r="502" spans="1:12" hidden="1" x14ac:dyDescent="0.25">
      <c r="A502" s="516">
        <v>477</v>
      </c>
      <c r="B502" t="s">
        <v>441</v>
      </c>
      <c r="C502" t="s">
        <v>432</v>
      </c>
      <c r="D502" t="s">
        <v>2271</v>
      </c>
      <c r="E502">
        <v>4</v>
      </c>
      <c r="F502">
        <v>1.555020575807528E-5</v>
      </c>
      <c r="G502">
        <v>5.286458275048632E-10</v>
      </c>
      <c r="H502">
        <v>4.2076615411785742E-8</v>
      </c>
      <c r="I502" t="s">
        <v>2231</v>
      </c>
      <c r="L502" t="s">
        <v>2295</v>
      </c>
    </row>
    <row r="503" spans="1:12" x14ac:dyDescent="0.25">
      <c r="A503" s="516">
        <v>478</v>
      </c>
      <c r="B503" t="s">
        <v>441</v>
      </c>
      <c r="C503" t="s">
        <v>432</v>
      </c>
      <c r="D503" t="s">
        <v>2271</v>
      </c>
      <c r="E503">
        <v>3</v>
      </c>
      <c r="F503">
        <v>3.5967176955082358E-5</v>
      </c>
      <c r="G503">
        <v>1.222742536031034E-9</v>
      </c>
      <c r="H503">
        <v>3.049030102303315E-6</v>
      </c>
      <c r="I503" t="s">
        <v>2231</v>
      </c>
    </row>
    <row r="504" spans="1:12" x14ac:dyDescent="0.25">
      <c r="A504" s="516">
        <v>479</v>
      </c>
      <c r="B504" t="s">
        <v>441</v>
      </c>
      <c r="C504" t="s">
        <v>432</v>
      </c>
      <c r="D504" t="s">
        <v>2271</v>
      </c>
      <c r="E504">
        <v>2</v>
      </c>
      <c r="F504">
        <v>3.5967176955082358E-5</v>
      </c>
      <c r="G504">
        <v>1.222742536031034E-9</v>
      </c>
      <c r="H504">
        <v>3.049030102303315E-6</v>
      </c>
      <c r="I504" t="s">
        <v>2231</v>
      </c>
    </row>
    <row r="505" spans="1:12" hidden="1" x14ac:dyDescent="0.25">
      <c r="A505" s="516">
        <v>480</v>
      </c>
      <c r="B505" t="s">
        <v>441</v>
      </c>
      <c r="C505" t="s">
        <v>432</v>
      </c>
      <c r="D505" t="s">
        <v>2279</v>
      </c>
      <c r="E505">
        <v>0</v>
      </c>
      <c r="F505">
        <v>1</v>
      </c>
      <c r="G505">
        <v>0.25566967367126292</v>
      </c>
      <c r="H505">
        <v>1</v>
      </c>
      <c r="I505" t="s">
        <v>441</v>
      </c>
      <c r="J505" t="s">
        <v>432</v>
      </c>
      <c r="K505" t="s">
        <v>433</v>
      </c>
      <c r="L505" t="s">
        <v>1205</v>
      </c>
    </row>
    <row r="506" spans="1:12" hidden="1" x14ac:dyDescent="0.25">
      <c r="A506" s="516">
        <v>481</v>
      </c>
      <c r="B506" t="s">
        <v>441</v>
      </c>
      <c r="C506" t="s">
        <v>432</v>
      </c>
      <c r="D506" t="s">
        <v>2279</v>
      </c>
      <c r="E506">
        <v>1</v>
      </c>
      <c r="F506">
        <v>0.99988384045211354</v>
      </c>
      <c r="G506">
        <v>0.25563997519756088</v>
      </c>
      <c r="H506">
        <v>1.1210128731148259E-9</v>
      </c>
      <c r="I506" t="s">
        <v>2099</v>
      </c>
      <c r="J506" t="s">
        <v>432</v>
      </c>
      <c r="K506" t="s">
        <v>416</v>
      </c>
    </row>
    <row r="507" spans="1:12" x14ac:dyDescent="0.25">
      <c r="A507" s="568">
        <v>482</v>
      </c>
      <c r="B507" s="417" t="s">
        <v>441</v>
      </c>
      <c r="C507" s="417" t="s">
        <v>432</v>
      </c>
      <c r="D507" s="417" t="s">
        <v>2279</v>
      </c>
      <c r="E507" s="417">
        <v>2</v>
      </c>
      <c r="F507" s="417">
        <v>1.117951104566846E-2</v>
      </c>
      <c r="G507" s="417">
        <v>2.8582619408503351E-3</v>
      </c>
      <c r="H507" s="417">
        <v>2.2420257462296519E-9</v>
      </c>
      <c r="I507" s="417" t="s">
        <v>1122</v>
      </c>
      <c r="J507" s="417" t="s">
        <v>432</v>
      </c>
      <c r="K507" s="417" t="s">
        <v>416</v>
      </c>
      <c r="L507" t="str">
        <f>$B$18</f>
        <v>Surface plant</v>
      </c>
    </row>
    <row r="508" spans="1:12" x14ac:dyDescent="0.25">
      <c r="A508" s="516">
        <v>483</v>
      </c>
      <c r="B508" t="s">
        <v>441</v>
      </c>
      <c r="C508" t="s">
        <v>432</v>
      </c>
      <c r="D508" t="s">
        <v>2279</v>
      </c>
      <c r="E508">
        <v>3</v>
      </c>
      <c r="F508">
        <v>8.2375196219209063E-5</v>
      </c>
      <c r="G508">
        <v>2.1060839535971431E-5</v>
      </c>
      <c r="H508">
        <v>7.1066873184536906E-7</v>
      </c>
      <c r="I508" t="s">
        <v>2231</v>
      </c>
    </row>
    <row r="509" spans="1:12" x14ac:dyDescent="0.25">
      <c r="A509" s="516">
        <v>484</v>
      </c>
      <c r="B509" t="s">
        <v>441</v>
      </c>
      <c r="C509" t="s">
        <v>432</v>
      </c>
      <c r="D509" t="s">
        <v>2279</v>
      </c>
      <c r="E509">
        <v>3</v>
      </c>
      <c r="F509">
        <v>1.604053342846623E-5</v>
      </c>
      <c r="G509">
        <v>4.1010779471689443E-6</v>
      </c>
      <c r="H509">
        <v>9.6828614713931526E-7</v>
      </c>
      <c r="I509" t="s">
        <v>2231</v>
      </c>
    </row>
    <row r="510" spans="1:12" x14ac:dyDescent="0.25">
      <c r="A510" s="516">
        <v>485</v>
      </c>
      <c r="B510" t="s">
        <v>441</v>
      </c>
      <c r="C510" t="s">
        <v>432</v>
      </c>
      <c r="D510" t="s">
        <v>2279</v>
      </c>
      <c r="E510">
        <v>3</v>
      </c>
      <c r="F510">
        <v>5.6155809541901178E-3</v>
      </c>
      <c r="G510">
        <v>1.4357337500323459E-3</v>
      </c>
      <c r="H510">
        <v>5.5520994675419461E-7</v>
      </c>
      <c r="I510" t="s">
        <v>2235</v>
      </c>
      <c r="J510" t="s">
        <v>432</v>
      </c>
      <c r="K510" t="s">
        <v>437</v>
      </c>
    </row>
    <row r="511" spans="1:12" hidden="1" x14ac:dyDescent="0.25">
      <c r="A511" s="516">
        <v>486</v>
      </c>
      <c r="B511" t="s">
        <v>441</v>
      </c>
      <c r="C511" t="s">
        <v>432</v>
      </c>
      <c r="D511" t="s">
        <v>2279</v>
      </c>
      <c r="E511">
        <v>4</v>
      </c>
      <c r="F511">
        <v>3.905547570941136E-3</v>
      </c>
      <c r="G511">
        <v>9.9853007297011375E-4</v>
      </c>
      <c r="H511">
        <v>3.8864696272793622E-7</v>
      </c>
      <c r="I511" t="s">
        <v>2236</v>
      </c>
      <c r="J511" t="s">
        <v>432</v>
      </c>
      <c r="K511" t="s">
        <v>437</v>
      </c>
      <c r="L511" t="s">
        <v>2295</v>
      </c>
    </row>
    <row r="512" spans="1:12" hidden="1" x14ac:dyDescent="0.25">
      <c r="A512" s="516">
        <v>487</v>
      </c>
      <c r="B512" t="s">
        <v>441</v>
      </c>
      <c r="C512" t="s">
        <v>432</v>
      </c>
      <c r="D512" t="s">
        <v>2279</v>
      </c>
      <c r="E512">
        <v>4</v>
      </c>
      <c r="F512">
        <v>1.710033381809434E-3</v>
      </c>
      <c r="G512">
        <v>4.3720367669418408E-4</v>
      </c>
      <c r="H512">
        <v>1.6656298402625839E-7</v>
      </c>
      <c r="I512" t="s">
        <v>2237</v>
      </c>
      <c r="J512" t="s">
        <v>432</v>
      </c>
      <c r="K512" t="s">
        <v>437</v>
      </c>
      <c r="L512" t="s">
        <v>2295</v>
      </c>
    </row>
    <row r="513" spans="1:12" x14ac:dyDescent="0.25">
      <c r="A513" s="516">
        <v>488</v>
      </c>
      <c r="B513" t="s">
        <v>441</v>
      </c>
      <c r="C513" t="s">
        <v>432</v>
      </c>
      <c r="D513" t="s">
        <v>2279</v>
      </c>
      <c r="E513">
        <v>3</v>
      </c>
      <c r="F513">
        <v>2.080991386155707E-5</v>
      </c>
      <c r="G513">
        <v>5.3204638861113846E-6</v>
      </c>
      <c r="H513">
        <v>3.1091757018234902E-8</v>
      </c>
      <c r="I513" t="s">
        <v>2231</v>
      </c>
    </row>
    <row r="514" spans="1:12" x14ac:dyDescent="0.25">
      <c r="A514" s="516">
        <v>489</v>
      </c>
      <c r="B514" t="s">
        <v>441</v>
      </c>
      <c r="C514" t="s">
        <v>432</v>
      </c>
      <c r="D514" t="s">
        <v>2279</v>
      </c>
      <c r="E514">
        <v>3</v>
      </c>
      <c r="F514">
        <v>1.753906941144817E-3</v>
      </c>
      <c r="G514">
        <v>4.4842081529225818E-4</v>
      </c>
      <c r="H514">
        <v>7.1066873184536906E-7</v>
      </c>
      <c r="I514" t="s">
        <v>2242</v>
      </c>
      <c r="J514" t="s">
        <v>462</v>
      </c>
      <c r="K514" t="s">
        <v>417</v>
      </c>
    </row>
    <row r="515" spans="1:12" hidden="1" x14ac:dyDescent="0.25">
      <c r="A515" s="516">
        <v>490</v>
      </c>
      <c r="B515" t="s">
        <v>441</v>
      </c>
      <c r="C515" t="s">
        <v>432</v>
      </c>
      <c r="D515" t="s">
        <v>2279</v>
      </c>
      <c r="E515">
        <v>4</v>
      </c>
      <c r="F515">
        <v>6.7658588339544799E-4</v>
      </c>
      <c r="G515">
        <v>1.729824920182973E-4</v>
      </c>
      <c r="H515">
        <v>1.211620353323431E-7</v>
      </c>
      <c r="I515" t="s">
        <v>2243</v>
      </c>
      <c r="J515" t="s">
        <v>462</v>
      </c>
      <c r="K515" t="s">
        <v>417</v>
      </c>
      <c r="L515" t="s">
        <v>2295</v>
      </c>
    </row>
    <row r="516" spans="1:12" hidden="1" x14ac:dyDescent="0.25">
      <c r="A516" s="516">
        <v>491</v>
      </c>
      <c r="B516" t="s">
        <v>441</v>
      </c>
      <c r="C516" t="s">
        <v>432</v>
      </c>
      <c r="D516" t="s">
        <v>2279</v>
      </c>
      <c r="E516">
        <v>4</v>
      </c>
      <c r="F516">
        <v>1.0978195140600969E-6</v>
      </c>
      <c r="G516">
        <v>2.8067915690968941E-7</v>
      </c>
      <c r="H516">
        <v>1.953079858167785E-10</v>
      </c>
      <c r="I516" t="s">
        <v>2231</v>
      </c>
      <c r="L516" t="s">
        <v>2295</v>
      </c>
    </row>
    <row r="517" spans="1:12" hidden="1" x14ac:dyDescent="0.25">
      <c r="A517" s="516">
        <v>492</v>
      </c>
      <c r="B517" t="s">
        <v>441</v>
      </c>
      <c r="C517" t="s">
        <v>432</v>
      </c>
      <c r="D517" t="s">
        <v>2279</v>
      </c>
      <c r="E517">
        <v>4</v>
      </c>
      <c r="F517">
        <v>1.212741487726439E-13</v>
      </c>
      <c r="G517">
        <v>3.1006122041462052E-14</v>
      </c>
      <c r="H517">
        <v>1.027239778012812E-15</v>
      </c>
      <c r="I517" t="s">
        <v>2231</v>
      </c>
      <c r="L517" t="s">
        <v>2295</v>
      </c>
    </row>
    <row r="518" spans="1:12" hidden="1" x14ac:dyDescent="0.25">
      <c r="A518" s="516">
        <v>493</v>
      </c>
      <c r="B518" t="s">
        <v>441</v>
      </c>
      <c r="C518" t="s">
        <v>432</v>
      </c>
      <c r="D518" t="s">
        <v>2279</v>
      </c>
      <c r="E518">
        <v>4</v>
      </c>
      <c r="F518">
        <v>7.2219797856640969E-14</v>
      </c>
      <c r="G518">
        <v>1.846441215061197E-14</v>
      </c>
      <c r="H518">
        <v>1.2988089147288379E-16</v>
      </c>
      <c r="I518" t="s">
        <v>2231</v>
      </c>
      <c r="L518" t="s">
        <v>2295</v>
      </c>
    </row>
    <row r="519" spans="1:12" hidden="1" x14ac:dyDescent="0.25">
      <c r="A519" s="516">
        <v>494</v>
      </c>
      <c r="B519" t="s">
        <v>441</v>
      </c>
      <c r="C519" t="s">
        <v>432</v>
      </c>
      <c r="D519" t="s">
        <v>2279</v>
      </c>
      <c r="E519">
        <v>4</v>
      </c>
      <c r="F519">
        <v>0</v>
      </c>
      <c r="G519">
        <v>0</v>
      </c>
      <c r="H519">
        <v>6.6293371689284574E-13</v>
      </c>
      <c r="I519" t="s">
        <v>2231</v>
      </c>
      <c r="L519" t="s">
        <v>2295</v>
      </c>
    </row>
    <row r="520" spans="1:12" hidden="1" x14ac:dyDescent="0.25">
      <c r="A520" s="516">
        <v>495</v>
      </c>
      <c r="B520" t="s">
        <v>441</v>
      </c>
      <c r="C520" t="s">
        <v>432</v>
      </c>
      <c r="D520" t="s">
        <v>2279</v>
      </c>
      <c r="E520">
        <v>4</v>
      </c>
      <c r="F520">
        <v>1.027867317291804E-3</v>
      </c>
      <c r="G520">
        <v>2.6279450158935198E-4</v>
      </c>
      <c r="H520">
        <v>4.2992950214197398E-7</v>
      </c>
      <c r="I520" t="s">
        <v>2244</v>
      </c>
      <c r="J520" t="s">
        <v>462</v>
      </c>
      <c r="K520" t="s">
        <v>417</v>
      </c>
      <c r="L520" t="s">
        <v>2295</v>
      </c>
    </row>
    <row r="521" spans="1:12" hidden="1" x14ac:dyDescent="0.25">
      <c r="A521" s="516">
        <v>496</v>
      </c>
      <c r="B521" t="s">
        <v>441</v>
      </c>
      <c r="C521" t="s">
        <v>432</v>
      </c>
      <c r="D521" t="s">
        <v>2279</v>
      </c>
      <c r="E521">
        <v>4</v>
      </c>
      <c r="F521">
        <v>6.9291173826069508E-6</v>
      </c>
      <c r="G521">
        <v>1.7715651800409941E-6</v>
      </c>
      <c r="H521">
        <v>2.4197016639519881E-8</v>
      </c>
      <c r="I521" t="s">
        <v>2231</v>
      </c>
      <c r="L521" t="s">
        <v>2295</v>
      </c>
    </row>
    <row r="522" spans="1:12" hidden="1" x14ac:dyDescent="0.25">
      <c r="A522" s="516">
        <v>497</v>
      </c>
      <c r="B522" t="s">
        <v>441</v>
      </c>
      <c r="C522" t="s">
        <v>432</v>
      </c>
      <c r="D522" t="s">
        <v>2279</v>
      </c>
      <c r="E522">
        <v>4</v>
      </c>
      <c r="F522">
        <v>7.5330901690485527E-7</v>
      </c>
      <c r="G522">
        <v>1.925982705256842E-7</v>
      </c>
      <c r="H522">
        <v>1.1160135859892259E-8</v>
      </c>
      <c r="I522" t="s">
        <v>2231</v>
      </c>
      <c r="L522" t="s">
        <v>2295</v>
      </c>
    </row>
    <row r="523" spans="1:12" hidden="1" x14ac:dyDescent="0.25">
      <c r="A523" s="516">
        <v>498</v>
      </c>
      <c r="B523" t="s">
        <v>441</v>
      </c>
      <c r="C523" t="s">
        <v>432</v>
      </c>
      <c r="D523" t="s">
        <v>2279</v>
      </c>
      <c r="E523">
        <v>4</v>
      </c>
      <c r="F523">
        <v>0</v>
      </c>
      <c r="G523">
        <v>0</v>
      </c>
      <c r="H523">
        <v>1.515269049822246E-12</v>
      </c>
      <c r="I523" t="s">
        <v>2231</v>
      </c>
      <c r="L523" t="s">
        <v>2295</v>
      </c>
    </row>
    <row r="524" spans="1:12" hidden="1" x14ac:dyDescent="0.25">
      <c r="A524" s="516">
        <v>499</v>
      </c>
      <c r="B524" t="s">
        <v>441</v>
      </c>
      <c r="C524" t="s">
        <v>432</v>
      </c>
      <c r="D524" t="s">
        <v>2279</v>
      </c>
      <c r="E524">
        <v>4</v>
      </c>
      <c r="F524">
        <v>1.367250670813842E-9</v>
      </c>
      <c r="G524">
        <v>3.4956453283379018E-10</v>
      </c>
      <c r="H524">
        <v>5.9726098922404826E-10</v>
      </c>
      <c r="I524" t="s">
        <v>2231</v>
      </c>
      <c r="L524" t="s">
        <v>2295</v>
      </c>
    </row>
    <row r="525" spans="1:12" hidden="1" x14ac:dyDescent="0.25">
      <c r="A525" s="516">
        <v>500</v>
      </c>
      <c r="B525" t="s">
        <v>441</v>
      </c>
      <c r="C525" t="s">
        <v>432</v>
      </c>
      <c r="D525" t="s">
        <v>2279</v>
      </c>
      <c r="E525">
        <v>4</v>
      </c>
      <c r="F525">
        <v>9.1434191786135303E-15</v>
      </c>
      <c r="G525">
        <v>2.3376949976356878E-15</v>
      </c>
      <c r="H525">
        <v>1.2988089147288379E-16</v>
      </c>
      <c r="I525" t="s">
        <v>2231</v>
      </c>
      <c r="L525" t="s">
        <v>2295</v>
      </c>
    </row>
    <row r="526" spans="1:12" hidden="1" x14ac:dyDescent="0.25">
      <c r="A526" s="516">
        <v>501</v>
      </c>
      <c r="B526" t="s">
        <v>441</v>
      </c>
      <c r="C526" t="s">
        <v>432</v>
      </c>
      <c r="D526" t="s">
        <v>2279</v>
      </c>
      <c r="E526">
        <v>4</v>
      </c>
      <c r="F526">
        <v>0</v>
      </c>
      <c r="G526">
        <v>0</v>
      </c>
      <c r="H526">
        <v>8.4740783159740807E-9</v>
      </c>
      <c r="I526" t="s">
        <v>2231</v>
      </c>
      <c r="L526" t="s">
        <v>2295</v>
      </c>
    </row>
    <row r="527" spans="1:12" hidden="1" x14ac:dyDescent="0.25">
      <c r="A527" s="516">
        <v>502</v>
      </c>
      <c r="B527" t="s">
        <v>441</v>
      </c>
      <c r="C527" t="s">
        <v>432</v>
      </c>
      <c r="D527" t="s">
        <v>2279</v>
      </c>
      <c r="E527">
        <v>4</v>
      </c>
      <c r="F527">
        <v>3.1657179007102061E-7</v>
      </c>
      <c r="G527">
        <v>8.0937806260985361E-8</v>
      </c>
      <c r="H527">
        <v>8.7640823681785851E-10</v>
      </c>
      <c r="I527" t="s">
        <v>2231</v>
      </c>
      <c r="L527" t="s">
        <v>2295</v>
      </c>
    </row>
    <row r="528" spans="1:12" hidden="1" x14ac:dyDescent="0.25">
      <c r="A528" s="516">
        <v>503</v>
      </c>
      <c r="B528" t="s">
        <v>441</v>
      </c>
      <c r="C528" t="s">
        <v>432</v>
      </c>
      <c r="D528" t="s">
        <v>2279</v>
      </c>
      <c r="E528">
        <v>4</v>
      </c>
      <c r="F528">
        <v>1.650575689837812E-13</v>
      </c>
      <c r="G528">
        <v>4.2200214799055303E-14</v>
      </c>
      <c r="H528">
        <v>2.6369756756143838E-16</v>
      </c>
      <c r="I528" t="s">
        <v>2231</v>
      </c>
      <c r="L528" t="s">
        <v>2295</v>
      </c>
    </row>
    <row r="529" spans="1:12" hidden="1" x14ac:dyDescent="0.25">
      <c r="A529" s="516">
        <v>504</v>
      </c>
      <c r="B529" t="s">
        <v>441</v>
      </c>
      <c r="C529" t="s">
        <v>432</v>
      </c>
      <c r="D529" t="s">
        <v>2279</v>
      </c>
      <c r="E529">
        <v>4</v>
      </c>
      <c r="F529">
        <v>9.7763718663826725E-7</v>
      </c>
      <c r="G529">
        <v>2.4995218047669728E-7</v>
      </c>
      <c r="H529">
        <v>4.840468409058872E-9</v>
      </c>
      <c r="I529" t="s">
        <v>2231</v>
      </c>
      <c r="L529" t="s">
        <v>2295</v>
      </c>
    </row>
    <row r="530" spans="1:12" hidden="1" x14ac:dyDescent="0.25">
      <c r="A530" s="516">
        <v>505</v>
      </c>
      <c r="B530" t="s">
        <v>441</v>
      </c>
      <c r="C530" t="s">
        <v>432</v>
      </c>
      <c r="D530" t="s">
        <v>2279</v>
      </c>
      <c r="E530">
        <v>4</v>
      </c>
      <c r="F530">
        <v>3.097673023609941E-12</v>
      </c>
      <c r="G530">
        <v>7.9198105108662777E-13</v>
      </c>
      <c r="H530">
        <v>1.5831594325221111E-12</v>
      </c>
      <c r="I530" t="s">
        <v>2231</v>
      </c>
      <c r="L530" t="s">
        <v>2295</v>
      </c>
    </row>
    <row r="531" spans="1:12" hidden="1" x14ac:dyDescent="0.25">
      <c r="A531" s="516">
        <v>506</v>
      </c>
      <c r="B531" t="s">
        <v>441</v>
      </c>
      <c r="C531" t="s">
        <v>432</v>
      </c>
      <c r="D531" t="s">
        <v>2279</v>
      </c>
      <c r="E531">
        <v>4</v>
      </c>
      <c r="F531">
        <v>5.9147955336081344E-6</v>
      </c>
      <c r="G531">
        <v>1.5122338439098351E-6</v>
      </c>
      <c r="H531">
        <v>1.5637872242419301E-9</v>
      </c>
      <c r="I531" t="s">
        <v>2231</v>
      </c>
      <c r="L531" t="s">
        <v>2295</v>
      </c>
    </row>
    <row r="532" spans="1:12" hidden="1" x14ac:dyDescent="0.25">
      <c r="A532" s="516">
        <v>507</v>
      </c>
      <c r="B532" t="s">
        <v>441</v>
      </c>
      <c r="C532" t="s">
        <v>432</v>
      </c>
      <c r="D532" t="s">
        <v>2279</v>
      </c>
      <c r="E532">
        <v>4</v>
      </c>
      <c r="F532">
        <v>3.1468992048464262E-5</v>
      </c>
      <c r="G532">
        <v>8.0456669277944219E-6</v>
      </c>
      <c r="H532">
        <v>1.068306032931589E-7</v>
      </c>
      <c r="I532" t="s">
        <v>2231</v>
      </c>
      <c r="L532" t="s">
        <v>2295</v>
      </c>
    </row>
    <row r="533" spans="1:12" hidden="1" x14ac:dyDescent="0.25">
      <c r="A533" s="516">
        <v>508</v>
      </c>
      <c r="B533" t="s">
        <v>441</v>
      </c>
      <c r="C533" t="s">
        <v>432</v>
      </c>
      <c r="D533" t="s">
        <v>2279</v>
      </c>
      <c r="E533">
        <v>4</v>
      </c>
      <c r="F533">
        <v>1.058096371631477E-6</v>
      </c>
      <c r="G533">
        <v>2.7052315404776712E-7</v>
      </c>
      <c r="H533">
        <v>8.3836450444873882E-10</v>
      </c>
      <c r="I533" t="s">
        <v>2231</v>
      </c>
      <c r="L533" t="s">
        <v>2295</v>
      </c>
    </row>
    <row r="534" spans="1:12" hidden="1" x14ac:dyDescent="0.25">
      <c r="A534" s="516">
        <v>509</v>
      </c>
      <c r="B534" t="s">
        <v>441</v>
      </c>
      <c r="C534" t="s">
        <v>432</v>
      </c>
      <c r="D534" t="s">
        <v>2279</v>
      </c>
      <c r="E534">
        <v>4</v>
      </c>
      <c r="F534">
        <v>1.34923047870807E-7</v>
      </c>
      <c r="G534">
        <v>3.4495731619861408E-8</v>
      </c>
      <c r="H534">
        <v>2.4503857874028319E-7</v>
      </c>
      <c r="I534" t="s">
        <v>2231</v>
      </c>
      <c r="L534" t="s">
        <v>2295</v>
      </c>
    </row>
    <row r="535" spans="1:12" hidden="1" x14ac:dyDescent="0.25">
      <c r="A535" s="516">
        <v>510</v>
      </c>
      <c r="B535" t="s">
        <v>441</v>
      </c>
      <c r="C535" t="s">
        <v>432</v>
      </c>
      <c r="D535" t="s">
        <v>2279</v>
      </c>
      <c r="E535">
        <v>4</v>
      </c>
      <c r="F535">
        <v>6.5713326466832803E-9</v>
      </c>
      <c r="G535">
        <v>1.6800904733628299E-9</v>
      </c>
      <c r="H535">
        <v>2.57972749659869E-8</v>
      </c>
      <c r="I535" t="s">
        <v>2231</v>
      </c>
      <c r="L535" t="s">
        <v>2295</v>
      </c>
    </row>
    <row r="536" spans="1:12" hidden="1" x14ac:dyDescent="0.25">
      <c r="A536" s="516">
        <v>511</v>
      </c>
      <c r="B536" t="s">
        <v>441</v>
      </c>
      <c r="C536" t="s">
        <v>432</v>
      </c>
      <c r="D536" t="s">
        <v>2279</v>
      </c>
      <c r="E536">
        <v>4</v>
      </c>
      <c r="F536">
        <v>7.8517202405386936E-7</v>
      </c>
      <c r="G536">
        <v>2.007446751656577E-7</v>
      </c>
      <c r="H536">
        <v>2.5683567968891642E-7</v>
      </c>
      <c r="I536" t="s">
        <v>2231</v>
      </c>
      <c r="L536" t="s">
        <v>2295</v>
      </c>
    </row>
    <row r="537" spans="1:12" hidden="1" x14ac:dyDescent="0.25">
      <c r="A537" s="516">
        <v>512</v>
      </c>
      <c r="B537" t="s">
        <v>441</v>
      </c>
      <c r="C537" t="s">
        <v>432</v>
      </c>
      <c r="D537" t="s">
        <v>2279</v>
      </c>
      <c r="E537">
        <v>4</v>
      </c>
      <c r="F537">
        <v>9.3151960405050285E-9</v>
      </c>
      <c r="G537">
        <v>2.381613131859761E-9</v>
      </c>
      <c r="H537">
        <v>2.581859502794226E-7</v>
      </c>
      <c r="I537" t="s">
        <v>2231</v>
      </c>
      <c r="L537" t="s">
        <v>2295</v>
      </c>
    </row>
    <row r="538" spans="1:12" x14ac:dyDescent="0.25">
      <c r="A538" s="516">
        <v>513</v>
      </c>
      <c r="B538" t="s">
        <v>441</v>
      </c>
      <c r="C538" t="s">
        <v>432</v>
      </c>
      <c r="D538" t="s">
        <v>2279</v>
      </c>
      <c r="E538">
        <v>3</v>
      </c>
      <c r="F538">
        <v>4.2843198183567596E-6</v>
      </c>
      <c r="G538">
        <v>1.095370649862597E-6</v>
      </c>
      <c r="H538">
        <v>5.3300154888402678E-6</v>
      </c>
      <c r="I538" t="s">
        <v>2231</v>
      </c>
    </row>
    <row r="539" spans="1:12" x14ac:dyDescent="0.25">
      <c r="A539" s="516">
        <v>514</v>
      </c>
      <c r="B539" t="s">
        <v>441</v>
      </c>
      <c r="C539" t="s">
        <v>432</v>
      </c>
      <c r="D539" t="s">
        <v>2279</v>
      </c>
      <c r="E539">
        <v>3</v>
      </c>
      <c r="F539">
        <v>1.2586825108342341E-7</v>
      </c>
      <c r="G539">
        <v>3.2180694680071441E-8</v>
      </c>
      <c r="H539">
        <v>6.6625193610503347E-7</v>
      </c>
      <c r="I539" t="s">
        <v>2231</v>
      </c>
    </row>
    <row r="540" spans="1:12" x14ac:dyDescent="0.25">
      <c r="A540" s="516">
        <v>515</v>
      </c>
      <c r="B540" t="s">
        <v>441</v>
      </c>
      <c r="C540" t="s">
        <v>432</v>
      </c>
      <c r="D540" t="s">
        <v>2279</v>
      </c>
      <c r="E540">
        <v>3</v>
      </c>
      <c r="F540">
        <v>5.5303697033628267E-5</v>
      </c>
      <c r="G540">
        <v>1.4139478173402131E-5</v>
      </c>
      <c r="H540">
        <v>7.5508552758570464E-7</v>
      </c>
      <c r="I540" t="s">
        <v>2231</v>
      </c>
    </row>
    <row r="541" spans="1:12" x14ac:dyDescent="0.25">
      <c r="A541" s="516">
        <v>516</v>
      </c>
      <c r="B541" t="s">
        <v>441</v>
      </c>
      <c r="C541" t="s">
        <v>432</v>
      </c>
      <c r="D541" t="s">
        <v>2279</v>
      </c>
      <c r="E541">
        <v>3</v>
      </c>
      <c r="F541">
        <v>3.7338142030377278E-6</v>
      </c>
      <c r="G541">
        <v>9.5462305883978228E-7</v>
      </c>
      <c r="H541">
        <v>-7.1066873184536906E-7</v>
      </c>
      <c r="I541" t="s">
        <v>2231</v>
      </c>
    </row>
    <row r="542" spans="1:12" x14ac:dyDescent="0.25">
      <c r="A542" s="516">
        <v>517</v>
      </c>
      <c r="B542" t="s">
        <v>441</v>
      </c>
      <c r="C542" t="s">
        <v>432</v>
      </c>
      <c r="D542" t="s">
        <v>2279</v>
      </c>
      <c r="E542">
        <v>3</v>
      </c>
      <c r="F542">
        <v>1.203928414528214E-7</v>
      </c>
      <c r="G542">
        <v>3.0780798486598939E-8</v>
      </c>
      <c r="H542">
        <v>-7.1066873184536906E-7</v>
      </c>
      <c r="I542" t="s">
        <v>2231</v>
      </c>
    </row>
    <row r="543" spans="1:12" x14ac:dyDescent="0.25">
      <c r="A543" s="516">
        <v>518</v>
      </c>
      <c r="B543" t="s">
        <v>441</v>
      </c>
      <c r="C543" t="s">
        <v>432</v>
      </c>
      <c r="D543" t="s">
        <v>2279</v>
      </c>
      <c r="E543">
        <v>3</v>
      </c>
      <c r="F543">
        <v>2.466449989934263E-5</v>
      </c>
      <c r="G543">
        <v>6.3059646405298249E-6</v>
      </c>
      <c r="H543">
        <v>-8.7634337995682083E-5</v>
      </c>
      <c r="I543" t="s">
        <v>2231</v>
      </c>
    </row>
    <row r="544" spans="1:12" x14ac:dyDescent="0.25">
      <c r="A544" s="516">
        <v>519</v>
      </c>
      <c r="B544" t="s">
        <v>441</v>
      </c>
      <c r="C544" t="s">
        <v>432</v>
      </c>
      <c r="D544" t="s">
        <v>2279</v>
      </c>
      <c r="E544">
        <v>3</v>
      </c>
      <c r="F544">
        <v>2.7754029931571872E-6</v>
      </c>
      <c r="G544">
        <v>7.0958637756674422E-7</v>
      </c>
      <c r="H544">
        <v>7.1066873184536906E-7</v>
      </c>
      <c r="I544" t="s">
        <v>2231</v>
      </c>
    </row>
    <row r="545" spans="1:12" x14ac:dyDescent="0.25">
      <c r="A545" s="516">
        <v>520</v>
      </c>
      <c r="B545" t="s">
        <v>441</v>
      </c>
      <c r="C545" t="s">
        <v>432</v>
      </c>
      <c r="D545" t="s">
        <v>2279</v>
      </c>
      <c r="E545">
        <v>3</v>
      </c>
      <c r="F545">
        <v>3.1000892524280843E-5</v>
      </c>
      <c r="G545">
        <v>7.9259880752007731E-6</v>
      </c>
      <c r="H545">
        <v>1.0215863020277181E-6</v>
      </c>
      <c r="I545" t="s">
        <v>2231</v>
      </c>
    </row>
    <row r="546" spans="1:12" x14ac:dyDescent="0.25">
      <c r="A546" s="516">
        <v>521</v>
      </c>
      <c r="B546" t="s">
        <v>441</v>
      </c>
      <c r="C546" t="s">
        <v>432</v>
      </c>
      <c r="D546" t="s">
        <v>2279</v>
      </c>
      <c r="E546">
        <v>3</v>
      </c>
      <c r="F546">
        <v>3.2552050516519401E-4</v>
      </c>
      <c r="G546">
        <v>8.322572132888977E-5</v>
      </c>
      <c r="H546">
        <v>8.661275169365436E-5</v>
      </c>
      <c r="I546" t="s">
        <v>2247</v>
      </c>
      <c r="J546" t="s">
        <v>419</v>
      </c>
      <c r="K546" t="s">
        <v>417</v>
      </c>
    </row>
    <row r="547" spans="1:12" hidden="1" x14ac:dyDescent="0.25">
      <c r="A547" s="516">
        <v>522</v>
      </c>
      <c r="B547" t="s">
        <v>441</v>
      </c>
      <c r="C547" t="s">
        <v>432</v>
      </c>
      <c r="D547" t="s">
        <v>2279</v>
      </c>
      <c r="E547">
        <v>4</v>
      </c>
      <c r="F547">
        <v>3.9302444479041753E-8</v>
      </c>
      <c r="G547">
        <v>1.0048443154439529E-8</v>
      </c>
      <c r="H547">
        <v>-1.671626107687529E-8</v>
      </c>
      <c r="I547" t="s">
        <v>2231</v>
      </c>
      <c r="L547" t="s">
        <v>2295</v>
      </c>
    </row>
    <row r="548" spans="1:12" hidden="1" x14ac:dyDescent="0.25">
      <c r="A548" s="516">
        <v>523</v>
      </c>
      <c r="B548" t="s">
        <v>441</v>
      </c>
      <c r="C548" t="s">
        <v>432</v>
      </c>
      <c r="D548" t="s">
        <v>2279</v>
      </c>
      <c r="E548">
        <v>4</v>
      </c>
      <c r="F548">
        <v>1.2125816487036629E-10</v>
      </c>
      <c r="G548">
        <v>3.1002035442382739E-11</v>
      </c>
      <c r="H548">
        <v>1.368481476759739E-12</v>
      </c>
      <c r="I548" t="s">
        <v>2231</v>
      </c>
      <c r="L548" t="s">
        <v>2295</v>
      </c>
    </row>
    <row r="549" spans="1:12" hidden="1" x14ac:dyDescent="0.25">
      <c r="A549" s="516">
        <v>524</v>
      </c>
      <c r="B549" t="s">
        <v>441</v>
      </c>
      <c r="C549" t="s">
        <v>432</v>
      </c>
      <c r="D549" t="s">
        <v>2279</v>
      </c>
      <c r="E549">
        <v>4</v>
      </c>
      <c r="F549">
        <v>6.1288970186740123E-5</v>
      </c>
      <c r="G549">
        <v>1.566973100729161E-5</v>
      </c>
      <c r="H549">
        <v>1.9434314734445009E-5</v>
      </c>
      <c r="I549" t="s">
        <v>2231</v>
      </c>
      <c r="L549" t="s">
        <v>2295</v>
      </c>
    </row>
    <row r="550" spans="1:12" hidden="1" x14ac:dyDescent="0.25">
      <c r="A550" s="516">
        <v>525</v>
      </c>
      <c r="B550" t="s">
        <v>441</v>
      </c>
      <c r="C550" t="s">
        <v>432</v>
      </c>
      <c r="D550" t="s">
        <v>2279</v>
      </c>
      <c r="E550">
        <v>4</v>
      </c>
      <c r="F550">
        <v>7.5515545502097469E-6</v>
      </c>
      <c r="G550">
        <v>1.9307034875628661E-6</v>
      </c>
      <c r="H550">
        <v>8.6297481277489464E-5</v>
      </c>
      <c r="I550" t="s">
        <v>2231</v>
      </c>
      <c r="L550" t="s">
        <v>2295</v>
      </c>
    </row>
    <row r="551" spans="1:12" hidden="1" x14ac:dyDescent="0.25">
      <c r="A551" s="516">
        <v>526</v>
      </c>
      <c r="B551" t="s">
        <v>441</v>
      </c>
      <c r="C551" t="s">
        <v>432</v>
      </c>
      <c r="D551" t="s">
        <v>2279</v>
      </c>
      <c r="E551">
        <v>4</v>
      </c>
      <c r="F551">
        <v>2.5158928716400329E-6</v>
      </c>
      <c r="G551">
        <v>6.4323750948406371E-7</v>
      </c>
      <c r="H551">
        <v>6.2827331049046386E-6</v>
      </c>
      <c r="I551" t="s">
        <v>2231</v>
      </c>
      <c r="L551" t="s">
        <v>2295</v>
      </c>
    </row>
    <row r="552" spans="1:12" hidden="1" x14ac:dyDescent="0.25">
      <c r="A552" s="516">
        <v>527</v>
      </c>
      <c r="B552" t="s">
        <v>441</v>
      </c>
      <c r="C552" t="s">
        <v>432</v>
      </c>
      <c r="D552" t="s">
        <v>2279</v>
      </c>
      <c r="E552">
        <v>4</v>
      </c>
      <c r="F552">
        <v>1.09056770742096E-6</v>
      </c>
      <c r="G552">
        <v>2.7882508987273409E-7</v>
      </c>
      <c r="H552">
        <v>3.4385262422380778E-8</v>
      </c>
      <c r="I552" t="s">
        <v>2231</v>
      </c>
      <c r="L552" t="s">
        <v>2295</v>
      </c>
    </row>
    <row r="553" spans="1:12" hidden="1" x14ac:dyDescent="0.25">
      <c r="A553" s="516">
        <v>528</v>
      </c>
      <c r="B553" t="s">
        <v>441</v>
      </c>
      <c r="C553" t="s">
        <v>432</v>
      </c>
      <c r="D553" t="s">
        <v>2279</v>
      </c>
      <c r="E553">
        <v>4</v>
      </c>
      <c r="F553">
        <v>3.8736623551652171E-8</v>
      </c>
      <c r="G553">
        <v>9.9037799025774665E-9</v>
      </c>
      <c r="H553">
        <v>2.4598021480997841E-9</v>
      </c>
      <c r="I553" t="s">
        <v>2231</v>
      </c>
      <c r="L553" t="s">
        <v>2295</v>
      </c>
    </row>
    <row r="554" spans="1:12" hidden="1" x14ac:dyDescent="0.25">
      <c r="A554" s="516">
        <v>529</v>
      </c>
      <c r="B554" t="s">
        <v>441</v>
      </c>
      <c r="C554" t="s">
        <v>432</v>
      </c>
      <c r="D554" t="s">
        <v>2279</v>
      </c>
      <c r="E554">
        <v>4</v>
      </c>
      <c r="F554">
        <v>2.9863281018969871E-9</v>
      </c>
      <c r="G554">
        <v>7.6351353128732443E-10</v>
      </c>
      <c r="H554">
        <v>4.6944111417960666E-9</v>
      </c>
      <c r="I554" t="s">
        <v>2231</v>
      </c>
      <c r="L554" t="s">
        <v>2295</v>
      </c>
    </row>
    <row r="555" spans="1:12" hidden="1" x14ac:dyDescent="0.25">
      <c r="A555" s="516">
        <v>530</v>
      </c>
      <c r="B555" t="s">
        <v>441</v>
      </c>
      <c r="C555" t="s">
        <v>432</v>
      </c>
      <c r="D555" t="s">
        <v>2279</v>
      </c>
      <c r="E555">
        <v>4</v>
      </c>
      <c r="F555">
        <v>8.4508875643543156E-6</v>
      </c>
      <c r="G555">
        <v>2.1606356658110008E-6</v>
      </c>
      <c r="H555">
        <v>3.9755253027387352E-7</v>
      </c>
      <c r="I555" t="s">
        <v>2231</v>
      </c>
      <c r="L555" t="s">
        <v>2295</v>
      </c>
    </row>
    <row r="556" spans="1:12" hidden="1" x14ac:dyDescent="0.25">
      <c r="A556" s="516">
        <v>531</v>
      </c>
      <c r="B556" t="s">
        <v>441</v>
      </c>
      <c r="C556" t="s">
        <v>432</v>
      </c>
      <c r="D556" t="s">
        <v>2279</v>
      </c>
      <c r="E556">
        <v>4</v>
      </c>
      <c r="F556">
        <v>6.3753793104360376E-7</v>
      </c>
      <c r="G556">
        <v>1.6299911478297029E-7</v>
      </c>
      <c r="H556">
        <v>-3.1007365106328259E-8</v>
      </c>
      <c r="I556" t="s">
        <v>2231</v>
      </c>
      <c r="L556" t="s">
        <v>2295</v>
      </c>
    </row>
    <row r="557" spans="1:12" hidden="1" x14ac:dyDescent="0.25">
      <c r="A557" s="516">
        <v>532</v>
      </c>
      <c r="B557" t="s">
        <v>441</v>
      </c>
      <c r="C557" t="s">
        <v>432</v>
      </c>
      <c r="D557" t="s">
        <v>2279</v>
      </c>
      <c r="E557">
        <v>4</v>
      </c>
      <c r="F557">
        <v>6.2121079531986755E-7</v>
      </c>
      <c r="G557">
        <v>1.588247613204962E-7</v>
      </c>
      <c r="H557">
        <v>7.3534226187912552E-9</v>
      </c>
      <c r="I557" t="s">
        <v>2231</v>
      </c>
      <c r="L557" t="s">
        <v>2295</v>
      </c>
    </row>
    <row r="558" spans="1:12" hidden="1" x14ac:dyDescent="0.25">
      <c r="A558" s="516">
        <v>533</v>
      </c>
      <c r="B558" t="s">
        <v>441</v>
      </c>
      <c r="C558" t="s">
        <v>432</v>
      </c>
      <c r="D558" t="s">
        <v>2279</v>
      </c>
      <c r="E558">
        <v>4</v>
      </c>
      <c r="F558">
        <v>5.4082505977396251E-7</v>
      </c>
      <c r="G558">
        <v>1.382725665456502E-7</v>
      </c>
      <c r="H558">
        <v>1.4031265774372009E-13</v>
      </c>
      <c r="I558" t="s">
        <v>2231</v>
      </c>
      <c r="L558" t="s">
        <v>2295</v>
      </c>
    </row>
    <row r="559" spans="1:12" hidden="1" x14ac:dyDescent="0.25">
      <c r="A559" s="516">
        <v>534</v>
      </c>
      <c r="B559" t="s">
        <v>441</v>
      </c>
      <c r="C559" t="s">
        <v>432</v>
      </c>
      <c r="D559" t="s">
        <v>2279</v>
      </c>
      <c r="E559">
        <v>4</v>
      </c>
      <c r="F559">
        <v>1.2915530260437879E-7</v>
      </c>
      <c r="G559">
        <v>3.3021094069774748E-8</v>
      </c>
      <c r="H559">
        <v>1.6023359063326059E-10</v>
      </c>
      <c r="I559" t="s">
        <v>2231</v>
      </c>
      <c r="L559" t="s">
        <v>2295</v>
      </c>
    </row>
    <row r="560" spans="1:12" hidden="1" x14ac:dyDescent="0.25">
      <c r="A560" s="516">
        <v>535</v>
      </c>
      <c r="B560" t="s">
        <v>441</v>
      </c>
      <c r="C560" t="s">
        <v>432</v>
      </c>
      <c r="D560" t="s">
        <v>2279</v>
      </c>
      <c r="E560">
        <v>4</v>
      </c>
      <c r="F560">
        <v>1.9579810543113789E-7</v>
      </c>
      <c r="G560">
        <v>5.0059637721030549E-8</v>
      </c>
      <c r="H560">
        <v>3.8715900007063501E-9</v>
      </c>
      <c r="I560" t="s">
        <v>2231</v>
      </c>
      <c r="L560" t="s">
        <v>2295</v>
      </c>
    </row>
    <row r="561" spans="1:12" hidden="1" x14ac:dyDescent="0.25">
      <c r="A561" s="516">
        <v>536</v>
      </c>
      <c r="B561" t="s">
        <v>441</v>
      </c>
      <c r="C561" t="s">
        <v>432</v>
      </c>
      <c r="D561" t="s">
        <v>2279</v>
      </c>
      <c r="E561">
        <v>4</v>
      </c>
      <c r="F561">
        <v>4.8324786417727861E-6</v>
      </c>
      <c r="G561">
        <v>1.2355182373653961E-6</v>
      </c>
      <c r="H561">
        <v>-1.740916309042453E-6</v>
      </c>
      <c r="I561" t="s">
        <v>2231</v>
      </c>
      <c r="L561" t="s">
        <v>2295</v>
      </c>
    </row>
    <row r="562" spans="1:12" hidden="1" x14ac:dyDescent="0.25">
      <c r="A562" s="516">
        <v>537</v>
      </c>
      <c r="B562" t="s">
        <v>441</v>
      </c>
      <c r="C562" t="s">
        <v>432</v>
      </c>
      <c r="D562" t="s">
        <v>2279</v>
      </c>
      <c r="E562">
        <v>4</v>
      </c>
      <c r="F562">
        <v>2.0928822628780739E-6</v>
      </c>
      <c r="G562">
        <v>5.350865251824113E-7</v>
      </c>
      <c r="H562">
        <v>1.299191275404815E-8</v>
      </c>
      <c r="I562" t="s">
        <v>2231</v>
      </c>
      <c r="L562" t="s">
        <v>2295</v>
      </c>
    </row>
    <row r="563" spans="1:12" hidden="1" x14ac:dyDescent="0.25">
      <c r="A563" s="516">
        <v>538</v>
      </c>
      <c r="B563" t="s">
        <v>441</v>
      </c>
      <c r="C563" t="s">
        <v>432</v>
      </c>
      <c r="D563" t="s">
        <v>2279</v>
      </c>
      <c r="E563">
        <v>4</v>
      </c>
      <c r="F563">
        <v>1.737575866280315E-6</v>
      </c>
      <c r="G563">
        <v>4.4424545471095011E-7</v>
      </c>
      <c r="H563">
        <v>-6.8424073837986952E-7</v>
      </c>
      <c r="I563" t="s">
        <v>2231</v>
      </c>
      <c r="L563" t="s">
        <v>2295</v>
      </c>
    </row>
    <row r="564" spans="1:12" hidden="1" x14ac:dyDescent="0.25">
      <c r="A564" s="516">
        <v>539</v>
      </c>
      <c r="B564" t="s">
        <v>441</v>
      </c>
      <c r="C564" t="s">
        <v>432</v>
      </c>
      <c r="D564" t="s">
        <v>2279</v>
      </c>
      <c r="E564">
        <v>4</v>
      </c>
      <c r="F564">
        <v>7.3267566441032628E-7</v>
      </c>
      <c r="G564">
        <v>1.8732294802666379E-7</v>
      </c>
      <c r="H564">
        <v>2.0440609399702429E-8</v>
      </c>
      <c r="I564" t="s">
        <v>2231</v>
      </c>
      <c r="L564" t="s">
        <v>2295</v>
      </c>
    </row>
    <row r="565" spans="1:12" hidden="1" x14ac:dyDescent="0.25">
      <c r="A565" s="516">
        <v>540</v>
      </c>
      <c r="B565" t="s">
        <v>441</v>
      </c>
      <c r="C565" t="s">
        <v>432</v>
      </c>
      <c r="D565" t="s">
        <v>2279</v>
      </c>
      <c r="E565">
        <v>4</v>
      </c>
      <c r="F565">
        <v>1.6261559959641049E-4</v>
      </c>
      <c r="G565">
        <v>4.1575877282671008E-5</v>
      </c>
      <c r="H565">
        <v>7.4053902698074482E-6</v>
      </c>
      <c r="I565" t="s">
        <v>2249</v>
      </c>
      <c r="J565" t="s">
        <v>462</v>
      </c>
      <c r="K565" t="s">
        <v>417</v>
      </c>
      <c r="L565" t="s">
        <v>2295</v>
      </c>
    </row>
    <row r="566" spans="1:12" hidden="1" x14ac:dyDescent="0.25">
      <c r="A566" s="516">
        <v>541</v>
      </c>
      <c r="B566" t="s">
        <v>441</v>
      </c>
      <c r="C566" t="s">
        <v>432</v>
      </c>
      <c r="D566" t="s">
        <v>2279</v>
      </c>
      <c r="E566">
        <v>4</v>
      </c>
      <c r="F566">
        <v>1.4716657463088281E-6</v>
      </c>
      <c r="G566">
        <v>3.762603011119536E-7</v>
      </c>
      <c r="H566">
        <v>3.6204130207947519E-7</v>
      </c>
      <c r="I566" t="s">
        <v>2231</v>
      </c>
      <c r="L566" t="s">
        <v>2295</v>
      </c>
    </row>
    <row r="567" spans="1:12" hidden="1" x14ac:dyDescent="0.25">
      <c r="A567" s="516">
        <v>542</v>
      </c>
      <c r="B567" t="s">
        <v>441</v>
      </c>
      <c r="C567" t="s">
        <v>432</v>
      </c>
      <c r="D567" t="s">
        <v>2279</v>
      </c>
      <c r="E567">
        <v>4</v>
      </c>
      <c r="F567">
        <v>1.3440034271772059E-9</v>
      </c>
      <c r="G567">
        <v>3.4362091763945521E-10</v>
      </c>
      <c r="H567">
        <v>-1.858040544559376E-9</v>
      </c>
      <c r="I567" t="s">
        <v>2231</v>
      </c>
      <c r="L567" t="s">
        <v>2295</v>
      </c>
    </row>
    <row r="568" spans="1:12" hidden="1" x14ac:dyDescent="0.25">
      <c r="A568" s="516">
        <v>543</v>
      </c>
      <c r="B568" t="s">
        <v>441</v>
      </c>
      <c r="C568" t="s">
        <v>432</v>
      </c>
      <c r="D568" t="s">
        <v>2279</v>
      </c>
      <c r="E568">
        <v>4</v>
      </c>
      <c r="F568">
        <v>5.1510021400992907E-8</v>
      </c>
      <c r="G568">
        <v>1.316955036239162E-8</v>
      </c>
      <c r="H568">
        <v>-7.5054082959405696E-8</v>
      </c>
      <c r="I568" t="s">
        <v>2231</v>
      </c>
      <c r="L568" t="s">
        <v>2295</v>
      </c>
    </row>
    <row r="569" spans="1:12" hidden="1" x14ac:dyDescent="0.25">
      <c r="A569" s="516">
        <v>544</v>
      </c>
      <c r="B569" t="s">
        <v>441</v>
      </c>
      <c r="C569" t="s">
        <v>432</v>
      </c>
      <c r="D569" t="s">
        <v>2279</v>
      </c>
      <c r="E569">
        <v>4</v>
      </c>
      <c r="F569">
        <v>2.3088123065010511E-6</v>
      </c>
      <c r="G569">
        <v>5.9029328897131935E-7</v>
      </c>
      <c r="H569">
        <v>1.1650781536370321E-5</v>
      </c>
      <c r="I569" t="s">
        <v>2231</v>
      </c>
      <c r="L569" t="s">
        <v>2295</v>
      </c>
    </row>
    <row r="570" spans="1:12" hidden="1" x14ac:dyDescent="0.25">
      <c r="A570" s="516">
        <v>545</v>
      </c>
      <c r="B570" t="s">
        <v>441</v>
      </c>
      <c r="C570" t="s">
        <v>432</v>
      </c>
      <c r="D570" t="s">
        <v>2279</v>
      </c>
      <c r="E570">
        <v>4</v>
      </c>
      <c r="F570">
        <v>8.2829619780858944E-9</v>
      </c>
      <c r="G570">
        <v>2.1177021859686992E-9</v>
      </c>
      <c r="H570">
        <v>4.193994227302119E-8</v>
      </c>
      <c r="I570" t="s">
        <v>2231</v>
      </c>
      <c r="L570" t="s">
        <v>2295</v>
      </c>
    </row>
    <row r="571" spans="1:12" x14ac:dyDescent="0.25">
      <c r="A571" s="516">
        <v>546</v>
      </c>
      <c r="B571" t="s">
        <v>441</v>
      </c>
      <c r="C571" t="s">
        <v>432</v>
      </c>
      <c r="D571" t="s">
        <v>2279</v>
      </c>
      <c r="E571">
        <v>3</v>
      </c>
      <c r="F571">
        <v>5.9172405890057582E-5</v>
      </c>
      <c r="G571">
        <v>1.512858970425454E-5</v>
      </c>
      <c r="H571">
        <v>1.0215863020277181E-6</v>
      </c>
      <c r="I571" t="s">
        <v>2231</v>
      </c>
    </row>
    <row r="572" spans="1:12" x14ac:dyDescent="0.25">
      <c r="A572" s="516">
        <v>547</v>
      </c>
      <c r="B572" t="s">
        <v>441</v>
      </c>
      <c r="C572" t="s">
        <v>432</v>
      </c>
      <c r="D572" t="s">
        <v>2279</v>
      </c>
      <c r="E572">
        <v>3</v>
      </c>
      <c r="F572">
        <v>3.1045579000437609E-3</v>
      </c>
      <c r="G572">
        <v>7.9374130519772954E-4</v>
      </c>
      <c r="H572">
        <v>8.661275169365436E-5</v>
      </c>
      <c r="I572" t="s">
        <v>2250</v>
      </c>
      <c r="J572" t="s">
        <v>462</v>
      </c>
      <c r="K572" t="s">
        <v>417</v>
      </c>
    </row>
    <row r="573" spans="1:12" hidden="1" x14ac:dyDescent="0.25">
      <c r="A573" s="516">
        <v>548</v>
      </c>
      <c r="B573" t="s">
        <v>441</v>
      </c>
      <c r="C573" t="s">
        <v>432</v>
      </c>
      <c r="D573" t="s">
        <v>2279</v>
      </c>
      <c r="E573">
        <v>4</v>
      </c>
      <c r="F573">
        <v>1.4645449024450611E-3</v>
      </c>
      <c r="G573">
        <v>3.7443971728504019E-4</v>
      </c>
      <c r="H573">
        <v>5.1118942784407733E-5</v>
      </c>
      <c r="I573" t="s">
        <v>2251</v>
      </c>
      <c r="J573" t="s">
        <v>1992</v>
      </c>
      <c r="K573" t="s">
        <v>417</v>
      </c>
      <c r="L573" t="s">
        <v>2295</v>
      </c>
    </row>
    <row r="574" spans="1:12" hidden="1" x14ac:dyDescent="0.25">
      <c r="A574" s="516">
        <v>549</v>
      </c>
      <c r="B574" t="s">
        <v>441</v>
      </c>
      <c r="C574" t="s">
        <v>432</v>
      </c>
      <c r="D574" t="s">
        <v>2279</v>
      </c>
      <c r="E574">
        <v>4</v>
      </c>
      <c r="F574">
        <v>3.7588631446723383E-9</v>
      </c>
      <c r="G574">
        <v>9.610273135733137E-10</v>
      </c>
      <c r="H574">
        <v>9.8650667878707843E-10</v>
      </c>
      <c r="I574" t="s">
        <v>2231</v>
      </c>
      <c r="L574" t="s">
        <v>2295</v>
      </c>
    </row>
    <row r="575" spans="1:12" hidden="1" x14ac:dyDescent="0.25">
      <c r="A575" s="516">
        <v>550</v>
      </c>
      <c r="B575" t="s">
        <v>441</v>
      </c>
      <c r="C575" t="s">
        <v>432</v>
      </c>
      <c r="D575" t="s">
        <v>2279</v>
      </c>
      <c r="E575">
        <v>4</v>
      </c>
      <c r="F575">
        <v>2.5325320378688461E-4</v>
      </c>
      <c r="G575">
        <v>6.4749163968394621E-5</v>
      </c>
      <c r="H575">
        <v>1.082371738256408E-5</v>
      </c>
      <c r="I575" t="s">
        <v>2251</v>
      </c>
      <c r="J575" t="s">
        <v>419</v>
      </c>
      <c r="K575" t="s">
        <v>417</v>
      </c>
      <c r="L575" t="s">
        <v>2295</v>
      </c>
    </row>
    <row r="576" spans="1:12" hidden="1" x14ac:dyDescent="0.25">
      <c r="A576" s="516">
        <v>551</v>
      </c>
      <c r="B576" t="s">
        <v>441</v>
      </c>
      <c r="C576" t="s">
        <v>432</v>
      </c>
      <c r="D576" t="s">
        <v>2279</v>
      </c>
      <c r="E576">
        <v>4</v>
      </c>
      <c r="F576">
        <v>5.8963474931668164E-6</v>
      </c>
      <c r="G576">
        <v>1.5075172394303291E-6</v>
      </c>
      <c r="H576">
        <v>8.5097238472389624E-7</v>
      </c>
      <c r="I576" t="s">
        <v>2231</v>
      </c>
      <c r="L576" t="s">
        <v>2295</v>
      </c>
    </row>
    <row r="577" spans="1:12" hidden="1" x14ac:dyDescent="0.25">
      <c r="A577" s="516">
        <v>552</v>
      </c>
      <c r="B577" t="s">
        <v>441</v>
      </c>
      <c r="C577" t="s">
        <v>432</v>
      </c>
      <c r="D577" t="s">
        <v>2279</v>
      </c>
      <c r="E577">
        <v>4</v>
      </c>
      <c r="F577">
        <v>6.4184069203745769E-4</v>
      </c>
      <c r="G577">
        <v>1.6409920028215429E-4</v>
      </c>
      <c r="H577">
        <v>1.2277194154703439E-5</v>
      </c>
      <c r="I577" t="s">
        <v>1454</v>
      </c>
      <c r="J577" t="s">
        <v>1992</v>
      </c>
      <c r="K577" t="s">
        <v>417</v>
      </c>
      <c r="L577" t="s">
        <v>2295</v>
      </c>
    </row>
    <row r="578" spans="1:12" hidden="1" x14ac:dyDescent="0.25">
      <c r="A578" s="516">
        <v>553</v>
      </c>
      <c r="B578" t="s">
        <v>441</v>
      </c>
      <c r="C578" t="s">
        <v>432</v>
      </c>
      <c r="D578" t="s">
        <v>2279</v>
      </c>
      <c r="E578">
        <v>4</v>
      </c>
      <c r="F578">
        <v>1.2455989669517609E-4</v>
      </c>
      <c r="G578">
        <v>3.1846188140581883E-5</v>
      </c>
      <c r="H578">
        <v>2.3333258765765228E-6</v>
      </c>
      <c r="I578" t="s">
        <v>2251</v>
      </c>
      <c r="J578" t="s">
        <v>2252</v>
      </c>
      <c r="K578" t="s">
        <v>417</v>
      </c>
      <c r="L578" t="s">
        <v>2295</v>
      </c>
    </row>
    <row r="579" spans="1:12" hidden="1" x14ac:dyDescent="0.25">
      <c r="A579" s="516">
        <v>554</v>
      </c>
      <c r="B579" t="s">
        <v>441</v>
      </c>
      <c r="C579" t="s">
        <v>432</v>
      </c>
      <c r="D579" t="s">
        <v>2279</v>
      </c>
      <c r="E579">
        <v>4</v>
      </c>
      <c r="F579">
        <v>4.97364806313099E-4</v>
      </c>
      <c r="G579">
        <v>1.271610977256409E-4</v>
      </c>
      <c r="H579">
        <v>2.8157606536467428E-6</v>
      </c>
      <c r="I579" t="s">
        <v>1454</v>
      </c>
      <c r="J579" t="s">
        <v>2252</v>
      </c>
      <c r="K579" t="s">
        <v>417</v>
      </c>
      <c r="L579" t="s">
        <v>2295</v>
      </c>
    </row>
    <row r="580" spans="1:12" hidden="1" x14ac:dyDescent="0.25">
      <c r="A580" s="516">
        <v>555</v>
      </c>
      <c r="B580" t="s">
        <v>441</v>
      </c>
      <c r="C580" t="s">
        <v>432</v>
      </c>
      <c r="D580" t="s">
        <v>2279</v>
      </c>
      <c r="E580">
        <v>4</v>
      </c>
      <c r="F580">
        <v>5.0607334734377523E-5</v>
      </c>
      <c r="G580">
        <v>1.2938760756910671E-5</v>
      </c>
      <c r="H580">
        <v>6.3431531194027866E-6</v>
      </c>
      <c r="I580" t="s">
        <v>2231</v>
      </c>
      <c r="L580" t="s">
        <v>2295</v>
      </c>
    </row>
    <row r="581" spans="1:12" hidden="1" x14ac:dyDescent="0.25">
      <c r="A581" s="516">
        <v>556</v>
      </c>
      <c r="B581" t="s">
        <v>441</v>
      </c>
      <c r="C581" t="s">
        <v>432</v>
      </c>
      <c r="D581" t="s">
        <v>2279</v>
      </c>
      <c r="E581">
        <v>4</v>
      </c>
      <c r="F581">
        <v>1.2471564961707479E-6</v>
      </c>
      <c r="G581">
        <v>3.1886009439297073E-7</v>
      </c>
      <c r="H581">
        <v>4.8698830950311433E-8</v>
      </c>
      <c r="I581" t="s">
        <v>2231</v>
      </c>
      <c r="L581" t="s">
        <v>2295</v>
      </c>
    </row>
    <row r="582" spans="1:12" hidden="1" x14ac:dyDescent="0.25">
      <c r="A582" s="516">
        <v>557</v>
      </c>
      <c r="B582" t="s">
        <v>441</v>
      </c>
      <c r="C582" t="s">
        <v>432</v>
      </c>
      <c r="D582" t="s">
        <v>2279</v>
      </c>
      <c r="E582">
        <v>4</v>
      </c>
      <c r="F582">
        <v>9.0755364013809564E-6</v>
      </c>
      <c r="G582">
        <v>2.320339430132737E-6</v>
      </c>
      <c r="H582">
        <v>1.6482406647302429E-5</v>
      </c>
      <c r="I582" t="s">
        <v>2231</v>
      </c>
      <c r="L582" t="s">
        <v>2295</v>
      </c>
    </row>
    <row r="583" spans="1:12" hidden="1" x14ac:dyDescent="0.25">
      <c r="A583" s="516">
        <v>558</v>
      </c>
      <c r="B583" t="s">
        <v>441</v>
      </c>
      <c r="C583" t="s">
        <v>432</v>
      </c>
      <c r="D583" t="s">
        <v>2279</v>
      </c>
      <c r="E583">
        <v>4</v>
      </c>
      <c r="F583">
        <v>4.4346312514936572E-7</v>
      </c>
      <c r="G583">
        <v>1.133800724921767E-7</v>
      </c>
      <c r="H583">
        <v>1.740916309042453E-6</v>
      </c>
      <c r="I583" t="s">
        <v>2231</v>
      </c>
      <c r="L583" t="s">
        <v>2295</v>
      </c>
    </row>
    <row r="584" spans="1:12" hidden="1" x14ac:dyDescent="0.25">
      <c r="A584" s="516">
        <v>559</v>
      </c>
      <c r="B584" t="s">
        <v>441</v>
      </c>
      <c r="C584" t="s">
        <v>432</v>
      </c>
      <c r="D584" t="s">
        <v>2279</v>
      </c>
      <c r="E584">
        <v>4</v>
      </c>
      <c r="F584">
        <v>5.4677840479021123E-5</v>
      </c>
      <c r="G584">
        <v>1.39794656323207E-5</v>
      </c>
      <c r="H584">
        <v>1.788553322473962E-5</v>
      </c>
      <c r="I584" t="s">
        <v>2231</v>
      </c>
      <c r="L584" t="s">
        <v>2295</v>
      </c>
    </row>
    <row r="585" spans="1:12" hidden="1" x14ac:dyDescent="0.25">
      <c r="A585" s="516">
        <v>560</v>
      </c>
      <c r="B585" t="s">
        <v>441</v>
      </c>
      <c r="C585" t="s">
        <v>432</v>
      </c>
      <c r="D585" t="s">
        <v>2279</v>
      </c>
      <c r="E585">
        <v>4</v>
      </c>
      <c r="F585">
        <v>1.042904537083174E-6</v>
      </c>
      <c r="G585">
        <v>2.666390626663345E-7</v>
      </c>
      <c r="H585">
        <v>3.8187562221732208E-5</v>
      </c>
      <c r="I585" t="s">
        <v>2231</v>
      </c>
      <c r="L585" t="s">
        <v>2295</v>
      </c>
    </row>
    <row r="586" spans="1:12" x14ac:dyDescent="0.25">
      <c r="A586" s="516">
        <v>561</v>
      </c>
      <c r="B586" t="s">
        <v>441</v>
      </c>
      <c r="C586" t="s">
        <v>432</v>
      </c>
      <c r="D586" t="s">
        <v>2279</v>
      </c>
      <c r="E586">
        <v>3</v>
      </c>
      <c r="F586">
        <v>6.3537950873562889E-6</v>
      </c>
      <c r="G586">
        <v>1.624472716558456E-6</v>
      </c>
      <c r="H586">
        <v>1.9987558083151011E-7</v>
      </c>
      <c r="I586" t="s">
        <v>2231</v>
      </c>
    </row>
    <row r="587" spans="1:12" x14ac:dyDescent="0.25">
      <c r="A587" s="516">
        <v>562</v>
      </c>
      <c r="B587" t="s">
        <v>441</v>
      </c>
      <c r="C587" t="s">
        <v>432</v>
      </c>
      <c r="D587" t="s">
        <v>2279</v>
      </c>
      <c r="E587">
        <v>3</v>
      </c>
      <c r="F587">
        <v>1.8756395163455858E-9</v>
      </c>
      <c r="G587">
        <v>4.7954414306900129E-10</v>
      </c>
      <c r="H587">
        <v>-3.1091757018234902E-8</v>
      </c>
      <c r="I587" t="s">
        <v>2231</v>
      </c>
    </row>
    <row r="588" spans="1:12" x14ac:dyDescent="0.25">
      <c r="A588" s="516">
        <v>563</v>
      </c>
      <c r="B588" t="s">
        <v>441</v>
      </c>
      <c r="C588" t="s">
        <v>432</v>
      </c>
      <c r="D588" t="s">
        <v>2279</v>
      </c>
      <c r="E588">
        <v>3</v>
      </c>
      <c r="F588">
        <v>5.9246305364251826E-9</v>
      </c>
      <c r="G588">
        <v>1.514748355870626E-9</v>
      </c>
      <c r="H588">
        <v>-1.9987558083151011E-7</v>
      </c>
      <c r="I588" t="s">
        <v>2231</v>
      </c>
    </row>
    <row r="589" spans="1:12" x14ac:dyDescent="0.25">
      <c r="A589" s="516">
        <v>564</v>
      </c>
      <c r="B589" t="s">
        <v>441</v>
      </c>
      <c r="C589" t="s">
        <v>432</v>
      </c>
      <c r="D589" t="s">
        <v>2279</v>
      </c>
      <c r="E589">
        <v>3</v>
      </c>
      <c r="F589">
        <v>1.750253043856755E-6</v>
      </c>
      <c r="G589">
        <v>4.4748662456499117E-7</v>
      </c>
      <c r="H589">
        <v>-7.5508552758570464E-7</v>
      </c>
      <c r="I589" t="s">
        <v>2231</v>
      </c>
    </row>
    <row r="590" spans="1:12" x14ac:dyDescent="0.25">
      <c r="A590" s="516">
        <v>565</v>
      </c>
      <c r="B590" t="s">
        <v>441</v>
      </c>
      <c r="C590" t="s">
        <v>432</v>
      </c>
      <c r="D590" t="s">
        <v>2279</v>
      </c>
      <c r="E590">
        <v>3</v>
      </c>
      <c r="F590">
        <v>7.142609627821594E-5</v>
      </c>
      <c r="G590">
        <v>1.8261486727063669E-5</v>
      </c>
      <c r="H590">
        <v>7.1066873184536906E-7</v>
      </c>
      <c r="I590" t="s">
        <v>2231</v>
      </c>
    </row>
    <row r="591" spans="1:12" x14ac:dyDescent="0.25">
      <c r="A591" s="516">
        <v>566</v>
      </c>
      <c r="B591" t="s">
        <v>441</v>
      </c>
      <c r="C591" t="s">
        <v>432</v>
      </c>
      <c r="D591" t="s">
        <v>2279</v>
      </c>
      <c r="E591">
        <v>2</v>
      </c>
      <c r="F591">
        <v>0</v>
      </c>
      <c r="G591">
        <v>0</v>
      </c>
      <c r="H591">
        <v>0</v>
      </c>
      <c r="I591" t="s">
        <v>2231</v>
      </c>
    </row>
    <row r="592" spans="1:12" x14ac:dyDescent="0.25">
      <c r="A592" s="568">
        <v>567</v>
      </c>
      <c r="B592" s="417" t="s">
        <v>441</v>
      </c>
      <c r="C592" s="417" t="s">
        <v>432</v>
      </c>
      <c r="D592" s="417" t="s">
        <v>2279</v>
      </c>
      <c r="E592" s="417">
        <v>2</v>
      </c>
      <c r="F592" s="417">
        <v>2.3238154012341738E-3</v>
      </c>
      <c r="G592" s="417">
        <v>5.94129125305796E-4</v>
      </c>
      <c r="H592" s="417">
        <v>6.0980602046066296E-4</v>
      </c>
      <c r="I592" s="417" t="s">
        <v>1003</v>
      </c>
      <c r="J592" s="417" t="s">
        <v>432</v>
      </c>
      <c r="K592" s="417" t="s">
        <v>417</v>
      </c>
      <c r="L592" s="417" t="s">
        <v>155</v>
      </c>
    </row>
    <row r="593" spans="1:12" x14ac:dyDescent="0.25">
      <c r="A593" s="516">
        <v>568</v>
      </c>
      <c r="B593" t="s">
        <v>441</v>
      </c>
      <c r="C593" t="s">
        <v>432</v>
      </c>
      <c r="D593" t="s">
        <v>2279</v>
      </c>
      <c r="E593">
        <v>3</v>
      </c>
      <c r="F593">
        <v>2.1907877834311711E-3</v>
      </c>
      <c r="G593">
        <v>5.6011799767283676E-4</v>
      </c>
      <c r="H593">
        <v>6.0980602046066296E-4</v>
      </c>
      <c r="I593" t="s">
        <v>1000</v>
      </c>
      <c r="J593" t="s">
        <v>432</v>
      </c>
      <c r="K593" t="s">
        <v>417</v>
      </c>
    </row>
    <row r="594" spans="1:12" hidden="1" x14ac:dyDescent="0.25">
      <c r="A594" s="516">
        <v>569</v>
      </c>
      <c r="B594" t="s">
        <v>441</v>
      </c>
      <c r="C594" t="s">
        <v>432</v>
      </c>
      <c r="D594" t="s">
        <v>2279</v>
      </c>
      <c r="E594">
        <v>4</v>
      </c>
      <c r="F594">
        <v>2.0577601656281809E-3</v>
      </c>
      <c r="G594">
        <v>5.26106870039881E-4</v>
      </c>
      <c r="H594">
        <v>6.0980602046066296E-4</v>
      </c>
      <c r="I594" t="s">
        <v>998</v>
      </c>
      <c r="J594" t="s">
        <v>432</v>
      </c>
      <c r="K594" t="s">
        <v>417</v>
      </c>
      <c r="L594" t="s">
        <v>2295</v>
      </c>
    </row>
    <row r="595" spans="1:12" hidden="1" x14ac:dyDescent="0.25">
      <c r="A595" s="516">
        <v>570</v>
      </c>
      <c r="B595" t="s">
        <v>441</v>
      </c>
      <c r="C595" t="s">
        <v>432</v>
      </c>
      <c r="D595" t="s">
        <v>2279</v>
      </c>
      <c r="E595">
        <v>4</v>
      </c>
      <c r="F595">
        <v>1.330276158207298E-4</v>
      </c>
      <c r="G595">
        <v>3.4011127126152118E-5</v>
      </c>
      <c r="H595">
        <v>6.0980602046066303E-5</v>
      </c>
      <c r="I595" t="s">
        <v>506</v>
      </c>
      <c r="J595" t="s">
        <v>432</v>
      </c>
      <c r="K595" t="s">
        <v>433</v>
      </c>
      <c r="L595" t="s">
        <v>2295</v>
      </c>
    </row>
    <row r="596" spans="1:12" x14ac:dyDescent="0.25">
      <c r="A596" s="516">
        <v>571</v>
      </c>
      <c r="B596" t="s">
        <v>441</v>
      </c>
      <c r="C596" t="s">
        <v>432</v>
      </c>
      <c r="D596" t="s">
        <v>2279</v>
      </c>
      <c r="E596">
        <v>3</v>
      </c>
      <c r="F596">
        <v>1.330276158207298E-4</v>
      </c>
      <c r="G596">
        <v>3.4011127126152118E-5</v>
      </c>
      <c r="H596">
        <v>6.0980602046066303E-5</v>
      </c>
      <c r="I596" t="s">
        <v>506</v>
      </c>
      <c r="J596" t="s">
        <v>432</v>
      </c>
      <c r="K596" t="s">
        <v>433</v>
      </c>
    </row>
    <row r="597" spans="1:12" hidden="1" x14ac:dyDescent="0.25">
      <c r="A597" s="516">
        <v>572</v>
      </c>
      <c r="B597" t="s">
        <v>441</v>
      </c>
      <c r="C597" t="s">
        <v>432</v>
      </c>
      <c r="D597" t="s">
        <v>2279</v>
      </c>
      <c r="E597">
        <v>4</v>
      </c>
      <c r="F597">
        <v>7.1592451643487097E-5</v>
      </c>
      <c r="G597">
        <v>1.8304018749016011E-5</v>
      </c>
      <c r="H597">
        <v>5.3300022630301139E-12</v>
      </c>
      <c r="I597" t="s">
        <v>2231</v>
      </c>
      <c r="L597" t="s">
        <v>2295</v>
      </c>
    </row>
    <row r="598" spans="1:12" hidden="1" x14ac:dyDescent="0.25">
      <c r="A598" s="516">
        <v>573</v>
      </c>
      <c r="B598" t="s">
        <v>441</v>
      </c>
      <c r="C598" t="s">
        <v>432</v>
      </c>
      <c r="D598" t="s">
        <v>2279</v>
      </c>
      <c r="E598">
        <v>4</v>
      </c>
      <c r="F598">
        <v>7.7333569997397849E-7</v>
      </c>
      <c r="G598">
        <v>1.9771848605068469E-7</v>
      </c>
      <c r="H598">
        <v>2.0371767410342151E-7</v>
      </c>
      <c r="I598" t="s">
        <v>2231</v>
      </c>
      <c r="L598" t="s">
        <v>2295</v>
      </c>
    </row>
    <row r="599" spans="1:12" hidden="1" x14ac:dyDescent="0.25">
      <c r="A599" s="516">
        <v>574</v>
      </c>
      <c r="B599" t="s">
        <v>441</v>
      </c>
      <c r="C599" t="s">
        <v>432</v>
      </c>
      <c r="D599" t="s">
        <v>2279</v>
      </c>
      <c r="E599">
        <v>4</v>
      </c>
      <c r="F599">
        <v>4.7817857364615731E-7</v>
      </c>
      <c r="G599">
        <v>1.2225575988070299E-7</v>
      </c>
      <c r="H599">
        <v>1.044214083571819E-7</v>
      </c>
      <c r="I599" t="s">
        <v>2231</v>
      </c>
      <c r="L599" t="s">
        <v>2295</v>
      </c>
    </row>
    <row r="600" spans="1:12" hidden="1" x14ac:dyDescent="0.25">
      <c r="A600" s="516">
        <v>575</v>
      </c>
      <c r="B600" t="s">
        <v>441</v>
      </c>
      <c r="C600" t="s">
        <v>432</v>
      </c>
      <c r="D600" t="s">
        <v>2279</v>
      </c>
      <c r="E600">
        <v>4</v>
      </c>
      <c r="F600">
        <v>1.0147333860883349E-6</v>
      </c>
      <c r="G600">
        <v>2.5943655368454009E-7</v>
      </c>
      <c r="H600">
        <v>3.1728043308528322E-7</v>
      </c>
      <c r="I600" t="s">
        <v>2231</v>
      </c>
      <c r="L600" t="s">
        <v>2295</v>
      </c>
    </row>
    <row r="601" spans="1:12" hidden="1" x14ac:dyDescent="0.25">
      <c r="A601" s="516">
        <v>576</v>
      </c>
      <c r="B601" t="s">
        <v>441</v>
      </c>
      <c r="C601" t="s">
        <v>432</v>
      </c>
      <c r="D601" t="s">
        <v>2279</v>
      </c>
      <c r="E601">
        <v>4</v>
      </c>
      <c r="F601">
        <v>4.169201640130907E-7</v>
      </c>
      <c r="G601">
        <v>1.0659384228019631E-7</v>
      </c>
      <c r="H601">
        <v>1.7671315260446161E-7</v>
      </c>
      <c r="I601" t="s">
        <v>2231</v>
      </c>
      <c r="L601" t="s">
        <v>2295</v>
      </c>
    </row>
    <row r="602" spans="1:12" hidden="1" x14ac:dyDescent="0.25">
      <c r="A602" s="516">
        <v>577</v>
      </c>
      <c r="B602" t="s">
        <v>441</v>
      </c>
      <c r="C602" t="s">
        <v>432</v>
      </c>
      <c r="D602" t="s">
        <v>2279</v>
      </c>
      <c r="E602">
        <v>4</v>
      </c>
      <c r="F602">
        <v>2.1945516517412029E-7</v>
      </c>
      <c r="G602">
        <v>5.610803046554043E-8</v>
      </c>
      <c r="H602">
        <v>6.8275536233541985E-8</v>
      </c>
      <c r="I602" t="s">
        <v>2231</v>
      </c>
      <c r="L602" t="s">
        <v>2295</v>
      </c>
    </row>
    <row r="603" spans="1:12" hidden="1" x14ac:dyDescent="0.25">
      <c r="A603" s="516">
        <v>578</v>
      </c>
      <c r="B603" t="s">
        <v>441</v>
      </c>
      <c r="C603" t="s">
        <v>432</v>
      </c>
      <c r="D603" t="s">
        <v>2279</v>
      </c>
      <c r="E603">
        <v>4</v>
      </c>
      <c r="F603">
        <v>2.47842773768138E-6</v>
      </c>
      <c r="G603">
        <v>6.3365881091080473E-7</v>
      </c>
      <c r="H603">
        <v>8.1067158757296726E-7</v>
      </c>
      <c r="I603" t="s">
        <v>2231</v>
      </c>
      <c r="L603" t="s">
        <v>2295</v>
      </c>
    </row>
    <row r="604" spans="1:12" hidden="1" x14ac:dyDescent="0.25">
      <c r="A604" s="516">
        <v>579</v>
      </c>
      <c r="B604" t="s">
        <v>441</v>
      </c>
      <c r="C604" t="s">
        <v>432</v>
      </c>
      <c r="D604" t="s">
        <v>2279</v>
      </c>
      <c r="E604">
        <v>4</v>
      </c>
      <c r="F604">
        <v>3.4557648853530473E-7</v>
      </c>
      <c r="G604">
        <v>8.8353428052282276E-8</v>
      </c>
      <c r="H604">
        <v>1.124538243846574E-7</v>
      </c>
      <c r="I604" t="s">
        <v>2231</v>
      </c>
      <c r="L604" t="s">
        <v>2295</v>
      </c>
    </row>
    <row r="605" spans="1:12" hidden="1" x14ac:dyDescent="0.25">
      <c r="A605" s="516">
        <v>580</v>
      </c>
      <c r="B605" t="s">
        <v>441</v>
      </c>
      <c r="C605" t="s">
        <v>432</v>
      </c>
      <c r="D605" t="s">
        <v>2279</v>
      </c>
      <c r="E605">
        <v>4</v>
      </c>
      <c r="F605">
        <v>6.9524722589911184E-7</v>
      </c>
      <c r="G605">
        <v>1.777536313664767E-7</v>
      </c>
      <c r="H605">
        <v>2.0884281671436361E-7</v>
      </c>
      <c r="I605" t="s">
        <v>2231</v>
      </c>
      <c r="L605" t="s">
        <v>2295</v>
      </c>
    </row>
    <row r="606" spans="1:12" hidden="1" x14ac:dyDescent="0.25">
      <c r="A606" s="516">
        <v>581</v>
      </c>
      <c r="B606" t="s">
        <v>441</v>
      </c>
      <c r="C606" t="s">
        <v>432</v>
      </c>
      <c r="D606" t="s">
        <v>2279</v>
      </c>
      <c r="E606">
        <v>4</v>
      </c>
      <c r="F606">
        <v>3.2121489264680602E-7</v>
      </c>
      <c r="G606">
        <v>8.2124906781358624E-8</v>
      </c>
      <c r="H606">
        <v>1.044214083571819E-7</v>
      </c>
      <c r="I606" t="s">
        <v>2231</v>
      </c>
      <c r="L606" t="s">
        <v>2295</v>
      </c>
    </row>
    <row r="607" spans="1:12" hidden="1" x14ac:dyDescent="0.25">
      <c r="A607" s="516">
        <v>582</v>
      </c>
      <c r="B607" t="s">
        <v>441</v>
      </c>
      <c r="C607" t="s">
        <v>432</v>
      </c>
      <c r="D607" t="s">
        <v>2279</v>
      </c>
      <c r="E607">
        <v>4</v>
      </c>
      <c r="F607">
        <v>4.9332211621359013E-7</v>
      </c>
      <c r="G607">
        <v>1.261275044671454E-7</v>
      </c>
      <c r="H607">
        <v>1.044214083571819E-7</v>
      </c>
      <c r="I607" t="s">
        <v>2231</v>
      </c>
      <c r="L607" t="s">
        <v>2295</v>
      </c>
    </row>
    <row r="608" spans="1:12" hidden="1" x14ac:dyDescent="0.25">
      <c r="A608" s="516">
        <v>583</v>
      </c>
      <c r="B608" t="s">
        <v>441</v>
      </c>
      <c r="C608" t="s">
        <v>432</v>
      </c>
      <c r="D608" t="s">
        <v>2279</v>
      </c>
      <c r="E608">
        <v>4</v>
      </c>
      <c r="F608">
        <v>4.7849039711007949E-5</v>
      </c>
      <c r="G608">
        <v>1.2233548368396699E-5</v>
      </c>
      <c r="H608">
        <v>5.798008747587617E-5</v>
      </c>
      <c r="I608" t="s">
        <v>2231</v>
      </c>
      <c r="L608" t="s">
        <v>2295</v>
      </c>
    </row>
    <row r="609" spans="1:12" hidden="1" x14ac:dyDescent="0.25">
      <c r="A609" s="516">
        <v>584</v>
      </c>
      <c r="B609" t="s">
        <v>441</v>
      </c>
      <c r="C609" t="s">
        <v>432</v>
      </c>
      <c r="D609" t="s">
        <v>2279</v>
      </c>
      <c r="E609">
        <v>4</v>
      </c>
      <c r="F609">
        <v>3.6484120620102868E-6</v>
      </c>
      <c r="G609">
        <v>9.3278832131246926E-7</v>
      </c>
      <c r="H609">
        <v>1.6724524654590221E-6</v>
      </c>
      <c r="I609" t="s">
        <v>2231</v>
      </c>
      <c r="L609" t="s">
        <v>2295</v>
      </c>
    </row>
    <row r="610" spans="1:12" hidden="1" x14ac:dyDescent="0.25">
      <c r="A610" s="516">
        <v>585</v>
      </c>
      <c r="B610" t="s">
        <v>441</v>
      </c>
      <c r="C610" t="s">
        <v>432</v>
      </c>
      <c r="D610" t="s">
        <v>2279</v>
      </c>
      <c r="E610">
        <v>4</v>
      </c>
      <c r="F610">
        <v>5.7626688450561597E-8</v>
      </c>
      <c r="G610">
        <v>1.473339663091062E-8</v>
      </c>
      <c r="H610">
        <v>2.409724808242658E-8</v>
      </c>
      <c r="I610" t="s">
        <v>2231</v>
      </c>
      <c r="L610" t="s">
        <v>2295</v>
      </c>
    </row>
    <row r="611" spans="1:12" hidden="1" x14ac:dyDescent="0.25">
      <c r="A611" s="516">
        <v>586</v>
      </c>
      <c r="B611" t="s">
        <v>441</v>
      </c>
      <c r="C611" t="s">
        <v>432</v>
      </c>
      <c r="D611" t="s">
        <v>2279</v>
      </c>
      <c r="E611">
        <v>4</v>
      </c>
      <c r="F611">
        <v>3.3146281901884742E-7</v>
      </c>
      <c r="G611">
        <v>8.4744990772705567E-8</v>
      </c>
      <c r="H611">
        <v>6.927958823697639E-8</v>
      </c>
      <c r="I611" t="s">
        <v>2231</v>
      </c>
      <c r="L611" t="s">
        <v>2295</v>
      </c>
    </row>
    <row r="612" spans="1:12" hidden="1" x14ac:dyDescent="0.25">
      <c r="A612" s="516">
        <v>587</v>
      </c>
      <c r="B612" t="s">
        <v>441</v>
      </c>
      <c r="C612" t="s">
        <v>432</v>
      </c>
      <c r="D612" t="s">
        <v>2279</v>
      </c>
      <c r="E612">
        <v>4</v>
      </c>
      <c r="F612">
        <v>3.8238219736291618E-7</v>
      </c>
      <c r="G612">
        <v>9.7763531617477205E-8</v>
      </c>
      <c r="H612">
        <v>1.9277798465941261E-7</v>
      </c>
      <c r="I612" t="s">
        <v>2231</v>
      </c>
      <c r="L612" t="s">
        <v>2295</v>
      </c>
    </row>
    <row r="613" spans="1:12" hidden="1" x14ac:dyDescent="0.25">
      <c r="A613" s="516">
        <v>588</v>
      </c>
      <c r="B613" t="s">
        <v>441</v>
      </c>
      <c r="C613" t="s">
        <v>432</v>
      </c>
      <c r="D613" t="s">
        <v>2279</v>
      </c>
      <c r="E613">
        <v>4</v>
      </c>
      <c r="F613">
        <v>1.540465771037237E-6</v>
      </c>
      <c r="G613">
        <v>3.9385038098284081E-7</v>
      </c>
      <c r="H613">
        <v>4.137798711353674E-7</v>
      </c>
      <c r="I613" t="s">
        <v>2231</v>
      </c>
      <c r="L613" t="s">
        <v>2295</v>
      </c>
    </row>
    <row r="614" spans="1:12" hidden="1" x14ac:dyDescent="0.25">
      <c r="A614" s="516">
        <v>589</v>
      </c>
      <c r="B614" t="s">
        <v>441</v>
      </c>
      <c r="C614" t="s">
        <v>432</v>
      </c>
      <c r="D614" t="s">
        <v>2279</v>
      </c>
      <c r="E614">
        <v>4</v>
      </c>
      <c r="F614">
        <v>2.3752987089228479E-8</v>
      </c>
      <c r="G614">
        <v>6.0729184578207641E-9</v>
      </c>
      <c r="H614">
        <v>8.032416027475526E-9</v>
      </c>
      <c r="I614" t="s">
        <v>2231</v>
      </c>
      <c r="L614" t="s">
        <v>2295</v>
      </c>
    </row>
    <row r="615" spans="1:12" hidden="1" x14ac:dyDescent="0.25">
      <c r="A615" s="516">
        <v>590</v>
      </c>
      <c r="B615" t="s">
        <v>441</v>
      </c>
      <c r="C615" t="s">
        <v>432</v>
      </c>
      <c r="D615" t="s">
        <v>2279</v>
      </c>
      <c r="E615">
        <v>4</v>
      </c>
      <c r="F615">
        <v>3.4090945382333389E-7</v>
      </c>
      <c r="G615">
        <v>8.7160208810460243E-8</v>
      </c>
      <c r="H615">
        <v>6.927958823697639E-8</v>
      </c>
      <c r="I615" t="s">
        <v>2231</v>
      </c>
      <c r="L615" t="s">
        <v>2295</v>
      </c>
    </row>
    <row r="616" spans="1:12" hidden="1" x14ac:dyDescent="0.25">
      <c r="A616" s="516">
        <v>591</v>
      </c>
      <c r="B616" t="s">
        <v>441</v>
      </c>
      <c r="C616" t="s">
        <v>432</v>
      </c>
      <c r="D616" t="s">
        <v>2279</v>
      </c>
      <c r="E616">
        <v>4</v>
      </c>
      <c r="F616">
        <v>2.469145968524975E-8</v>
      </c>
      <c r="G616">
        <v>6.3128574401949469E-9</v>
      </c>
      <c r="H616">
        <v>1.204862404121329E-8</v>
      </c>
      <c r="I616" t="s">
        <v>2231</v>
      </c>
      <c r="L616" t="s">
        <v>2295</v>
      </c>
    </row>
    <row r="617" spans="1:12" hidden="1" x14ac:dyDescent="0.25">
      <c r="A617" s="516">
        <v>592</v>
      </c>
      <c r="B617" t="s">
        <v>441</v>
      </c>
      <c r="C617" t="s">
        <v>432</v>
      </c>
      <c r="D617" t="s">
        <v>2279</v>
      </c>
      <c r="E617">
        <v>4</v>
      </c>
      <c r="F617">
        <v>1.1895833184633971E-11</v>
      </c>
      <c r="G617">
        <v>3.0414037883631469E-12</v>
      </c>
      <c r="H617">
        <v>1.8233200011773819E-13</v>
      </c>
      <c r="I617" t="s">
        <v>2231</v>
      </c>
      <c r="L617" t="s">
        <v>2295</v>
      </c>
    </row>
    <row r="618" spans="1:12" x14ac:dyDescent="0.25">
      <c r="A618" s="568">
        <v>593</v>
      </c>
      <c r="B618" s="417" t="s">
        <v>441</v>
      </c>
      <c r="C618" s="417" t="s">
        <v>432</v>
      </c>
      <c r="D618" s="417" t="s">
        <v>2279</v>
      </c>
      <c r="E618" s="417">
        <v>2</v>
      </c>
      <c r="F618" s="417">
        <v>0.57377435633770024</v>
      </c>
      <c r="G618" s="417">
        <v>0.14669670244579869</v>
      </c>
      <c r="H618" s="417">
        <v>1.345215447737791E-5</v>
      </c>
      <c r="I618" s="417" t="s">
        <v>2090</v>
      </c>
      <c r="J618" s="417" t="s">
        <v>432</v>
      </c>
      <c r="K618" s="417" t="s">
        <v>1047</v>
      </c>
    </row>
    <row r="619" spans="1:12" x14ac:dyDescent="0.25">
      <c r="A619" s="516">
        <v>594</v>
      </c>
      <c r="B619" t="s">
        <v>441</v>
      </c>
      <c r="C619" t="s">
        <v>432</v>
      </c>
      <c r="D619" t="s">
        <v>2279</v>
      </c>
      <c r="E619">
        <v>3</v>
      </c>
      <c r="F619">
        <v>1.427260029645118E-3</v>
      </c>
      <c r="G619">
        <v>3.6490710602340418E-4</v>
      </c>
      <c r="H619">
        <v>1.775618624925329E-3</v>
      </c>
      <c r="I619" t="s">
        <v>1034</v>
      </c>
      <c r="J619" t="s">
        <v>432</v>
      </c>
      <c r="K619" t="s">
        <v>433</v>
      </c>
      <c r="L619" t="str">
        <f>O9</f>
        <v>Energy use, vertical</v>
      </c>
    </row>
    <row r="620" spans="1:12" hidden="1" x14ac:dyDescent="0.25">
      <c r="A620" s="516">
        <v>595</v>
      </c>
      <c r="B620" t="s">
        <v>441</v>
      </c>
      <c r="C620" t="s">
        <v>432</v>
      </c>
      <c r="D620" t="s">
        <v>2279</v>
      </c>
      <c r="E620">
        <v>4</v>
      </c>
      <c r="F620">
        <v>5.3671555061141074E-6</v>
      </c>
      <c r="G620">
        <v>1.3722188967911149E-6</v>
      </c>
      <c r="H620">
        <v>6.6771443756444723E-6</v>
      </c>
      <c r="I620" t="s">
        <v>2231</v>
      </c>
      <c r="L620" t="s">
        <v>2295</v>
      </c>
    </row>
    <row r="621" spans="1:12" hidden="1" x14ac:dyDescent="0.25">
      <c r="A621" s="516">
        <v>596</v>
      </c>
      <c r="B621" t="s">
        <v>441</v>
      </c>
      <c r="C621" t="s">
        <v>432</v>
      </c>
      <c r="D621" t="s">
        <v>2279</v>
      </c>
      <c r="E621">
        <v>4</v>
      </c>
      <c r="F621">
        <v>2.4622920673657E-6</v>
      </c>
      <c r="G621">
        <v>6.2953340934672778E-7</v>
      </c>
      <c r="H621">
        <v>1.2685391188773391E-5</v>
      </c>
      <c r="I621" t="s">
        <v>2231</v>
      </c>
      <c r="L621" t="s">
        <v>2295</v>
      </c>
    </row>
    <row r="622" spans="1:12" hidden="1" x14ac:dyDescent="0.25">
      <c r="A622" s="516">
        <v>597</v>
      </c>
      <c r="B622" t="s">
        <v>441</v>
      </c>
      <c r="C622" t="s">
        <v>432</v>
      </c>
      <c r="D622" t="s">
        <v>2279</v>
      </c>
      <c r="E622">
        <v>4</v>
      </c>
      <c r="F622">
        <v>3.4994334396662858E-4</v>
      </c>
      <c r="G622">
        <v>8.9469900555378431E-5</v>
      </c>
      <c r="H622">
        <v>1.762933233736555E-3</v>
      </c>
      <c r="I622" t="s">
        <v>2259</v>
      </c>
      <c r="J622" t="s">
        <v>432</v>
      </c>
      <c r="K622" t="s">
        <v>433</v>
      </c>
      <c r="L622" t="s">
        <v>2295</v>
      </c>
    </row>
    <row r="623" spans="1:12" hidden="1" x14ac:dyDescent="0.25">
      <c r="A623" s="516">
        <v>598</v>
      </c>
      <c r="B623" t="s">
        <v>441</v>
      </c>
      <c r="C623" t="s">
        <v>432</v>
      </c>
      <c r="D623" t="s">
        <v>2279</v>
      </c>
      <c r="E623">
        <v>4</v>
      </c>
      <c r="F623">
        <v>6.2556929074000856E-9</v>
      </c>
      <c r="G623">
        <v>1.599390964222613E-9</v>
      </c>
      <c r="H623">
        <v>9.5883405745967752E-11</v>
      </c>
      <c r="I623" t="s">
        <v>2231</v>
      </c>
      <c r="L623" t="s">
        <v>2295</v>
      </c>
    </row>
    <row r="624" spans="1:12" hidden="1" x14ac:dyDescent="0.25">
      <c r="A624" s="516">
        <v>599</v>
      </c>
      <c r="B624" t="s">
        <v>441</v>
      </c>
      <c r="C624" t="s">
        <v>432</v>
      </c>
      <c r="D624" t="s">
        <v>2279</v>
      </c>
      <c r="E624">
        <v>4</v>
      </c>
      <c r="F624">
        <v>1.069480948010884E-3</v>
      </c>
      <c r="G624">
        <v>2.7343384497557552E-4</v>
      </c>
      <c r="H624">
        <v>3.3075811248947343E-11</v>
      </c>
      <c r="I624" t="s">
        <v>2260</v>
      </c>
      <c r="J624" t="s">
        <v>462</v>
      </c>
      <c r="K624" t="s">
        <v>1995</v>
      </c>
      <c r="L624" t="s">
        <v>2295</v>
      </c>
    </row>
    <row r="625" spans="1:12" x14ac:dyDescent="0.25">
      <c r="A625" s="516">
        <v>600</v>
      </c>
      <c r="B625" t="s">
        <v>441</v>
      </c>
      <c r="C625" t="s">
        <v>432</v>
      </c>
      <c r="D625" t="s">
        <v>2279</v>
      </c>
      <c r="E625">
        <v>3</v>
      </c>
      <c r="F625">
        <v>5.2098414717625489E-2</v>
      </c>
      <c r="G625">
        <v>1.3319984689645429E-2</v>
      </c>
      <c r="H625">
        <v>8.9945686730693111E-4</v>
      </c>
      <c r="I625" t="s">
        <v>460</v>
      </c>
      <c r="J625" t="s">
        <v>462</v>
      </c>
      <c r="K625" t="s">
        <v>417</v>
      </c>
      <c r="L625" t="str">
        <f>O12</f>
        <v>Casing, steel</v>
      </c>
    </row>
    <row r="626" spans="1:12" hidden="1" x14ac:dyDescent="0.25">
      <c r="A626" s="516">
        <v>601</v>
      </c>
      <c r="B626" t="s">
        <v>441</v>
      </c>
      <c r="C626" t="s">
        <v>432</v>
      </c>
      <c r="D626" t="s">
        <v>2279</v>
      </c>
      <c r="E626">
        <v>4</v>
      </c>
      <c r="F626">
        <v>6.3669979868241217E-3</v>
      </c>
      <c r="G626">
        <v>1.6278482975569111E-3</v>
      </c>
      <c r="H626">
        <v>1.172163618297076E-4</v>
      </c>
      <c r="I626" t="s">
        <v>580</v>
      </c>
      <c r="J626" t="s">
        <v>419</v>
      </c>
      <c r="K626" t="s">
        <v>417</v>
      </c>
      <c r="L626" t="s">
        <v>2295</v>
      </c>
    </row>
    <row r="627" spans="1:12" hidden="1" x14ac:dyDescent="0.25">
      <c r="A627" s="516">
        <v>602</v>
      </c>
      <c r="B627" t="s">
        <v>441</v>
      </c>
      <c r="C627" t="s">
        <v>432</v>
      </c>
      <c r="D627" t="s">
        <v>2279</v>
      </c>
      <c r="E627">
        <v>4</v>
      </c>
      <c r="F627">
        <v>4.5053915235351842E-2</v>
      </c>
      <c r="G627">
        <v>1.1518919805835141E-2</v>
      </c>
      <c r="H627">
        <v>7.8224050547722357E-4</v>
      </c>
      <c r="I627" t="s">
        <v>580</v>
      </c>
      <c r="J627" t="s">
        <v>1992</v>
      </c>
      <c r="K627" t="s">
        <v>417</v>
      </c>
      <c r="L627" t="s">
        <v>2295</v>
      </c>
    </row>
    <row r="628" spans="1:12" hidden="1" x14ac:dyDescent="0.25">
      <c r="A628" s="516">
        <v>603</v>
      </c>
      <c r="B628" t="s">
        <v>441</v>
      </c>
      <c r="C628" t="s">
        <v>432</v>
      </c>
      <c r="D628" t="s">
        <v>2279</v>
      </c>
      <c r="E628">
        <v>4</v>
      </c>
      <c r="F628">
        <v>9.4247710424771142E-5</v>
      </c>
      <c r="G628">
        <v>2.4096281368564919E-5</v>
      </c>
      <c r="H628">
        <v>1.7116664184850899E-4</v>
      </c>
      <c r="I628" t="s">
        <v>2231</v>
      </c>
      <c r="L628" t="s">
        <v>2295</v>
      </c>
    </row>
    <row r="629" spans="1:12" hidden="1" x14ac:dyDescent="0.25">
      <c r="A629" s="516">
        <v>604</v>
      </c>
      <c r="B629" t="s">
        <v>441</v>
      </c>
      <c r="C629" t="s">
        <v>432</v>
      </c>
      <c r="D629" t="s">
        <v>2279</v>
      </c>
      <c r="E629">
        <v>4</v>
      </c>
      <c r="F629">
        <v>4.6052797713181678E-6</v>
      </c>
      <c r="G629">
        <v>1.177430376297784E-6</v>
      </c>
      <c r="H629">
        <v>1.8079083032869311E-5</v>
      </c>
      <c r="I629" t="s">
        <v>2231</v>
      </c>
      <c r="L629" t="s">
        <v>2295</v>
      </c>
    </row>
    <row r="630" spans="1:12" hidden="1" x14ac:dyDescent="0.25">
      <c r="A630" s="516">
        <v>605</v>
      </c>
      <c r="B630" t="s">
        <v>441</v>
      </c>
      <c r="C630" t="s">
        <v>432</v>
      </c>
      <c r="D630" t="s">
        <v>2279</v>
      </c>
      <c r="E630">
        <v>4</v>
      </c>
      <c r="F630">
        <v>5.6781891980891414E-4</v>
      </c>
      <c r="G630">
        <v>1.4517407793191399E-4</v>
      </c>
      <c r="H630">
        <v>1.8573784309888129E-4</v>
      </c>
      <c r="I630" t="s">
        <v>2255</v>
      </c>
      <c r="J630" t="s">
        <v>462</v>
      </c>
      <c r="K630" t="s">
        <v>925</v>
      </c>
      <c r="L630" t="s">
        <v>2295</v>
      </c>
    </row>
    <row r="631" spans="1:12" hidden="1" x14ac:dyDescent="0.25">
      <c r="A631" s="516">
        <v>606</v>
      </c>
      <c r="B631" t="s">
        <v>441</v>
      </c>
      <c r="C631" t="s">
        <v>432</v>
      </c>
      <c r="D631" t="s">
        <v>2279</v>
      </c>
      <c r="E631">
        <v>4</v>
      </c>
      <c r="F631">
        <v>1.0830364230235649E-5</v>
      </c>
      <c r="G631">
        <v>2.768995688485267E-6</v>
      </c>
      <c r="H631">
        <v>3.9657053279562588E-4</v>
      </c>
      <c r="I631" t="s">
        <v>2231</v>
      </c>
      <c r="L631" t="s">
        <v>2295</v>
      </c>
    </row>
    <row r="632" spans="1:12" x14ac:dyDescent="0.25">
      <c r="A632" s="516">
        <v>607</v>
      </c>
      <c r="B632" t="s">
        <v>441</v>
      </c>
      <c r="C632" t="s">
        <v>432</v>
      </c>
      <c r="D632" t="s">
        <v>2279</v>
      </c>
      <c r="E632">
        <v>3</v>
      </c>
      <c r="F632">
        <v>1.68082193743507E-3</v>
      </c>
      <c r="G632">
        <v>4.2973519624352408E-4</v>
      </c>
      <c r="H632">
        <v>9.4973176160183628E-4</v>
      </c>
      <c r="I632" t="s">
        <v>1060</v>
      </c>
      <c r="J632" t="s">
        <v>459</v>
      </c>
      <c r="K632" t="s">
        <v>417</v>
      </c>
      <c r="L632" t="str">
        <f>O11</f>
        <v>Casing, cement</v>
      </c>
    </row>
    <row r="633" spans="1:12" hidden="1" x14ac:dyDescent="0.25">
      <c r="A633" s="516">
        <v>608</v>
      </c>
      <c r="B633" t="s">
        <v>441</v>
      </c>
      <c r="C633" t="s">
        <v>432</v>
      </c>
      <c r="D633" t="s">
        <v>2279</v>
      </c>
      <c r="E633">
        <v>4</v>
      </c>
      <c r="F633">
        <v>1.5032540009356811E-3</v>
      </c>
      <c r="G633">
        <v>3.843364598642459E-4</v>
      </c>
      <c r="H633">
        <v>9.4973176160183628E-4</v>
      </c>
      <c r="I633" t="s">
        <v>2263</v>
      </c>
      <c r="J633" t="s">
        <v>459</v>
      </c>
      <c r="K633" t="s">
        <v>417</v>
      </c>
      <c r="L633" t="s">
        <v>2295</v>
      </c>
    </row>
    <row r="634" spans="1:12" hidden="1" x14ac:dyDescent="0.25">
      <c r="A634" s="516">
        <v>609</v>
      </c>
      <c r="B634" t="s">
        <v>441</v>
      </c>
      <c r="C634" t="s">
        <v>432</v>
      </c>
      <c r="D634" t="s">
        <v>2279</v>
      </c>
      <c r="E634">
        <v>4</v>
      </c>
      <c r="F634">
        <v>1.472054685412468E-5</v>
      </c>
      <c r="G634">
        <v>3.763597410456591E-6</v>
      </c>
      <c r="H634">
        <v>2.3743294040045909E-5</v>
      </c>
      <c r="I634" t="s">
        <v>2231</v>
      </c>
      <c r="L634" t="s">
        <v>2295</v>
      </c>
    </row>
    <row r="635" spans="1:12" hidden="1" x14ac:dyDescent="0.25">
      <c r="A635" s="516">
        <v>610</v>
      </c>
      <c r="B635" t="s">
        <v>441</v>
      </c>
      <c r="C635" t="s">
        <v>432</v>
      </c>
      <c r="D635" t="s">
        <v>2279</v>
      </c>
      <c r="E635">
        <v>4</v>
      </c>
      <c r="F635">
        <v>4.9542409526553532E-5</v>
      </c>
      <c r="G635">
        <v>1.266649167654201E-5</v>
      </c>
      <c r="H635">
        <v>3.13411481328606E-6</v>
      </c>
      <c r="I635" t="s">
        <v>2231</v>
      </c>
      <c r="L635" t="s">
        <v>2295</v>
      </c>
    </row>
    <row r="636" spans="1:12" hidden="1" x14ac:dyDescent="0.25">
      <c r="A636" s="516">
        <v>611</v>
      </c>
      <c r="B636" t="s">
        <v>441</v>
      </c>
      <c r="C636" t="s">
        <v>432</v>
      </c>
      <c r="D636" t="s">
        <v>2279</v>
      </c>
      <c r="E636">
        <v>4</v>
      </c>
      <c r="F636">
        <v>1.133049811407191E-4</v>
      </c>
      <c r="G636">
        <v>2.8968647553576239E-5</v>
      </c>
      <c r="H636">
        <v>1.015263253152363E-4</v>
      </c>
      <c r="I636" t="s">
        <v>2266</v>
      </c>
      <c r="J636" t="s">
        <v>419</v>
      </c>
      <c r="K636" t="s">
        <v>925</v>
      </c>
      <c r="L636" t="s">
        <v>2295</v>
      </c>
    </row>
    <row r="637" spans="1:12" x14ac:dyDescent="0.25">
      <c r="A637" s="516">
        <v>612</v>
      </c>
      <c r="B637" t="s">
        <v>441</v>
      </c>
      <c r="C637" t="s">
        <v>432</v>
      </c>
      <c r="D637" t="s">
        <v>2279</v>
      </c>
      <c r="E637">
        <v>3</v>
      </c>
      <c r="F637">
        <v>6.6906964555870873E-7</v>
      </c>
      <c r="G637">
        <v>1.710608179433426E-7</v>
      </c>
      <c r="H637">
        <v>3.7989270464073449E-4</v>
      </c>
      <c r="I637" t="s">
        <v>2231</v>
      </c>
    </row>
    <row r="638" spans="1:12" x14ac:dyDescent="0.25">
      <c r="A638" s="516">
        <v>613</v>
      </c>
      <c r="B638" t="s">
        <v>441</v>
      </c>
      <c r="C638" t="s">
        <v>432</v>
      </c>
      <c r="D638" t="s">
        <v>2279</v>
      </c>
      <c r="E638">
        <v>3</v>
      </c>
      <c r="F638">
        <v>0</v>
      </c>
      <c r="G638">
        <v>0</v>
      </c>
      <c r="H638">
        <v>0</v>
      </c>
      <c r="I638" t="s">
        <v>2231</v>
      </c>
    </row>
    <row r="639" spans="1:12" x14ac:dyDescent="0.25">
      <c r="A639" s="516">
        <v>614</v>
      </c>
      <c r="B639" t="s">
        <v>441</v>
      </c>
      <c r="C639" t="s">
        <v>432</v>
      </c>
      <c r="D639" t="s">
        <v>2279</v>
      </c>
      <c r="E639">
        <v>3</v>
      </c>
      <c r="F639">
        <v>0</v>
      </c>
      <c r="G639">
        <v>0</v>
      </c>
      <c r="H639">
        <v>0</v>
      </c>
      <c r="I639" t="s">
        <v>2231</v>
      </c>
    </row>
    <row r="640" spans="1:12" x14ac:dyDescent="0.25">
      <c r="A640" s="516">
        <v>615</v>
      </c>
      <c r="B640" t="s">
        <v>441</v>
      </c>
      <c r="C640" t="s">
        <v>432</v>
      </c>
      <c r="D640" t="s">
        <v>2279</v>
      </c>
      <c r="E640">
        <v>3</v>
      </c>
      <c r="F640">
        <v>0</v>
      </c>
      <c r="G640">
        <v>0</v>
      </c>
      <c r="H640">
        <v>0</v>
      </c>
      <c r="I640" t="s">
        <v>2231</v>
      </c>
    </row>
    <row r="641" spans="1:12" x14ac:dyDescent="0.25">
      <c r="A641" s="516">
        <v>616</v>
      </c>
      <c r="B641" t="s">
        <v>441</v>
      </c>
      <c r="C641" t="s">
        <v>432</v>
      </c>
      <c r="D641" t="s">
        <v>2279</v>
      </c>
      <c r="E641">
        <v>3</v>
      </c>
      <c r="F641">
        <v>7.3797415013886685E-5</v>
      </c>
      <c r="G641">
        <v>1.8867761014383161E-5</v>
      </c>
      <c r="H641">
        <v>3.2613403314955022E-4</v>
      </c>
      <c r="I641" t="s">
        <v>2231</v>
      </c>
    </row>
    <row r="642" spans="1:12" x14ac:dyDescent="0.25">
      <c r="A642" s="516">
        <v>617</v>
      </c>
      <c r="B642" t="s">
        <v>441</v>
      </c>
      <c r="C642" t="s">
        <v>432</v>
      </c>
      <c r="D642" t="s">
        <v>2279</v>
      </c>
      <c r="E642">
        <v>3</v>
      </c>
      <c r="F642">
        <v>0.51294828107670709</v>
      </c>
      <c r="G642">
        <v>0.1311453196331169</v>
      </c>
      <c r="H642">
        <v>-3.4494136018575578E-3</v>
      </c>
      <c r="I642" t="s">
        <v>1073</v>
      </c>
      <c r="J642" t="s">
        <v>432</v>
      </c>
      <c r="K642" t="s">
        <v>417</v>
      </c>
      <c r="L642" t="str">
        <f>O17</f>
        <v>Drilling waste</v>
      </c>
    </row>
    <row r="643" spans="1:12" hidden="1" x14ac:dyDescent="0.25">
      <c r="A643" s="516">
        <v>618</v>
      </c>
      <c r="B643" t="s">
        <v>441</v>
      </c>
      <c r="C643" t="s">
        <v>432</v>
      </c>
      <c r="D643" t="s">
        <v>2279</v>
      </c>
      <c r="E643">
        <v>4</v>
      </c>
      <c r="F643">
        <v>-0.50897645761252952</v>
      </c>
      <c r="G643">
        <v>-0.1301298448241508</v>
      </c>
      <c r="H643">
        <v>2.0696481611145348E-3</v>
      </c>
      <c r="I643" t="s">
        <v>2268</v>
      </c>
      <c r="J643" t="s">
        <v>432</v>
      </c>
      <c r="K643" t="s">
        <v>417</v>
      </c>
      <c r="L643" t="s">
        <v>2295</v>
      </c>
    </row>
    <row r="644" spans="1:12" hidden="1" x14ac:dyDescent="0.25">
      <c r="A644" s="516">
        <v>619</v>
      </c>
      <c r="B644" t="s">
        <v>441</v>
      </c>
      <c r="C644" t="s">
        <v>432</v>
      </c>
      <c r="D644" t="s">
        <v>2279</v>
      </c>
      <c r="E644">
        <v>4</v>
      </c>
      <c r="F644">
        <v>-3.8695570689360232E-3</v>
      </c>
      <c r="G644">
        <v>-9.8932839306720144E-4</v>
      </c>
      <c r="H644">
        <v>1.3797654407430231E-3</v>
      </c>
      <c r="I644" t="s">
        <v>2269</v>
      </c>
      <c r="J644" t="s">
        <v>432</v>
      </c>
      <c r="K644" t="s">
        <v>417</v>
      </c>
      <c r="L644" t="s">
        <v>2295</v>
      </c>
    </row>
    <row r="645" spans="1:12" hidden="1" x14ac:dyDescent="0.25">
      <c r="A645" s="516">
        <v>620</v>
      </c>
      <c r="B645" t="s">
        <v>441</v>
      </c>
      <c r="C645" t="s">
        <v>432</v>
      </c>
      <c r="D645" t="s">
        <v>2279</v>
      </c>
      <c r="E645">
        <v>4</v>
      </c>
      <c r="F645">
        <v>-3.0419231753168618E-6</v>
      </c>
      <c r="G645">
        <v>-7.7772750556631386E-7</v>
      </c>
      <c r="H645">
        <v>-1.227991242261291E-5</v>
      </c>
      <c r="I645" t="s">
        <v>2231</v>
      </c>
      <c r="L645" t="s">
        <v>2295</v>
      </c>
    </row>
    <row r="646" spans="1:12" hidden="1" x14ac:dyDescent="0.25">
      <c r="A646" s="516">
        <v>621</v>
      </c>
      <c r="B646" t="s">
        <v>441</v>
      </c>
      <c r="C646" t="s">
        <v>432</v>
      </c>
      <c r="D646" t="s">
        <v>2279</v>
      </c>
      <c r="E646">
        <v>4</v>
      </c>
      <c r="F646">
        <v>-9.9204192297350617E-5</v>
      </c>
      <c r="G646">
        <v>-2.5363503471484841E-5</v>
      </c>
      <c r="H646">
        <v>-8.8891388519869285E-5</v>
      </c>
      <c r="I646" t="s">
        <v>2231</v>
      </c>
      <c r="L646" t="s">
        <v>2295</v>
      </c>
    </row>
    <row r="647" spans="1:12" x14ac:dyDescent="0.25">
      <c r="A647" s="516">
        <v>622</v>
      </c>
      <c r="B647" t="s">
        <v>441</v>
      </c>
      <c r="C647" t="s">
        <v>432</v>
      </c>
      <c r="D647" t="s">
        <v>2279</v>
      </c>
      <c r="E647">
        <v>3</v>
      </c>
      <c r="F647">
        <v>5.5451239821344162E-3</v>
      </c>
      <c r="G647">
        <v>1.4177200389790001E-3</v>
      </c>
      <c r="H647">
        <v>2.4911397180329472E-10</v>
      </c>
      <c r="I647" t="s">
        <v>1038</v>
      </c>
      <c r="J647" t="s">
        <v>432</v>
      </c>
      <c r="K647" t="s">
        <v>416</v>
      </c>
      <c r="L647" t="str">
        <f>O22</f>
        <v>Drilling equipment</v>
      </c>
    </row>
    <row r="648" spans="1:12" hidden="1" x14ac:dyDescent="0.25">
      <c r="A648" s="516">
        <v>623</v>
      </c>
      <c r="B648" t="s">
        <v>441</v>
      </c>
      <c r="C648" t="s">
        <v>432</v>
      </c>
      <c r="D648" t="s">
        <v>2279</v>
      </c>
      <c r="E648">
        <v>4</v>
      </c>
      <c r="F648">
        <v>1.010043998849577E-4</v>
      </c>
      <c r="G648">
        <v>2.5823761957948861E-5</v>
      </c>
      <c r="H648">
        <v>1.743797802623063E-6</v>
      </c>
      <c r="I648" t="s">
        <v>460</v>
      </c>
      <c r="J648" t="s">
        <v>462</v>
      </c>
      <c r="K648" t="s">
        <v>417</v>
      </c>
      <c r="L648" t="s">
        <v>2295</v>
      </c>
    </row>
    <row r="649" spans="1:12" hidden="1" x14ac:dyDescent="0.25">
      <c r="A649" s="516">
        <v>624</v>
      </c>
      <c r="B649" t="s">
        <v>441</v>
      </c>
      <c r="C649" t="s">
        <v>432</v>
      </c>
      <c r="D649" t="s">
        <v>2279</v>
      </c>
      <c r="E649">
        <v>4</v>
      </c>
      <c r="F649">
        <v>2.5455859452604588E-3</v>
      </c>
      <c r="G649">
        <v>6.5082912792689478E-4</v>
      </c>
      <c r="H649">
        <v>7.4734191540988415E-7</v>
      </c>
      <c r="I649" t="s">
        <v>1494</v>
      </c>
      <c r="J649" t="s">
        <v>462</v>
      </c>
      <c r="K649" t="s">
        <v>417</v>
      </c>
      <c r="L649" t="s">
        <v>2295</v>
      </c>
    </row>
    <row r="650" spans="1:12" hidden="1" x14ac:dyDescent="0.25">
      <c r="A650" s="516">
        <v>625</v>
      </c>
      <c r="B650" t="s">
        <v>441</v>
      </c>
      <c r="C650" t="s">
        <v>432</v>
      </c>
      <c r="D650" t="s">
        <v>2279</v>
      </c>
      <c r="E650">
        <v>4</v>
      </c>
      <c r="F650">
        <v>4.4087840973365501E-4</v>
      </c>
      <c r="G650">
        <v>1.1271923914530891E-4</v>
      </c>
      <c r="H650">
        <v>2.4911397180329471E-4</v>
      </c>
      <c r="I650" t="s">
        <v>1060</v>
      </c>
      <c r="J650" t="s">
        <v>459</v>
      </c>
      <c r="K650" t="s">
        <v>417</v>
      </c>
      <c r="L650" t="s">
        <v>2295</v>
      </c>
    </row>
    <row r="651" spans="1:12" hidden="1" x14ac:dyDescent="0.25">
      <c r="A651" s="516">
        <v>626</v>
      </c>
      <c r="B651" t="s">
        <v>441</v>
      </c>
      <c r="C651" t="s">
        <v>432</v>
      </c>
      <c r="D651" t="s">
        <v>2279</v>
      </c>
      <c r="E651">
        <v>4</v>
      </c>
      <c r="F651">
        <v>2.27380707640775E-3</v>
      </c>
      <c r="G651">
        <v>5.8134351321657775E-4</v>
      </c>
      <c r="H651">
        <v>7.4734191540988412E-5</v>
      </c>
      <c r="I651" t="s">
        <v>1105</v>
      </c>
      <c r="J651" t="s">
        <v>462</v>
      </c>
      <c r="K651" t="s">
        <v>417</v>
      </c>
      <c r="L651" t="s">
        <v>2295</v>
      </c>
    </row>
    <row r="652" spans="1:12" hidden="1" x14ac:dyDescent="0.25">
      <c r="A652" s="516">
        <v>627</v>
      </c>
      <c r="B652" t="s">
        <v>441</v>
      </c>
      <c r="C652" t="s">
        <v>432</v>
      </c>
      <c r="D652" t="s">
        <v>2279</v>
      </c>
      <c r="E652">
        <v>4</v>
      </c>
      <c r="F652">
        <v>2.19370620680617E-7</v>
      </c>
      <c r="G652">
        <v>5.6086415002475732E-8</v>
      </c>
      <c r="H652">
        <v>1.2455698590164741E-4</v>
      </c>
      <c r="I652" t="s">
        <v>2231</v>
      </c>
      <c r="L652" t="s">
        <v>2295</v>
      </c>
    </row>
    <row r="653" spans="1:12" hidden="1" x14ac:dyDescent="0.25">
      <c r="A653" s="516">
        <v>628</v>
      </c>
      <c r="B653" t="s">
        <v>441</v>
      </c>
      <c r="C653" t="s">
        <v>432</v>
      </c>
      <c r="D653" t="s">
        <v>2279</v>
      </c>
      <c r="E653">
        <v>4</v>
      </c>
      <c r="F653">
        <v>5.1221426688625977E-5</v>
      </c>
      <c r="G653">
        <v>1.3095765446457519E-5</v>
      </c>
      <c r="H653">
        <v>1.1210128731148261E-3</v>
      </c>
      <c r="I653" t="s">
        <v>2231</v>
      </c>
      <c r="L653" t="s">
        <v>2295</v>
      </c>
    </row>
    <row r="654" spans="1:12" hidden="1" x14ac:dyDescent="0.25">
      <c r="A654" s="516">
        <v>629</v>
      </c>
      <c r="B654" t="s">
        <v>441</v>
      </c>
      <c r="C654" t="s">
        <v>432</v>
      </c>
      <c r="D654" t="s">
        <v>2279</v>
      </c>
      <c r="E654">
        <v>4</v>
      </c>
      <c r="F654">
        <v>1.893040275888072E-5</v>
      </c>
      <c r="G654">
        <v>4.8399298958286072E-6</v>
      </c>
      <c r="H654">
        <v>-6.7260772386889571E-5</v>
      </c>
      <c r="I654" t="s">
        <v>2231</v>
      </c>
      <c r="L654" t="s">
        <v>2295</v>
      </c>
    </row>
    <row r="655" spans="1:12" hidden="1" x14ac:dyDescent="0.25">
      <c r="A655" s="516">
        <v>630</v>
      </c>
      <c r="B655" t="s">
        <v>441</v>
      </c>
      <c r="C655" t="s">
        <v>432</v>
      </c>
      <c r="D655" t="s">
        <v>2279</v>
      </c>
      <c r="E655">
        <v>4</v>
      </c>
      <c r="F655">
        <v>8.1151388462727219E-5</v>
      </c>
      <c r="G655">
        <v>2.0747949006235351E-5</v>
      </c>
      <c r="H655">
        <v>-1.3452154477377909E-3</v>
      </c>
      <c r="I655" t="s">
        <v>2231</v>
      </c>
      <c r="L655" t="s">
        <v>2295</v>
      </c>
    </row>
    <row r="656" spans="1:12" hidden="1" x14ac:dyDescent="0.25">
      <c r="A656" s="516">
        <v>631</v>
      </c>
      <c r="B656" t="s">
        <v>441</v>
      </c>
      <c r="C656" t="s">
        <v>432</v>
      </c>
      <c r="D656" t="s">
        <v>2279</v>
      </c>
      <c r="E656">
        <v>4</v>
      </c>
      <c r="F656">
        <v>3.2325562316681289E-5</v>
      </c>
      <c r="G656">
        <v>8.2646659687459777E-6</v>
      </c>
      <c r="H656">
        <v>-7.4734191540988415E-7</v>
      </c>
      <c r="I656" t="s">
        <v>2231</v>
      </c>
      <c r="L656" t="s">
        <v>2295</v>
      </c>
    </row>
    <row r="657" spans="1:12" x14ac:dyDescent="0.25">
      <c r="A657" s="568">
        <v>632</v>
      </c>
      <c r="B657" s="417" t="s">
        <v>441</v>
      </c>
      <c r="C657" s="417" t="s">
        <v>432</v>
      </c>
      <c r="D657" s="417" t="s">
        <v>2279</v>
      </c>
      <c r="E657" s="417">
        <v>2</v>
      </c>
      <c r="F657" s="417">
        <v>0.4125038244560017</v>
      </c>
      <c r="G657" s="417">
        <v>0.1054647181868139</v>
      </c>
      <c r="H657" s="417">
        <v>4.7082540670822703E-5</v>
      </c>
      <c r="I657" s="417" t="s">
        <v>2091</v>
      </c>
      <c r="J657" s="417" t="s">
        <v>432</v>
      </c>
      <c r="K657" s="417" t="s">
        <v>1047</v>
      </c>
    </row>
    <row r="658" spans="1:12" x14ac:dyDescent="0.25">
      <c r="A658" s="516">
        <v>633</v>
      </c>
      <c r="B658" t="s">
        <v>441</v>
      </c>
      <c r="C658" t="s">
        <v>432</v>
      </c>
      <c r="D658" t="s">
        <v>2279</v>
      </c>
      <c r="E658">
        <v>3</v>
      </c>
      <c r="F658">
        <v>7.4177018534599144E-3</v>
      </c>
      <c r="G658">
        <v>1.896481412264818E-3</v>
      </c>
      <c r="H658">
        <v>9.2281779714812485E-3</v>
      </c>
      <c r="I658" t="s">
        <v>1034</v>
      </c>
      <c r="J658" t="s">
        <v>432</v>
      </c>
      <c r="K658" t="s">
        <v>433</v>
      </c>
      <c r="L658" t="str">
        <f>O15</f>
        <v>Energy use, horizontal</v>
      </c>
    </row>
    <row r="659" spans="1:12" hidden="1" x14ac:dyDescent="0.25">
      <c r="A659" s="516">
        <v>634</v>
      </c>
      <c r="B659" t="s">
        <v>441</v>
      </c>
      <c r="C659" t="s">
        <v>432</v>
      </c>
      <c r="D659" t="s">
        <v>2279</v>
      </c>
      <c r="E659">
        <v>4</v>
      </c>
      <c r="F659">
        <v>2.7893977634482949E-5</v>
      </c>
      <c r="G659">
        <v>7.1316441592017601E-6</v>
      </c>
      <c r="H659">
        <v>3.4702202249265933E-5</v>
      </c>
      <c r="I659" t="s">
        <v>2231</v>
      </c>
      <c r="L659" t="s">
        <v>2295</v>
      </c>
    </row>
    <row r="660" spans="1:12" hidden="1" x14ac:dyDescent="0.25">
      <c r="A660" s="516">
        <v>635</v>
      </c>
      <c r="B660" t="s">
        <v>441</v>
      </c>
      <c r="C660" t="s">
        <v>432</v>
      </c>
      <c r="D660" t="s">
        <v>2279</v>
      </c>
      <c r="E660">
        <v>4</v>
      </c>
      <c r="F660">
        <v>1.279693121960393E-5</v>
      </c>
      <c r="G660">
        <v>3.2717872289097329E-6</v>
      </c>
      <c r="H660">
        <v>6.5928035381349892E-5</v>
      </c>
      <c r="I660" t="s">
        <v>2231</v>
      </c>
      <c r="L660" t="s">
        <v>2295</v>
      </c>
    </row>
    <row r="661" spans="1:12" hidden="1" x14ac:dyDescent="0.25">
      <c r="A661" s="516">
        <v>636</v>
      </c>
      <c r="B661" t="s">
        <v>441</v>
      </c>
      <c r="C661" t="s">
        <v>432</v>
      </c>
      <c r="D661" t="s">
        <v>2279</v>
      </c>
      <c r="E661">
        <v>4</v>
      </c>
      <c r="F661">
        <v>1.818712313966059E-3</v>
      </c>
      <c r="G661">
        <v>4.6498958381360961E-4</v>
      </c>
      <c r="H661">
        <v>9.162249936099898E-3</v>
      </c>
      <c r="I661" t="s">
        <v>2259</v>
      </c>
      <c r="J661" t="s">
        <v>432</v>
      </c>
      <c r="K661" t="s">
        <v>433</v>
      </c>
      <c r="L661" t="s">
        <v>2295</v>
      </c>
    </row>
    <row r="662" spans="1:12" hidden="1" x14ac:dyDescent="0.25">
      <c r="A662" s="516">
        <v>637</v>
      </c>
      <c r="B662" t="s">
        <v>441</v>
      </c>
      <c r="C662" t="s">
        <v>432</v>
      </c>
      <c r="D662" t="s">
        <v>2279</v>
      </c>
      <c r="E662">
        <v>4</v>
      </c>
      <c r="F662">
        <v>3.2511850615921892E-8</v>
      </c>
      <c r="G662">
        <v>8.3122942374215944E-9</v>
      </c>
      <c r="H662">
        <v>4.9832161045998741E-10</v>
      </c>
      <c r="I662" t="s">
        <v>2231</v>
      </c>
      <c r="L662" t="s">
        <v>2295</v>
      </c>
    </row>
    <row r="663" spans="1:12" hidden="1" x14ac:dyDescent="0.25">
      <c r="A663" s="516">
        <v>638</v>
      </c>
      <c r="B663" t="s">
        <v>441</v>
      </c>
      <c r="C663" t="s">
        <v>432</v>
      </c>
      <c r="D663" t="s">
        <v>2279</v>
      </c>
      <c r="E663">
        <v>4</v>
      </c>
      <c r="F663">
        <v>5.5582659400004661E-3</v>
      </c>
      <c r="G663">
        <v>1.4210800390580139E-3</v>
      </c>
      <c r="H663">
        <v>1.719003554433E-10</v>
      </c>
      <c r="I663" t="s">
        <v>2260</v>
      </c>
      <c r="J663" t="s">
        <v>462</v>
      </c>
      <c r="K663" t="s">
        <v>1995</v>
      </c>
      <c r="L663" t="s">
        <v>2295</v>
      </c>
    </row>
    <row r="664" spans="1:12" x14ac:dyDescent="0.25">
      <c r="A664" s="516">
        <v>639</v>
      </c>
      <c r="B664" t="s">
        <v>441</v>
      </c>
      <c r="C664" t="s">
        <v>432</v>
      </c>
      <c r="D664" t="s">
        <v>2279</v>
      </c>
      <c r="E664">
        <v>3</v>
      </c>
      <c r="F664">
        <v>3.8353713462092642E-4</v>
      </c>
      <c r="G664">
        <v>9.8058814049343466E-5</v>
      </c>
      <c r="H664">
        <v>1.6949714641496169E-3</v>
      </c>
      <c r="I664" t="s">
        <v>1069</v>
      </c>
      <c r="J664" t="s">
        <v>462</v>
      </c>
      <c r="K664" t="s">
        <v>434</v>
      </c>
      <c r="L664" t="str">
        <f>O16</f>
        <v>Energy use, horizontal</v>
      </c>
    </row>
    <row r="665" spans="1:12" hidden="1" x14ac:dyDescent="0.25">
      <c r="A665" s="516">
        <v>640</v>
      </c>
      <c r="B665" t="s">
        <v>441</v>
      </c>
      <c r="C665" t="s">
        <v>432</v>
      </c>
      <c r="D665" t="s">
        <v>2279</v>
      </c>
      <c r="E665">
        <v>4</v>
      </c>
      <c r="F665">
        <v>3.587417416096966E-4</v>
      </c>
      <c r="G665">
        <v>9.1719384009611633E-5</v>
      </c>
      <c r="H665">
        <v>3.9662332430598193E-5</v>
      </c>
      <c r="I665" t="s">
        <v>2267</v>
      </c>
      <c r="J665" t="s">
        <v>462</v>
      </c>
      <c r="K665" t="s">
        <v>417</v>
      </c>
      <c r="L665" t="s">
        <v>2295</v>
      </c>
    </row>
    <row r="666" spans="1:12" hidden="1" x14ac:dyDescent="0.25">
      <c r="A666" s="516">
        <v>641</v>
      </c>
      <c r="B666" t="s">
        <v>441</v>
      </c>
      <c r="C666" t="s">
        <v>432</v>
      </c>
      <c r="D666" t="s">
        <v>2279</v>
      </c>
      <c r="E666">
        <v>4</v>
      </c>
      <c r="F666">
        <v>1.6282872037536729E-5</v>
      </c>
      <c r="G666">
        <v>4.1630365802679461E-6</v>
      </c>
      <c r="H666">
        <v>3.1356972256265062E-13</v>
      </c>
      <c r="I666" t="s">
        <v>2231</v>
      </c>
      <c r="L666" t="s">
        <v>2295</v>
      </c>
    </row>
    <row r="667" spans="1:12" hidden="1" x14ac:dyDescent="0.25">
      <c r="A667" s="516">
        <v>642</v>
      </c>
      <c r="B667" t="s">
        <v>441</v>
      </c>
      <c r="C667" t="s">
        <v>432</v>
      </c>
      <c r="D667" t="s">
        <v>2279</v>
      </c>
      <c r="E667">
        <v>4</v>
      </c>
      <c r="F667">
        <v>4.2004347655951768E-7</v>
      </c>
      <c r="G667">
        <v>1.073923785797147E-7</v>
      </c>
      <c r="H667">
        <v>1.9759977358547381E-8</v>
      </c>
      <c r="I667" t="s">
        <v>2231</v>
      </c>
      <c r="L667" t="s">
        <v>2295</v>
      </c>
    </row>
    <row r="668" spans="1:12" hidden="1" x14ac:dyDescent="0.25">
      <c r="A668" s="516">
        <v>643</v>
      </c>
      <c r="B668" t="s">
        <v>441</v>
      </c>
      <c r="C668" t="s">
        <v>432</v>
      </c>
      <c r="D668" t="s">
        <v>2279</v>
      </c>
      <c r="E668">
        <v>4</v>
      </c>
      <c r="F668">
        <v>2.558193160848379E-6</v>
      </c>
      <c r="G668">
        <v>6.5405241062216155E-7</v>
      </c>
      <c r="H668">
        <v>9.3803110908974122E-8</v>
      </c>
      <c r="I668" t="s">
        <v>2231</v>
      </c>
      <c r="L668" t="s">
        <v>2295</v>
      </c>
    </row>
    <row r="669" spans="1:12" hidden="1" x14ac:dyDescent="0.25">
      <c r="A669" s="516">
        <v>644</v>
      </c>
      <c r="B669" t="s">
        <v>441</v>
      </c>
      <c r="C669" t="s">
        <v>432</v>
      </c>
      <c r="D669" t="s">
        <v>2279</v>
      </c>
      <c r="E669">
        <v>4</v>
      </c>
      <c r="F669">
        <v>5.5820242998332452E-10</v>
      </c>
      <c r="G669">
        <v>1.4271543311634251E-10</v>
      </c>
      <c r="H669">
        <v>-7.716965046427933E-10</v>
      </c>
      <c r="I669" t="s">
        <v>2231</v>
      </c>
      <c r="L669" t="s">
        <v>2295</v>
      </c>
    </row>
    <row r="670" spans="1:12" hidden="1" x14ac:dyDescent="0.25">
      <c r="A670" s="516">
        <v>645</v>
      </c>
      <c r="B670" t="s">
        <v>441</v>
      </c>
      <c r="C670" t="s">
        <v>432</v>
      </c>
      <c r="D670" t="s">
        <v>2279</v>
      </c>
      <c r="E670">
        <v>4</v>
      </c>
      <c r="F670">
        <v>5.0013295013899788E-8</v>
      </c>
      <c r="G670">
        <v>1.2786882815428361E-8</v>
      </c>
      <c r="H670">
        <v>-8.1619319693741971E-8</v>
      </c>
      <c r="I670" t="s">
        <v>2231</v>
      </c>
      <c r="L670" t="s">
        <v>2295</v>
      </c>
    </row>
    <row r="671" spans="1:12" hidden="1" x14ac:dyDescent="0.25">
      <c r="A671" s="516">
        <v>646</v>
      </c>
      <c r="B671" t="s">
        <v>441</v>
      </c>
      <c r="C671" t="s">
        <v>432</v>
      </c>
      <c r="D671" t="s">
        <v>2279</v>
      </c>
      <c r="E671">
        <v>4</v>
      </c>
      <c r="F671">
        <v>2.1393560859377389E-8</v>
      </c>
      <c r="G671">
        <v>5.4696847235833179E-9</v>
      </c>
      <c r="H671">
        <v>-3.1172071916589303E-8</v>
      </c>
      <c r="I671" t="s">
        <v>2231</v>
      </c>
      <c r="L671" t="s">
        <v>2295</v>
      </c>
    </row>
    <row r="672" spans="1:12" x14ac:dyDescent="0.25">
      <c r="A672" s="516">
        <v>647</v>
      </c>
      <c r="B672" t="s">
        <v>441</v>
      </c>
      <c r="C672" t="s">
        <v>432</v>
      </c>
      <c r="D672" t="s">
        <v>2279</v>
      </c>
      <c r="E672">
        <v>3</v>
      </c>
      <c r="F672">
        <v>0.4047025953517997</v>
      </c>
      <c r="G672">
        <v>0.10347018048750781</v>
      </c>
      <c r="H672">
        <v>-2.7214958868432108E-3</v>
      </c>
      <c r="I672" t="s">
        <v>1073</v>
      </c>
      <c r="J672" t="s">
        <v>432</v>
      </c>
      <c r="K672" t="s">
        <v>417</v>
      </c>
      <c r="L672" t="str">
        <f>O17</f>
        <v>Drilling waste</v>
      </c>
    </row>
    <row r="673" spans="1:12" hidden="1" x14ac:dyDescent="0.25">
      <c r="A673" s="516">
        <v>648</v>
      </c>
      <c r="B673" t="s">
        <v>441</v>
      </c>
      <c r="C673" t="s">
        <v>432</v>
      </c>
      <c r="D673" t="s">
        <v>2279</v>
      </c>
      <c r="E673">
        <v>4</v>
      </c>
      <c r="F673">
        <v>-0.40156893193283349</v>
      </c>
      <c r="G673">
        <v>-0.1026689977837851</v>
      </c>
      <c r="H673">
        <v>1.6328975321059269E-3</v>
      </c>
      <c r="I673" t="s">
        <v>2268</v>
      </c>
      <c r="J673" t="s">
        <v>432</v>
      </c>
      <c r="K673" t="s">
        <v>417</v>
      </c>
      <c r="L673" t="s">
        <v>2295</v>
      </c>
    </row>
    <row r="674" spans="1:12" hidden="1" x14ac:dyDescent="0.25">
      <c r="A674" s="516">
        <v>649</v>
      </c>
      <c r="B674" t="s">
        <v>441</v>
      </c>
      <c r="C674" t="s">
        <v>432</v>
      </c>
      <c r="D674" t="s">
        <v>2279</v>
      </c>
      <c r="E674">
        <v>4</v>
      </c>
      <c r="F674">
        <v>-3.0529779442347439E-3</v>
      </c>
      <c r="G674">
        <v>-7.8055387472806008E-4</v>
      </c>
      <c r="H674">
        <v>1.088598354737285E-3</v>
      </c>
      <c r="I674" t="s">
        <v>2269</v>
      </c>
      <c r="J674" t="s">
        <v>432</v>
      </c>
      <c r="K674" t="s">
        <v>417</v>
      </c>
      <c r="L674" t="s">
        <v>2295</v>
      </c>
    </row>
    <row r="675" spans="1:12" hidden="1" x14ac:dyDescent="0.25">
      <c r="A675" s="516">
        <v>650</v>
      </c>
      <c r="B675" t="s">
        <v>441</v>
      </c>
      <c r="C675" t="s">
        <v>432</v>
      </c>
      <c r="D675" t="s">
        <v>2279</v>
      </c>
      <c r="E675">
        <v>4</v>
      </c>
      <c r="F675">
        <v>-2.399996742999959E-6</v>
      </c>
      <c r="G675">
        <v>-6.1360638409489311E-7</v>
      </c>
      <c r="H675">
        <v>-9.6885253571618308E-6</v>
      </c>
      <c r="I675" t="s">
        <v>2231</v>
      </c>
      <c r="L675" t="s">
        <v>2295</v>
      </c>
    </row>
    <row r="676" spans="1:12" hidden="1" x14ac:dyDescent="0.25">
      <c r="A676" s="516">
        <v>651</v>
      </c>
      <c r="B676" t="s">
        <v>441</v>
      </c>
      <c r="C676" t="s">
        <v>432</v>
      </c>
      <c r="D676" t="s">
        <v>2279</v>
      </c>
      <c r="E676">
        <v>4</v>
      </c>
      <c r="F676">
        <v>-7.8269477788761387E-5</v>
      </c>
      <c r="G676">
        <v>-2.0011131844672778E-5</v>
      </c>
      <c r="H676">
        <v>-7.013294900394956E-5</v>
      </c>
      <c r="I676" t="s">
        <v>2231</v>
      </c>
      <c r="L676" t="s">
        <v>2295</v>
      </c>
    </row>
    <row r="677" spans="1:12" x14ac:dyDescent="0.25">
      <c r="A677" s="568">
        <v>652</v>
      </c>
      <c r="B677" s="417" t="s">
        <v>441</v>
      </c>
      <c r="C677" s="417" t="s">
        <v>432</v>
      </c>
      <c r="D677" s="417" t="s">
        <v>2279</v>
      </c>
      <c r="E677" s="417">
        <v>2</v>
      </c>
      <c r="F677" s="417">
        <v>1.023333261585954E-4</v>
      </c>
      <c r="G677" s="417">
        <v>2.616352810466299E-5</v>
      </c>
      <c r="H677" s="417">
        <v>1.1210128731148259E-9</v>
      </c>
      <c r="I677" s="417" t="s">
        <v>1517</v>
      </c>
      <c r="J677" s="417" t="s">
        <v>432</v>
      </c>
      <c r="K677" s="417" t="s">
        <v>416</v>
      </c>
      <c r="L677" s="417" t="s">
        <v>829</v>
      </c>
    </row>
    <row r="678" spans="1:12" x14ac:dyDescent="0.25">
      <c r="A678" s="516">
        <v>653</v>
      </c>
      <c r="B678" t="s">
        <v>441</v>
      </c>
      <c r="C678" t="s">
        <v>432</v>
      </c>
      <c r="D678" t="s">
        <v>2279</v>
      </c>
      <c r="E678">
        <v>3</v>
      </c>
      <c r="F678">
        <v>1.0233332996056429E-4</v>
      </c>
      <c r="G678">
        <v>2.6163529076711129E-5</v>
      </c>
      <c r="H678">
        <v>5.7822432923703427E-5</v>
      </c>
      <c r="I678" t="s">
        <v>1060</v>
      </c>
      <c r="J678" t="s">
        <v>459</v>
      </c>
      <c r="K678" t="s">
        <v>417</v>
      </c>
    </row>
    <row r="679" spans="1:12" hidden="1" x14ac:dyDescent="0.25">
      <c r="A679" s="516">
        <v>654</v>
      </c>
      <c r="B679" t="s">
        <v>441</v>
      </c>
      <c r="C679" t="s">
        <v>432</v>
      </c>
      <c r="D679" t="s">
        <v>2279</v>
      </c>
      <c r="E679">
        <v>4</v>
      </c>
      <c r="F679">
        <v>9.1522477346433508E-5</v>
      </c>
      <c r="G679">
        <v>2.33995219167482E-5</v>
      </c>
      <c r="H679">
        <v>5.7822432923703427E-5</v>
      </c>
      <c r="I679" t="s">
        <v>2231</v>
      </c>
      <c r="L679" t="s">
        <v>2295</v>
      </c>
    </row>
    <row r="680" spans="1:12" hidden="1" x14ac:dyDescent="0.25">
      <c r="A680" s="516">
        <v>655</v>
      </c>
      <c r="B680" t="s">
        <v>441</v>
      </c>
      <c r="C680" t="s">
        <v>432</v>
      </c>
      <c r="D680" t="s">
        <v>2279</v>
      </c>
      <c r="E680">
        <v>4</v>
      </c>
      <c r="F680">
        <v>8.9622972241893214E-7</v>
      </c>
      <c r="G680">
        <v>2.291387606653349E-7</v>
      </c>
      <c r="H680">
        <v>1.4455608230925861E-6</v>
      </c>
      <c r="I680" t="s">
        <v>2231</v>
      </c>
      <c r="L680" t="s">
        <v>2295</v>
      </c>
    </row>
    <row r="681" spans="1:12" hidden="1" x14ac:dyDescent="0.25">
      <c r="A681" s="516">
        <v>656</v>
      </c>
      <c r="B681" t="s">
        <v>441</v>
      </c>
      <c r="C681" t="s">
        <v>432</v>
      </c>
      <c r="D681" t="s">
        <v>2279</v>
      </c>
      <c r="E681">
        <v>4</v>
      </c>
      <c r="F681">
        <v>3.0162860373293119E-6</v>
      </c>
      <c r="G681">
        <v>7.7117286686317185E-7</v>
      </c>
      <c r="H681">
        <v>1.9081402864822129E-7</v>
      </c>
      <c r="I681" t="s">
        <v>2231</v>
      </c>
      <c r="L681" t="s">
        <v>2295</v>
      </c>
    </row>
    <row r="682" spans="1:12" hidden="1" x14ac:dyDescent="0.25">
      <c r="A682" s="516">
        <v>657</v>
      </c>
      <c r="B682" t="s">
        <v>441</v>
      </c>
      <c r="C682" t="s">
        <v>432</v>
      </c>
      <c r="D682" t="s">
        <v>2279</v>
      </c>
      <c r="E682">
        <v>4</v>
      </c>
      <c r="F682">
        <v>6.8983369166054466E-6</v>
      </c>
      <c r="G682">
        <v>1.76369554834294E-6</v>
      </c>
      <c r="H682">
        <v>6.1812180795438962E-6</v>
      </c>
      <c r="I682" t="s">
        <v>2231</v>
      </c>
      <c r="L682" t="s">
        <v>2295</v>
      </c>
    </row>
    <row r="683" spans="1:12" hidden="1" x14ac:dyDescent="0.25">
      <c r="A683" s="516">
        <v>658</v>
      </c>
      <c r="B683" t="s">
        <v>441</v>
      </c>
      <c r="C683" t="s">
        <v>432</v>
      </c>
      <c r="D683" t="s">
        <v>2279</v>
      </c>
      <c r="E683">
        <v>1</v>
      </c>
      <c r="F683">
        <v>1.161907700617081E-4</v>
      </c>
      <c r="G683">
        <v>2.9706456265289639E-5</v>
      </c>
      <c r="H683">
        <v>3.0490301023033151E-5</v>
      </c>
      <c r="I683" t="s">
        <v>1003</v>
      </c>
      <c r="J683" t="s">
        <v>432</v>
      </c>
      <c r="K683" t="s">
        <v>417</v>
      </c>
      <c r="L683" t="s">
        <v>823</v>
      </c>
    </row>
    <row r="684" spans="1:12" x14ac:dyDescent="0.25">
      <c r="A684" s="568">
        <v>659</v>
      </c>
      <c r="B684" s="417" t="s">
        <v>441</v>
      </c>
      <c r="C684" s="417" t="s">
        <v>432</v>
      </c>
      <c r="D684" s="417" t="s">
        <v>2279</v>
      </c>
      <c r="E684" s="417">
        <v>2</v>
      </c>
      <c r="F684" s="417">
        <v>1.095393891715587E-4</v>
      </c>
      <c r="G684" s="417">
        <v>2.800589988364188E-5</v>
      </c>
      <c r="H684" s="417">
        <v>3.0490301023033151E-5</v>
      </c>
      <c r="I684" s="417" t="s">
        <v>1000</v>
      </c>
      <c r="J684" s="417" t="s">
        <v>432</v>
      </c>
      <c r="K684" s="417" t="s">
        <v>417</v>
      </c>
    </row>
    <row r="685" spans="1:12" x14ac:dyDescent="0.25">
      <c r="A685" s="516">
        <v>660</v>
      </c>
      <c r="B685" t="s">
        <v>441</v>
      </c>
      <c r="C685" t="s">
        <v>432</v>
      </c>
      <c r="D685" t="s">
        <v>2279</v>
      </c>
      <c r="E685">
        <v>3</v>
      </c>
      <c r="F685">
        <v>1.028880082814091E-4</v>
      </c>
      <c r="G685">
        <v>2.6305343501994061E-5</v>
      </c>
      <c r="H685">
        <v>3.0490301023033151E-5</v>
      </c>
      <c r="I685" t="s">
        <v>998</v>
      </c>
      <c r="J685" t="s">
        <v>432</v>
      </c>
      <c r="K685" t="s">
        <v>417</v>
      </c>
    </row>
    <row r="686" spans="1:12" hidden="1" x14ac:dyDescent="0.25">
      <c r="A686" s="516">
        <v>661</v>
      </c>
      <c r="B686" t="s">
        <v>441</v>
      </c>
      <c r="C686" t="s">
        <v>432</v>
      </c>
      <c r="D686" t="s">
        <v>2279</v>
      </c>
      <c r="E686">
        <v>4</v>
      </c>
      <c r="F686">
        <v>9.5870438864805582E-5</v>
      </c>
      <c r="G686">
        <v>2.45111638192856E-5</v>
      </c>
      <c r="H686">
        <v>3.1760730232326302E-5</v>
      </c>
      <c r="I686" t="s">
        <v>2231</v>
      </c>
      <c r="L686" t="s">
        <v>2295</v>
      </c>
    </row>
    <row r="687" spans="1:12" hidden="1" x14ac:dyDescent="0.25">
      <c r="A687" s="516">
        <v>662</v>
      </c>
      <c r="B687" t="s">
        <v>441</v>
      </c>
      <c r="C687" t="s">
        <v>432</v>
      </c>
      <c r="D687" t="s">
        <v>2279</v>
      </c>
      <c r="E687">
        <v>4</v>
      </c>
      <c r="F687">
        <v>2.7325667736737511E-6</v>
      </c>
      <c r="G687">
        <v>6.9863445531010354E-7</v>
      </c>
      <c r="H687">
        <v>3.8213860155779714E-6</v>
      </c>
      <c r="I687" t="s">
        <v>2231</v>
      </c>
      <c r="L687" t="s">
        <v>2295</v>
      </c>
    </row>
    <row r="688" spans="1:12" hidden="1" x14ac:dyDescent="0.25">
      <c r="A688" s="516">
        <v>663</v>
      </c>
      <c r="B688" t="s">
        <v>441</v>
      </c>
      <c r="C688" t="s">
        <v>432</v>
      </c>
      <c r="D688" t="s">
        <v>2279</v>
      </c>
      <c r="E688">
        <v>4</v>
      </c>
      <c r="F688">
        <v>2.4371651819177258E-6</v>
      </c>
      <c r="G688">
        <v>6.2310922674386902E-7</v>
      </c>
      <c r="H688">
        <v>4.2076615411785742E-8</v>
      </c>
      <c r="I688" t="s">
        <v>2231</v>
      </c>
      <c r="L688" t="s">
        <v>2295</v>
      </c>
    </row>
    <row r="689" spans="1:12" hidden="1" x14ac:dyDescent="0.25">
      <c r="A689" s="516">
        <v>664</v>
      </c>
      <c r="B689" t="s">
        <v>441</v>
      </c>
      <c r="C689" t="s">
        <v>432</v>
      </c>
      <c r="D689" t="s">
        <v>2279</v>
      </c>
      <c r="E689">
        <v>4</v>
      </c>
      <c r="F689">
        <v>1.847841171164965E-6</v>
      </c>
      <c r="G689">
        <v>4.7243694922807078E-7</v>
      </c>
      <c r="H689">
        <v>4.2076615411785742E-8</v>
      </c>
      <c r="I689" t="s">
        <v>2231</v>
      </c>
      <c r="L689" t="s">
        <v>2295</v>
      </c>
    </row>
    <row r="690" spans="1:12" x14ac:dyDescent="0.25">
      <c r="A690" s="516">
        <v>665</v>
      </c>
      <c r="B690" t="s">
        <v>441</v>
      </c>
      <c r="C690" t="s">
        <v>432</v>
      </c>
      <c r="D690" t="s">
        <v>2279</v>
      </c>
      <c r="E690">
        <v>3</v>
      </c>
      <c r="F690">
        <v>6.6513807910364849E-6</v>
      </c>
      <c r="G690">
        <v>1.700556356307604E-6</v>
      </c>
      <c r="H690">
        <v>3.049030102303315E-6</v>
      </c>
      <c r="I690" t="s">
        <v>2231</v>
      </c>
    </row>
    <row r="691" spans="1:12" x14ac:dyDescent="0.25">
      <c r="A691" s="516">
        <v>666</v>
      </c>
      <c r="B691" t="s">
        <v>441</v>
      </c>
      <c r="C691" t="s">
        <v>432</v>
      </c>
      <c r="D691" t="s">
        <v>2279</v>
      </c>
      <c r="E691">
        <v>2</v>
      </c>
      <c r="F691">
        <v>6.6513807910364849E-6</v>
      </c>
      <c r="G691">
        <v>1.700556356307604E-6</v>
      </c>
      <c r="H691">
        <v>3.049030102303315E-6</v>
      </c>
      <c r="I691" t="s">
        <v>2231</v>
      </c>
    </row>
    <row r="692" spans="1:12" hidden="1" x14ac:dyDescent="0.25">
      <c r="A692" s="516">
        <v>667</v>
      </c>
      <c r="B692" t="s">
        <v>441</v>
      </c>
      <c r="C692" t="s">
        <v>432</v>
      </c>
      <c r="D692" t="s">
        <v>2280</v>
      </c>
      <c r="E692">
        <v>0</v>
      </c>
      <c r="F692">
        <v>1</v>
      </c>
      <c r="G692">
        <v>1.447907309021788E-7</v>
      </c>
      <c r="H692">
        <v>1</v>
      </c>
      <c r="I692" t="s">
        <v>441</v>
      </c>
      <c r="J692" t="s">
        <v>432</v>
      </c>
      <c r="K692" t="s">
        <v>433</v>
      </c>
      <c r="L692" t="s">
        <v>1205</v>
      </c>
    </row>
    <row r="693" spans="1:12" hidden="1" x14ac:dyDescent="0.25">
      <c r="A693" s="516">
        <v>668</v>
      </c>
      <c r="B693" t="s">
        <v>441</v>
      </c>
      <c r="C693" t="s">
        <v>432</v>
      </c>
      <c r="D693" t="s">
        <v>2280</v>
      </c>
      <c r="E693">
        <v>1</v>
      </c>
      <c r="F693">
        <v>0.99953819500573771</v>
      </c>
      <c r="G693">
        <v>1.4472386581952519E-7</v>
      </c>
      <c r="H693">
        <v>1.1210128731148259E-9</v>
      </c>
      <c r="I693" t="s">
        <v>2099</v>
      </c>
      <c r="J693" t="s">
        <v>432</v>
      </c>
      <c r="K693" t="s">
        <v>416</v>
      </c>
    </row>
    <row r="694" spans="1:12" x14ac:dyDescent="0.25">
      <c r="A694" s="568">
        <v>669</v>
      </c>
      <c r="B694" s="417" t="s">
        <v>441</v>
      </c>
      <c r="C694" s="417" t="s">
        <v>432</v>
      </c>
      <c r="D694" s="417" t="s">
        <v>2280</v>
      </c>
      <c r="E694" s="417">
        <v>2</v>
      </c>
      <c r="F694" s="417">
        <v>7.4177401280579647E-2</v>
      </c>
      <c r="G694" s="417">
        <v>1.074020014783934E-8</v>
      </c>
      <c r="H694" s="417">
        <v>2.2420257462296519E-9</v>
      </c>
      <c r="I694" s="417" t="s">
        <v>1122</v>
      </c>
      <c r="J694" s="417" t="s">
        <v>432</v>
      </c>
      <c r="K694" s="417" t="s">
        <v>416</v>
      </c>
      <c r="L694" t="str">
        <f>$B$18</f>
        <v>Surface plant</v>
      </c>
    </row>
    <row r="695" spans="1:12" x14ac:dyDescent="0.25">
      <c r="A695" s="516">
        <v>670</v>
      </c>
      <c r="B695" t="s">
        <v>441</v>
      </c>
      <c r="C695" t="s">
        <v>432</v>
      </c>
      <c r="D695" t="s">
        <v>2280</v>
      </c>
      <c r="E695">
        <v>3</v>
      </c>
      <c r="F695">
        <v>3.3518433201313973E-4</v>
      </c>
      <c r="G695">
        <v>4.8531584419141053E-11</v>
      </c>
      <c r="H695">
        <v>7.1066873184536906E-7</v>
      </c>
      <c r="I695" t="s">
        <v>2230</v>
      </c>
      <c r="J695" t="s">
        <v>462</v>
      </c>
      <c r="K695" t="s">
        <v>417</v>
      </c>
    </row>
    <row r="696" spans="1:12" hidden="1" x14ac:dyDescent="0.25">
      <c r="A696" s="516">
        <v>671</v>
      </c>
      <c r="B696" t="s">
        <v>441</v>
      </c>
      <c r="C696" t="s">
        <v>432</v>
      </c>
      <c r="D696" t="s">
        <v>2280</v>
      </c>
      <c r="E696">
        <v>4</v>
      </c>
      <c r="F696">
        <v>1.093328215698281E-4</v>
      </c>
      <c r="G696">
        <v>1.5830379146692899E-11</v>
      </c>
      <c r="H696">
        <v>1.7496624768159701E-7</v>
      </c>
      <c r="I696" t="s">
        <v>2281</v>
      </c>
      <c r="J696" t="s">
        <v>419</v>
      </c>
      <c r="K696" t="s">
        <v>417</v>
      </c>
      <c r="L696" t="s">
        <v>2295</v>
      </c>
    </row>
    <row r="697" spans="1:12" hidden="1" x14ac:dyDescent="0.25">
      <c r="A697" s="516">
        <v>672</v>
      </c>
      <c r="B697" t="s">
        <v>441</v>
      </c>
      <c r="C697" t="s">
        <v>432</v>
      </c>
      <c r="D697" t="s">
        <v>2280</v>
      </c>
      <c r="E697">
        <v>4</v>
      </c>
      <c r="F697">
        <v>1.775791281604452E-4</v>
      </c>
      <c r="G697">
        <v>2.5711811759322531E-11</v>
      </c>
      <c r="H697">
        <v>3.0368190207504018E-7</v>
      </c>
      <c r="I697" t="s">
        <v>2282</v>
      </c>
      <c r="J697" t="s">
        <v>1992</v>
      </c>
      <c r="K697" t="s">
        <v>417</v>
      </c>
      <c r="L697" t="s">
        <v>2295</v>
      </c>
    </row>
    <row r="698" spans="1:12" hidden="1" x14ac:dyDescent="0.25">
      <c r="A698" s="516">
        <v>673</v>
      </c>
      <c r="B698" t="s">
        <v>441</v>
      </c>
      <c r="C698" t="s">
        <v>432</v>
      </c>
      <c r="D698" t="s">
        <v>2280</v>
      </c>
      <c r="E698">
        <v>4</v>
      </c>
      <c r="F698">
        <v>2.0260627598313589E-5</v>
      </c>
      <c r="G698">
        <v>2.933551078496679E-12</v>
      </c>
      <c r="H698">
        <v>1.857699888005772E-7</v>
      </c>
      <c r="I698" t="s">
        <v>2231</v>
      </c>
      <c r="L698" t="s">
        <v>2295</v>
      </c>
    </row>
    <row r="699" spans="1:12" hidden="1" x14ac:dyDescent="0.25">
      <c r="A699" s="516">
        <v>674</v>
      </c>
      <c r="B699" t="s">
        <v>441</v>
      </c>
      <c r="C699" t="s">
        <v>432</v>
      </c>
      <c r="D699" t="s">
        <v>2280</v>
      </c>
      <c r="E699">
        <v>4</v>
      </c>
      <c r="F699">
        <v>2.6893217386572551E-5</v>
      </c>
      <c r="G699">
        <v>3.8938886017130196E-12</v>
      </c>
      <c r="H699">
        <v>4.6250593288154462E-8</v>
      </c>
      <c r="I699" t="s">
        <v>2231</v>
      </c>
      <c r="L699" t="s">
        <v>2295</v>
      </c>
    </row>
    <row r="700" spans="1:12" hidden="1" x14ac:dyDescent="0.25">
      <c r="A700" s="516">
        <v>675</v>
      </c>
      <c r="B700" t="s">
        <v>441</v>
      </c>
      <c r="C700" t="s">
        <v>432</v>
      </c>
      <c r="D700" t="s">
        <v>2280</v>
      </c>
      <c r="E700">
        <v>4</v>
      </c>
      <c r="F700">
        <v>2.2083450608904679E-7</v>
      </c>
      <c r="G700">
        <v>3.1974789545054737E-14</v>
      </c>
      <c r="H700">
        <v>2.4503857874028319E-7</v>
      </c>
      <c r="I700" t="s">
        <v>2231</v>
      </c>
      <c r="L700" t="s">
        <v>2295</v>
      </c>
    </row>
    <row r="701" spans="1:12" hidden="1" x14ac:dyDescent="0.25">
      <c r="A701" s="516">
        <v>676</v>
      </c>
      <c r="B701" t="s">
        <v>441</v>
      </c>
      <c r="C701" t="s">
        <v>432</v>
      </c>
      <c r="D701" t="s">
        <v>2280</v>
      </c>
      <c r="E701">
        <v>4</v>
      </c>
      <c r="F701">
        <v>1.204588394006375E-8</v>
      </c>
      <c r="G701">
        <v>1.7441323400446469E-15</v>
      </c>
      <c r="H701">
        <v>2.57972749659869E-8</v>
      </c>
      <c r="I701" t="s">
        <v>2231</v>
      </c>
      <c r="L701" t="s">
        <v>2295</v>
      </c>
    </row>
    <row r="702" spans="1:12" hidden="1" x14ac:dyDescent="0.25">
      <c r="A702" s="516">
        <v>677</v>
      </c>
      <c r="B702" t="s">
        <v>441</v>
      </c>
      <c r="C702" t="s">
        <v>432</v>
      </c>
      <c r="D702" t="s">
        <v>2280</v>
      </c>
      <c r="E702">
        <v>4</v>
      </c>
      <c r="F702">
        <v>8.6778807564716803E-7</v>
      </c>
      <c r="G702">
        <v>1.2564766974114859E-13</v>
      </c>
      <c r="H702">
        <v>2.5683567968891642E-7</v>
      </c>
      <c r="I702" t="s">
        <v>2231</v>
      </c>
      <c r="L702" t="s">
        <v>2295</v>
      </c>
    </row>
    <row r="703" spans="1:12" hidden="1" x14ac:dyDescent="0.25">
      <c r="A703" s="516">
        <v>678</v>
      </c>
      <c r="B703" t="s">
        <v>441</v>
      </c>
      <c r="C703" t="s">
        <v>432</v>
      </c>
      <c r="D703" t="s">
        <v>2280</v>
      </c>
      <c r="E703">
        <v>4</v>
      </c>
      <c r="F703">
        <v>1.7868454062098832E-8</v>
      </c>
      <c r="G703">
        <v>2.5871865237432949E-15</v>
      </c>
      <c r="H703">
        <v>2.581859502794226E-7</v>
      </c>
      <c r="I703" t="s">
        <v>2231</v>
      </c>
      <c r="L703" t="s">
        <v>2295</v>
      </c>
    </row>
    <row r="704" spans="1:12" x14ac:dyDescent="0.25">
      <c r="A704" s="516">
        <v>679</v>
      </c>
      <c r="B704" t="s">
        <v>441</v>
      </c>
      <c r="C704" t="s">
        <v>432</v>
      </c>
      <c r="D704" t="s">
        <v>2280</v>
      </c>
      <c r="E704">
        <v>3</v>
      </c>
      <c r="F704">
        <v>9.5110713725907249E-5</v>
      </c>
      <c r="G704">
        <v>1.3771149757001999E-11</v>
      </c>
      <c r="H704">
        <v>9.6828614713931526E-7</v>
      </c>
      <c r="I704" t="s">
        <v>2231</v>
      </c>
    </row>
    <row r="705" spans="1:12" x14ac:dyDescent="0.25">
      <c r="A705" s="516">
        <v>680</v>
      </c>
      <c r="B705" t="s">
        <v>441</v>
      </c>
      <c r="C705" t="s">
        <v>432</v>
      </c>
      <c r="D705" t="s">
        <v>2280</v>
      </c>
      <c r="E705">
        <v>3</v>
      </c>
      <c r="F705">
        <v>2.6561001790919459E-2</v>
      </c>
      <c r="G705">
        <v>3.8457868628013074E-9</v>
      </c>
      <c r="H705">
        <v>5.5520994675419461E-7</v>
      </c>
      <c r="I705" t="s">
        <v>2235</v>
      </c>
      <c r="J705" t="s">
        <v>432</v>
      </c>
      <c r="K705" t="s">
        <v>437</v>
      </c>
    </row>
    <row r="706" spans="1:12" hidden="1" x14ac:dyDescent="0.25">
      <c r="A706" s="516">
        <v>681</v>
      </c>
      <c r="B706" t="s">
        <v>441</v>
      </c>
      <c r="C706" t="s">
        <v>432</v>
      </c>
      <c r="D706" t="s">
        <v>2280</v>
      </c>
      <c r="E706">
        <v>4</v>
      </c>
      <c r="F706">
        <v>1.8428066824735599E-2</v>
      </c>
      <c r="G706">
        <v>2.6682132646676589E-9</v>
      </c>
      <c r="H706">
        <v>3.8864696272793622E-7</v>
      </c>
      <c r="I706" t="s">
        <v>2236</v>
      </c>
      <c r="J706" t="s">
        <v>432</v>
      </c>
      <c r="K706" t="s">
        <v>437</v>
      </c>
      <c r="L706" t="s">
        <v>2295</v>
      </c>
    </row>
    <row r="707" spans="1:12" hidden="1" x14ac:dyDescent="0.25">
      <c r="A707" s="516">
        <v>682</v>
      </c>
      <c r="B707" t="s">
        <v>441</v>
      </c>
      <c r="C707" t="s">
        <v>432</v>
      </c>
      <c r="D707" t="s">
        <v>2280</v>
      </c>
      <c r="E707">
        <v>4</v>
      </c>
      <c r="F707">
        <v>8.13293495683815E-3</v>
      </c>
      <c r="G707">
        <v>1.1775735967804749E-9</v>
      </c>
      <c r="H707">
        <v>1.6656298402625839E-7</v>
      </c>
      <c r="I707" t="s">
        <v>2237</v>
      </c>
      <c r="J707" t="s">
        <v>432</v>
      </c>
      <c r="K707" t="s">
        <v>437</v>
      </c>
      <c r="L707" t="s">
        <v>2295</v>
      </c>
    </row>
    <row r="708" spans="1:12" x14ac:dyDescent="0.25">
      <c r="A708" s="516">
        <v>683</v>
      </c>
      <c r="B708" t="s">
        <v>441</v>
      </c>
      <c r="C708" t="s">
        <v>432</v>
      </c>
      <c r="D708" t="s">
        <v>2280</v>
      </c>
      <c r="E708">
        <v>3</v>
      </c>
      <c r="F708">
        <v>2.4424486623130821E-4</v>
      </c>
      <c r="G708">
        <v>3.5364392700735991E-11</v>
      </c>
      <c r="H708">
        <v>3.1091757018234902E-8</v>
      </c>
      <c r="I708" t="s">
        <v>2238</v>
      </c>
      <c r="J708" t="s">
        <v>432</v>
      </c>
      <c r="K708" t="s">
        <v>428</v>
      </c>
    </row>
    <row r="709" spans="1:12" hidden="1" x14ac:dyDescent="0.25">
      <c r="A709" s="516">
        <v>684</v>
      </c>
      <c r="B709" t="s">
        <v>441</v>
      </c>
      <c r="C709" t="s">
        <v>432</v>
      </c>
      <c r="D709" t="s">
        <v>2280</v>
      </c>
      <c r="E709">
        <v>4</v>
      </c>
      <c r="F709">
        <v>7.1175788684542203E-5</v>
      </c>
      <c r="G709">
        <v>1.0305594466173889E-11</v>
      </c>
      <c r="H709">
        <v>9.3275271054704687E-9</v>
      </c>
      <c r="I709" t="s">
        <v>2231</v>
      </c>
      <c r="L709" t="s">
        <v>2295</v>
      </c>
    </row>
    <row r="710" spans="1:12" hidden="1" x14ac:dyDescent="0.25">
      <c r="A710" s="516">
        <v>685</v>
      </c>
      <c r="B710" t="s">
        <v>441</v>
      </c>
      <c r="C710" t="s">
        <v>432</v>
      </c>
      <c r="D710" t="s">
        <v>2280</v>
      </c>
      <c r="E710">
        <v>4</v>
      </c>
      <c r="F710">
        <v>2.089109044661392E-5</v>
      </c>
      <c r="G710">
        <v>3.024836255108754E-12</v>
      </c>
      <c r="H710">
        <v>3.10917570182349E-9</v>
      </c>
      <c r="I710" t="s">
        <v>2231</v>
      </c>
      <c r="L710" t="s">
        <v>2295</v>
      </c>
    </row>
    <row r="711" spans="1:12" hidden="1" x14ac:dyDescent="0.25">
      <c r="A711" s="516">
        <v>686</v>
      </c>
      <c r="B711" t="s">
        <v>441</v>
      </c>
      <c r="C711" t="s">
        <v>432</v>
      </c>
      <c r="D711" t="s">
        <v>2280</v>
      </c>
      <c r="E711">
        <v>4</v>
      </c>
      <c r="F711">
        <v>1.4548169326022821E-4</v>
      </c>
      <c r="G711">
        <v>2.106440070003502E-11</v>
      </c>
      <c r="H711">
        <v>1.8655054210940941E-8</v>
      </c>
      <c r="I711" t="s">
        <v>2241</v>
      </c>
      <c r="J711" t="s">
        <v>432</v>
      </c>
      <c r="K711" t="s">
        <v>428</v>
      </c>
      <c r="L711" t="s">
        <v>2295</v>
      </c>
    </row>
    <row r="712" spans="1:12" hidden="1" x14ac:dyDescent="0.25">
      <c r="A712" s="516">
        <v>687</v>
      </c>
      <c r="B712" t="s">
        <v>441</v>
      </c>
      <c r="C712" t="s">
        <v>432</v>
      </c>
      <c r="D712" t="s">
        <v>2280</v>
      </c>
      <c r="E712">
        <v>4</v>
      </c>
      <c r="F712">
        <v>2.3454745506115059E-7</v>
      </c>
      <c r="G712">
        <v>3.3960297449549923E-14</v>
      </c>
      <c r="H712">
        <v>2.7436920980741391E-7</v>
      </c>
      <c r="I712" t="s">
        <v>2231</v>
      </c>
      <c r="L712" t="s">
        <v>2295</v>
      </c>
    </row>
    <row r="713" spans="1:12" hidden="1" x14ac:dyDescent="0.25">
      <c r="A713" s="516">
        <v>688</v>
      </c>
      <c r="B713" t="s">
        <v>441</v>
      </c>
      <c r="C713" t="s">
        <v>432</v>
      </c>
      <c r="D713" t="s">
        <v>2280</v>
      </c>
      <c r="E713">
        <v>4</v>
      </c>
      <c r="F713">
        <v>6.4617375004443344E-6</v>
      </c>
      <c r="G713">
        <v>9.3559969558735272E-13</v>
      </c>
      <c r="H713">
        <v>1.9205844686518972E-6</v>
      </c>
      <c r="I713" t="s">
        <v>2231</v>
      </c>
      <c r="L713" t="s">
        <v>2295</v>
      </c>
    </row>
    <row r="714" spans="1:12" x14ac:dyDescent="0.25">
      <c r="A714" s="516">
        <v>689</v>
      </c>
      <c r="B714" t="s">
        <v>441</v>
      </c>
      <c r="C714" t="s">
        <v>432</v>
      </c>
      <c r="D714" t="s">
        <v>2280</v>
      </c>
      <c r="E714">
        <v>3</v>
      </c>
      <c r="F714">
        <v>3.5497450802727468E-2</v>
      </c>
      <c r="G714">
        <v>5.1397018468910426E-9</v>
      </c>
      <c r="H714">
        <v>7.1066873184536906E-7</v>
      </c>
      <c r="I714" t="s">
        <v>2242</v>
      </c>
      <c r="J714" t="s">
        <v>462</v>
      </c>
      <c r="K714" t="s">
        <v>417</v>
      </c>
    </row>
    <row r="715" spans="1:12" hidden="1" x14ac:dyDescent="0.25">
      <c r="A715" s="516">
        <v>690</v>
      </c>
      <c r="B715" t="s">
        <v>441</v>
      </c>
      <c r="C715" t="s">
        <v>432</v>
      </c>
      <c r="D715" t="s">
        <v>2280</v>
      </c>
      <c r="E715">
        <v>4</v>
      </c>
      <c r="F715">
        <v>1.8230566086400251E-3</v>
      </c>
      <c r="G715">
        <v>2.6396169884103638E-10</v>
      </c>
      <c r="H715">
        <v>1.211620353323431E-7</v>
      </c>
      <c r="I715" t="s">
        <v>2243</v>
      </c>
      <c r="J715" t="s">
        <v>462</v>
      </c>
      <c r="K715" t="s">
        <v>417</v>
      </c>
      <c r="L715" t="s">
        <v>2295</v>
      </c>
    </row>
    <row r="716" spans="1:12" hidden="1" x14ac:dyDescent="0.25">
      <c r="A716" s="516">
        <v>691</v>
      </c>
      <c r="B716" t="s">
        <v>441</v>
      </c>
      <c r="C716" t="s">
        <v>432</v>
      </c>
      <c r="D716" t="s">
        <v>2280</v>
      </c>
      <c r="E716">
        <v>4</v>
      </c>
      <c r="F716">
        <v>6.9661447817678674E-6</v>
      </c>
      <c r="G716">
        <v>1.0086331945225681E-12</v>
      </c>
      <c r="H716">
        <v>1.953079858167785E-10</v>
      </c>
      <c r="I716" t="s">
        <v>2231</v>
      </c>
      <c r="L716" t="s">
        <v>2295</v>
      </c>
    </row>
    <row r="717" spans="1:12" hidden="1" x14ac:dyDescent="0.25">
      <c r="A717" s="516">
        <v>692</v>
      </c>
      <c r="B717" t="s">
        <v>441</v>
      </c>
      <c r="C717" t="s">
        <v>432</v>
      </c>
      <c r="D717" t="s">
        <v>2280</v>
      </c>
      <c r="E717">
        <v>4</v>
      </c>
      <c r="F717">
        <v>4.2322182240228781E-12</v>
      </c>
      <c r="G717">
        <v>6.1278596999379338E-19</v>
      </c>
      <c r="H717">
        <v>1.027239778012812E-15</v>
      </c>
      <c r="I717" t="s">
        <v>2231</v>
      </c>
      <c r="L717" t="s">
        <v>2295</v>
      </c>
    </row>
    <row r="718" spans="1:12" hidden="1" x14ac:dyDescent="0.25">
      <c r="A718" s="516">
        <v>693</v>
      </c>
      <c r="B718" t="s">
        <v>441</v>
      </c>
      <c r="C718" t="s">
        <v>432</v>
      </c>
      <c r="D718" t="s">
        <v>2280</v>
      </c>
      <c r="E718">
        <v>4</v>
      </c>
      <c r="F718">
        <v>2.3244175608631781E-12</v>
      </c>
      <c r="G718">
        <v>3.365541175592391E-19</v>
      </c>
      <c r="H718">
        <v>1.2988089147288379E-16</v>
      </c>
      <c r="I718" t="s">
        <v>2231</v>
      </c>
      <c r="L718" t="s">
        <v>2295</v>
      </c>
    </row>
    <row r="719" spans="1:12" hidden="1" x14ac:dyDescent="0.25">
      <c r="A719" s="516">
        <v>694</v>
      </c>
      <c r="B719" t="s">
        <v>441</v>
      </c>
      <c r="C719" t="s">
        <v>432</v>
      </c>
      <c r="D719" t="s">
        <v>2280</v>
      </c>
      <c r="E719">
        <v>4</v>
      </c>
      <c r="F719">
        <v>0</v>
      </c>
      <c r="G719">
        <v>0</v>
      </c>
      <c r="H719">
        <v>6.6293371689284574E-13</v>
      </c>
      <c r="I719" t="s">
        <v>2231</v>
      </c>
      <c r="L719" t="s">
        <v>2295</v>
      </c>
    </row>
    <row r="720" spans="1:12" hidden="1" x14ac:dyDescent="0.25">
      <c r="A720" s="516">
        <v>695</v>
      </c>
      <c r="B720" t="s">
        <v>441</v>
      </c>
      <c r="C720" t="s">
        <v>432</v>
      </c>
      <c r="D720" t="s">
        <v>2280</v>
      </c>
      <c r="E720">
        <v>4</v>
      </c>
      <c r="F720">
        <v>3.2297376346735039E-2</v>
      </c>
      <c r="G720">
        <v>4.6763607274665074E-9</v>
      </c>
      <c r="H720">
        <v>4.2992950214197398E-7</v>
      </c>
      <c r="I720" t="s">
        <v>2244</v>
      </c>
      <c r="J720" t="s">
        <v>462</v>
      </c>
      <c r="K720" t="s">
        <v>417</v>
      </c>
      <c r="L720" t="s">
        <v>2295</v>
      </c>
    </row>
    <row r="721" spans="1:12" hidden="1" x14ac:dyDescent="0.25">
      <c r="A721" s="516">
        <v>696</v>
      </c>
      <c r="B721" t="s">
        <v>441</v>
      </c>
      <c r="C721" t="s">
        <v>432</v>
      </c>
      <c r="D721" t="s">
        <v>2280</v>
      </c>
      <c r="E721">
        <v>4</v>
      </c>
      <c r="F721">
        <v>2.10072403882543E-4</v>
      </c>
      <c r="G721">
        <v>3.0416536900531099E-11</v>
      </c>
      <c r="H721">
        <v>2.4197016639519881E-8</v>
      </c>
      <c r="I721" t="s">
        <v>2274</v>
      </c>
      <c r="J721" t="s">
        <v>419</v>
      </c>
      <c r="K721" t="s">
        <v>417</v>
      </c>
      <c r="L721" t="s">
        <v>2295</v>
      </c>
    </row>
    <row r="722" spans="1:12" hidden="1" x14ac:dyDescent="0.25">
      <c r="A722" s="516">
        <v>697</v>
      </c>
      <c r="B722" t="s">
        <v>441</v>
      </c>
      <c r="C722" t="s">
        <v>432</v>
      </c>
      <c r="D722" t="s">
        <v>2280</v>
      </c>
      <c r="E722">
        <v>4</v>
      </c>
      <c r="F722">
        <v>3.608179819602657E-5</v>
      </c>
      <c r="G722">
        <v>5.2243099330676023E-12</v>
      </c>
      <c r="H722">
        <v>1.1160135859892259E-8</v>
      </c>
      <c r="I722" t="s">
        <v>2231</v>
      </c>
      <c r="L722" t="s">
        <v>2295</v>
      </c>
    </row>
    <row r="723" spans="1:12" hidden="1" x14ac:dyDescent="0.25">
      <c r="A723" s="516">
        <v>698</v>
      </c>
      <c r="B723" t="s">
        <v>441</v>
      </c>
      <c r="C723" t="s">
        <v>432</v>
      </c>
      <c r="D723" t="s">
        <v>2280</v>
      </c>
      <c r="E723">
        <v>4</v>
      </c>
      <c r="F723">
        <v>0</v>
      </c>
      <c r="G723">
        <v>0</v>
      </c>
      <c r="H723">
        <v>1.515269049822246E-12</v>
      </c>
      <c r="I723" t="s">
        <v>2231</v>
      </c>
      <c r="L723" t="s">
        <v>2295</v>
      </c>
    </row>
    <row r="724" spans="1:12" hidden="1" x14ac:dyDescent="0.25">
      <c r="A724" s="516">
        <v>699</v>
      </c>
      <c r="B724" t="s">
        <v>441</v>
      </c>
      <c r="C724" t="s">
        <v>432</v>
      </c>
      <c r="D724" t="s">
        <v>2280</v>
      </c>
      <c r="E724">
        <v>4</v>
      </c>
      <c r="F724">
        <v>4.4313359147955162E-9</v>
      </c>
      <c r="G724">
        <v>6.4161636597631765E-16</v>
      </c>
      <c r="H724">
        <v>5.9726098922404826E-10</v>
      </c>
      <c r="I724" t="s">
        <v>2231</v>
      </c>
      <c r="L724" t="s">
        <v>2295</v>
      </c>
    </row>
    <row r="725" spans="1:12" hidden="1" x14ac:dyDescent="0.25">
      <c r="A725" s="516">
        <v>700</v>
      </c>
      <c r="B725" t="s">
        <v>441</v>
      </c>
      <c r="C725" t="s">
        <v>432</v>
      </c>
      <c r="D725" t="s">
        <v>2280</v>
      </c>
      <c r="E725">
        <v>4</v>
      </c>
      <c r="F725">
        <v>5.3402514068930685E-13</v>
      </c>
      <c r="G725">
        <v>7.732189044054357E-20</v>
      </c>
      <c r="H725">
        <v>1.2988089147288379E-16</v>
      </c>
      <c r="I725" t="s">
        <v>2231</v>
      </c>
      <c r="L725" t="s">
        <v>2295</v>
      </c>
    </row>
    <row r="726" spans="1:12" hidden="1" x14ac:dyDescent="0.25">
      <c r="A726" s="516">
        <v>701</v>
      </c>
      <c r="B726" t="s">
        <v>441</v>
      </c>
      <c r="C726" t="s">
        <v>432</v>
      </c>
      <c r="D726" t="s">
        <v>2280</v>
      </c>
      <c r="E726">
        <v>4</v>
      </c>
      <c r="F726">
        <v>0</v>
      </c>
      <c r="G726">
        <v>0</v>
      </c>
      <c r="H726">
        <v>8.4740783159740807E-9</v>
      </c>
      <c r="I726" t="s">
        <v>2231</v>
      </c>
      <c r="L726" t="s">
        <v>2295</v>
      </c>
    </row>
    <row r="727" spans="1:12" hidden="1" x14ac:dyDescent="0.25">
      <c r="A727" s="516">
        <v>702</v>
      </c>
      <c r="B727" t="s">
        <v>441</v>
      </c>
      <c r="C727" t="s">
        <v>432</v>
      </c>
      <c r="D727" t="s">
        <v>2280</v>
      </c>
      <c r="E727">
        <v>4</v>
      </c>
      <c r="F727">
        <v>8.1388913265507114E-6</v>
      </c>
      <c r="G727">
        <v>1.1784360239046811E-12</v>
      </c>
      <c r="H727">
        <v>8.7640823681785851E-10</v>
      </c>
      <c r="I727" t="s">
        <v>2231</v>
      </c>
      <c r="L727" t="s">
        <v>2295</v>
      </c>
    </row>
    <row r="728" spans="1:12" hidden="1" x14ac:dyDescent="0.25">
      <c r="A728" s="516">
        <v>703</v>
      </c>
      <c r="B728" t="s">
        <v>441</v>
      </c>
      <c r="C728" t="s">
        <v>432</v>
      </c>
      <c r="D728" t="s">
        <v>2280</v>
      </c>
      <c r="E728">
        <v>4</v>
      </c>
      <c r="F728">
        <v>4.7222443789078419E-12</v>
      </c>
      <c r="G728">
        <v>6.837372151207716E-19</v>
      </c>
      <c r="H728">
        <v>2.6369756756143838E-16</v>
      </c>
      <c r="I728" t="s">
        <v>2231</v>
      </c>
      <c r="L728" t="s">
        <v>2295</v>
      </c>
    </row>
    <row r="729" spans="1:12" hidden="1" x14ac:dyDescent="0.25">
      <c r="A729" s="516">
        <v>704</v>
      </c>
      <c r="B729" t="s">
        <v>441</v>
      </c>
      <c r="C729" t="s">
        <v>432</v>
      </c>
      <c r="D729" t="s">
        <v>2280</v>
      </c>
      <c r="E729">
        <v>4</v>
      </c>
      <c r="F729">
        <v>1.3595324431244109E-4</v>
      </c>
      <c r="G729">
        <v>1.968476961252082E-11</v>
      </c>
      <c r="H729">
        <v>4.840468409058872E-9</v>
      </c>
      <c r="I729" t="s">
        <v>2283</v>
      </c>
      <c r="J729" t="s">
        <v>2284</v>
      </c>
      <c r="K729" t="s">
        <v>417</v>
      </c>
      <c r="L729" t="s">
        <v>2295</v>
      </c>
    </row>
    <row r="730" spans="1:12" hidden="1" x14ac:dyDescent="0.25">
      <c r="A730" s="516">
        <v>705</v>
      </c>
      <c r="B730" t="s">
        <v>441</v>
      </c>
      <c r="C730" t="s">
        <v>432</v>
      </c>
      <c r="D730" t="s">
        <v>2280</v>
      </c>
      <c r="E730">
        <v>4</v>
      </c>
      <c r="F730">
        <v>8.7089528198443339E-12</v>
      </c>
      <c r="G730">
        <v>1.2609756441778521E-18</v>
      </c>
      <c r="H730">
        <v>1.5831594325221111E-12</v>
      </c>
      <c r="I730" t="s">
        <v>2231</v>
      </c>
      <c r="L730" t="s">
        <v>2295</v>
      </c>
    </row>
    <row r="731" spans="1:12" hidden="1" x14ac:dyDescent="0.25">
      <c r="A731" s="516">
        <v>706</v>
      </c>
      <c r="B731" t="s">
        <v>441</v>
      </c>
      <c r="C731" t="s">
        <v>432</v>
      </c>
      <c r="D731" t="s">
        <v>2280</v>
      </c>
      <c r="E731">
        <v>4</v>
      </c>
      <c r="F731">
        <v>4.7015854136513582E-5</v>
      </c>
      <c r="G731">
        <v>6.8074598844160248E-12</v>
      </c>
      <c r="H731">
        <v>1.5637872242419301E-9</v>
      </c>
      <c r="I731" t="s">
        <v>2231</v>
      </c>
      <c r="L731" t="s">
        <v>2295</v>
      </c>
    </row>
    <row r="732" spans="1:12" hidden="1" x14ac:dyDescent="0.25">
      <c r="A732" s="516">
        <v>707</v>
      </c>
      <c r="B732" t="s">
        <v>441</v>
      </c>
      <c r="C732" t="s">
        <v>432</v>
      </c>
      <c r="D732" t="s">
        <v>2280</v>
      </c>
      <c r="E732">
        <v>4</v>
      </c>
      <c r="F732">
        <v>9.2772918683348973E-4</v>
      </c>
      <c r="G732">
        <v>1.343265870409049E-10</v>
      </c>
      <c r="H732">
        <v>1.068306032931589E-7</v>
      </c>
      <c r="I732" t="s">
        <v>2274</v>
      </c>
      <c r="J732" t="s">
        <v>1992</v>
      </c>
      <c r="K732" t="s">
        <v>417</v>
      </c>
      <c r="L732" t="s">
        <v>2295</v>
      </c>
    </row>
    <row r="733" spans="1:12" hidden="1" x14ac:dyDescent="0.25">
      <c r="A733" s="516">
        <v>708</v>
      </c>
      <c r="B733" t="s">
        <v>441</v>
      </c>
      <c r="C733" t="s">
        <v>432</v>
      </c>
      <c r="D733" t="s">
        <v>2280</v>
      </c>
      <c r="E733">
        <v>4</v>
      </c>
      <c r="F733">
        <v>3.9360247725999871E-6</v>
      </c>
      <c r="G733">
        <v>5.69899903673834E-13</v>
      </c>
      <c r="H733">
        <v>8.3836450444873882E-10</v>
      </c>
      <c r="I733" t="s">
        <v>2231</v>
      </c>
      <c r="L733" t="s">
        <v>2295</v>
      </c>
    </row>
    <row r="734" spans="1:12" hidden="1" x14ac:dyDescent="0.25">
      <c r="A734" s="516">
        <v>709</v>
      </c>
      <c r="B734" t="s">
        <v>441</v>
      </c>
      <c r="C734" t="s">
        <v>432</v>
      </c>
      <c r="D734" t="s">
        <v>2280</v>
      </c>
      <c r="E734">
        <v>4</v>
      </c>
      <c r="F734">
        <v>2.2083450608904679E-7</v>
      </c>
      <c r="G734">
        <v>3.1974789545054737E-14</v>
      </c>
      <c r="H734">
        <v>2.4503857874028319E-7</v>
      </c>
      <c r="I734" t="s">
        <v>2231</v>
      </c>
      <c r="L734" t="s">
        <v>2295</v>
      </c>
    </row>
    <row r="735" spans="1:12" hidden="1" x14ac:dyDescent="0.25">
      <c r="A735" s="516">
        <v>710</v>
      </c>
      <c r="B735" t="s">
        <v>441</v>
      </c>
      <c r="C735" t="s">
        <v>432</v>
      </c>
      <c r="D735" t="s">
        <v>2280</v>
      </c>
      <c r="E735">
        <v>4</v>
      </c>
      <c r="F735">
        <v>1.204588394006375E-8</v>
      </c>
      <c r="G735">
        <v>1.7441323400446469E-15</v>
      </c>
      <c r="H735">
        <v>2.57972749659869E-8</v>
      </c>
      <c r="I735" t="s">
        <v>2231</v>
      </c>
      <c r="L735" t="s">
        <v>2295</v>
      </c>
    </row>
    <row r="736" spans="1:12" hidden="1" x14ac:dyDescent="0.25">
      <c r="A736" s="516">
        <v>711</v>
      </c>
      <c r="B736" t="s">
        <v>441</v>
      </c>
      <c r="C736" t="s">
        <v>432</v>
      </c>
      <c r="D736" t="s">
        <v>2280</v>
      </c>
      <c r="E736">
        <v>4</v>
      </c>
      <c r="F736">
        <v>8.6778807564716803E-7</v>
      </c>
      <c r="G736">
        <v>1.2564766974114859E-13</v>
      </c>
      <c r="H736">
        <v>2.5683567968891642E-7</v>
      </c>
      <c r="I736" t="s">
        <v>2231</v>
      </c>
      <c r="L736" t="s">
        <v>2295</v>
      </c>
    </row>
    <row r="737" spans="1:12" hidden="1" x14ac:dyDescent="0.25">
      <c r="A737" s="516">
        <v>712</v>
      </c>
      <c r="B737" t="s">
        <v>441</v>
      </c>
      <c r="C737" t="s">
        <v>432</v>
      </c>
      <c r="D737" t="s">
        <v>2280</v>
      </c>
      <c r="E737">
        <v>4</v>
      </c>
      <c r="F737">
        <v>1.7868454062098832E-8</v>
      </c>
      <c r="G737">
        <v>2.5871865237432949E-15</v>
      </c>
      <c r="H737">
        <v>2.581859502794226E-7</v>
      </c>
      <c r="I737" t="s">
        <v>2231</v>
      </c>
      <c r="L737" t="s">
        <v>2295</v>
      </c>
    </row>
    <row r="738" spans="1:12" x14ac:dyDescent="0.25">
      <c r="A738" s="516">
        <v>713</v>
      </c>
      <c r="B738" t="s">
        <v>441</v>
      </c>
      <c r="C738" t="s">
        <v>432</v>
      </c>
      <c r="D738" t="s">
        <v>2280</v>
      </c>
      <c r="E738">
        <v>3</v>
      </c>
      <c r="F738">
        <v>2.2193247114466841E-5</v>
      </c>
      <c r="G738">
        <v>3.2133764707963228E-12</v>
      </c>
      <c r="H738">
        <v>5.3300154888402678E-6</v>
      </c>
      <c r="I738" t="s">
        <v>2231</v>
      </c>
    </row>
    <row r="739" spans="1:12" x14ac:dyDescent="0.25">
      <c r="A739" s="516">
        <v>714</v>
      </c>
      <c r="B739" t="s">
        <v>441</v>
      </c>
      <c r="C739" t="s">
        <v>432</v>
      </c>
      <c r="D739" t="s">
        <v>2280</v>
      </c>
      <c r="E739">
        <v>3</v>
      </c>
      <c r="F739">
        <v>4.1015909384072791E-7</v>
      </c>
      <c r="G739">
        <v>5.938723498337432E-14</v>
      </c>
      <c r="H739">
        <v>6.6625193610503347E-7</v>
      </c>
      <c r="I739" t="s">
        <v>2231</v>
      </c>
    </row>
    <row r="740" spans="1:12" x14ac:dyDescent="0.25">
      <c r="A740" s="516">
        <v>715</v>
      </c>
      <c r="B740" t="s">
        <v>441</v>
      </c>
      <c r="C740" t="s">
        <v>432</v>
      </c>
      <c r="D740" t="s">
        <v>2280</v>
      </c>
      <c r="E740">
        <v>3</v>
      </c>
      <c r="F740">
        <v>1.1637637581175551E-4</v>
      </c>
      <c r="G740">
        <v>1.685022051353071E-11</v>
      </c>
      <c r="H740">
        <v>7.5508552758570464E-7</v>
      </c>
      <c r="I740" t="s">
        <v>2245</v>
      </c>
      <c r="J740" t="s">
        <v>462</v>
      </c>
      <c r="K740" t="s">
        <v>417</v>
      </c>
    </row>
    <row r="741" spans="1:12" hidden="1" x14ac:dyDescent="0.25">
      <c r="A741" s="516">
        <v>716</v>
      </c>
      <c r="B741" t="s">
        <v>441</v>
      </c>
      <c r="C741" t="s">
        <v>432</v>
      </c>
      <c r="D741" t="s">
        <v>2280</v>
      </c>
      <c r="E741">
        <v>4</v>
      </c>
      <c r="F741">
        <v>9.3758150387805418E-5</v>
      </c>
      <c r="G741">
        <v>1.3575311122686739E-11</v>
      </c>
      <c r="H741">
        <v>6.1113945710942813E-7</v>
      </c>
      <c r="I741" t="s">
        <v>2231</v>
      </c>
      <c r="L741" t="s">
        <v>2295</v>
      </c>
    </row>
    <row r="742" spans="1:12" hidden="1" x14ac:dyDescent="0.25">
      <c r="A742" s="516">
        <v>717</v>
      </c>
      <c r="B742" t="s">
        <v>441</v>
      </c>
      <c r="C742" t="s">
        <v>432</v>
      </c>
      <c r="D742" t="s">
        <v>2280</v>
      </c>
      <c r="E742">
        <v>4</v>
      </c>
      <c r="F742">
        <v>2.124525146356342E-5</v>
      </c>
      <c r="G742">
        <v>3.0761154876099309E-12</v>
      </c>
      <c r="H742">
        <v>1.4394607047618739E-7</v>
      </c>
      <c r="I742" t="s">
        <v>2231</v>
      </c>
      <c r="L742" t="s">
        <v>2295</v>
      </c>
    </row>
    <row r="743" spans="1:12" hidden="1" x14ac:dyDescent="0.25">
      <c r="A743" s="516">
        <v>718</v>
      </c>
      <c r="B743" t="s">
        <v>441</v>
      </c>
      <c r="C743" t="s">
        <v>432</v>
      </c>
      <c r="D743" t="s">
        <v>2280</v>
      </c>
      <c r="E743">
        <v>4</v>
      </c>
      <c r="F743">
        <v>6.8561366182036271E-19</v>
      </c>
      <c r="G743">
        <v>9.9270503211489521E-26</v>
      </c>
      <c r="H743">
        <v>2.214554930402883E-20</v>
      </c>
      <c r="I743" t="s">
        <v>2231</v>
      </c>
      <c r="L743" t="s">
        <v>2295</v>
      </c>
    </row>
    <row r="744" spans="1:12" hidden="1" x14ac:dyDescent="0.25">
      <c r="A744" s="516">
        <v>719</v>
      </c>
      <c r="B744" t="s">
        <v>441</v>
      </c>
      <c r="C744" t="s">
        <v>432</v>
      </c>
      <c r="D744" t="s">
        <v>2280</v>
      </c>
      <c r="E744">
        <v>4</v>
      </c>
      <c r="F744">
        <v>7.1640023614791419E-19</v>
      </c>
      <c r="G744">
        <v>1.0372811381035E-25</v>
      </c>
      <c r="H744">
        <v>2.214554930402883E-20</v>
      </c>
      <c r="I744" t="s">
        <v>2231</v>
      </c>
      <c r="L744" t="s">
        <v>2295</v>
      </c>
    </row>
    <row r="745" spans="1:12" hidden="1" x14ac:dyDescent="0.25">
      <c r="A745" s="516">
        <v>720</v>
      </c>
      <c r="B745" t="s">
        <v>441</v>
      </c>
      <c r="C745" t="s">
        <v>432</v>
      </c>
      <c r="D745" t="s">
        <v>2280</v>
      </c>
      <c r="E745">
        <v>4</v>
      </c>
      <c r="F745">
        <v>8.5857643475447039E-19</v>
      </c>
      <c r="G745">
        <v>1.243139095234866E-25</v>
      </c>
      <c r="H745">
        <v>2.214554930402883E-20</v>
      </c>
      <c r="I745" t="s">
        <v>2231</v>
      </c>
      <c r="L745" t="s">
        <v>2295</v>
      </c>
    </row>
    <row r="746" spans="1:12" hidden="1" x14ac:dyDescent="0.25">
      <c r="A746" s="516">
        <v>721</v>
      </c>
      <c r="B746" t="s">
        <v>441</v>
      </c>
      <c r="C746" t="s">
        <v>432</v>
      </c>
      <c r="D746" t="s">
        <v>2280</v>
      </c>
      <c r="E746">
        <v>4</v>
      </c>
      <c r="F746">
        <v>6.939675072268497E-19</v>
      </c>
      <c r="G746">
        <v>1.004800625937386E-25</v>
      </c>
      <c r="H746">
        <v>2.214554930402883E-20</v>
      </c>
      <c r="I746" t="s">
        <v>2231</v>
      </c>
      <c r="L746" t="s">
        <v>2295</v>
      </c>
    </row>
    <row r="747" spans="1:12" hidden="1" x14ac:dyDescent="0.25">
      <c r="A747" s="516">
        <v>722</v>
      </c>
      <c r="B747" t="s">
        <v>441</v>
      </c>
      <c r="C747" t="s">
        <v>432</v>
      </c>
      <c r="D747" t="s">
        <v>2280</v>
      </c>
      <c r="E747">
        <v>4</v>
      </c>
      <c r="F747">
        <v>1.964605699743389E-7</v>
      </c>
      <c r="G747">
        <v>2.8445669520043158E-14</v>
      </c>
      <c r="H747">
        <v>2.1799319181399291E-7</v>
      </c>
      <c r="I747" t="s">
        <v>2231</v>
      </c>
      <c r="L747" t="s">
        <v>2295</v>
      </c>
    </row>
    <row r="748" spans="1:12" hidden="1" x14ac:dyDescent="0.25">
      <c r="A748" s="516">
        <v>723</v>
      </c>
      <c r="B748" t="s">
        <v>441</v>
      </c>
      <c r="C748" t="s">
        <v>432</v>
      </c>
      <c r="D748" t="s">
        <v>2280</v>
      </c>
      <c r="E748">
        <v>4</v>
      </c>
      <c r="F748">
        <v>1.149086838962236E-6</v>
      </c>
      <c r="G748">
        <v>1.663771232834163E-13</v>
      </c>
      <c r="H748">
        <v>3.4009052162460141E-7</v>
      </c>
      <c r="I748" t="s">
        <v>2231</v>
      </c>
      <c r="L748" t="s">
        <v>2295</v>
      </c>
    </row>
    <row r="749" spans="1:12" hidden="1" x14ac:dyDescent="0.25">
      <c r="A749" s="516">
        <v>724</v>
      </c>
      <c r="B749" t="s">
        <v>441</v>
      </c>
      <c r="C749" t="s">
        <v>432</v>
      </c>
      <c r="D749" t="s">
        <v>2280</v>
      </c>
      <c r="E749">
        <v>4</v>
      </c>
      <c r="F749">
        <v>2.742485545009452E-8</v>
      </c>
      <c r="G749">
        <v>3.970864865505786E-15</v>
      </c>
      <c r="H749">
        <v>3.9626888487697791E-7</v>
      </c>
      <c r="I749" t="s">
        <v>2231</v>
      </c>
      <c r="L749" t="s">
        <v>2295</v>
      </c>
    </row>
    <row r="750" spans="1:12" x14ac:dyDescent="0.25">
      <c r="A750" s="516">
        <v>725</v>
      </c>
      <c r="B750" t="s">
        <v>441</v>
      </c>
      <c r="C750" t="s">
        <v>432</v>
      </c>
      <c r="D750" t="s">
        <v>2280</v>
      </c>
      <c r="E750">
        <v>3</v>
      </c>
      <c r="F750">
        <v>2.8734058420389092E-7</v>
      </c>
      <c r="G750">
        <v>4.1604253204740403E-14</v>
      </c>
      <c r="H750">
        <v>-7.1066873184536906E-7</v>
      </c>
      <c r="I750" t="s">
        <v>2231</v>
      </c>
    </row>
    <row r="751" spans="1:12" x14ac:dyDescent="0.25">
      <c r="A751" s="516">
        <v>726</v>
      </c>
      <c r="B751" t="s">
        <v>441</v>
      </c>
      <c r="C751" t="s">
        <v>432</v>
      </c>
      <c r="D751" t="s">
        <v>2280</v>
      </c>
      <c r="E751">
        <v>3</v>
      </c>
      <c r="F751">
        <v>2.6830334059837831E-7</v>
      </c>
      <c r="G751">
        <v>3.8847836788735399E-14</v>
      </c>
      <c r="H751">
        <v>-7.1066873184536906E-7</v>
      </c>
      <c r="I751" t="s">
        <v>2231</v>
      </c>
    </row>
    <row r="752" spans="1:12" x14ac:dyDescent="0.25">
      <c r="A752" s="516">
        <v>727</v>
      </c>
      <c r="B752" t="s">
        <v>441</v>
      </c>
      <c r="C752" t="s">
        <v>432</v>
      </c>
      <c r="D752" t="s">
        <v>2280</v>
      </c>
      <c r="E752">
        <v>3</v>
      </c>
      <c r="F752">
        <v>1.6199084674662269E-5</v>
      </c>
      <c r="G752">
        <v>2.345477309990632E-12</v>
      </c>
      <c r="H752">
        <v>-8.7634337995682083E-5</v>
      </c>
      <c r="I752" t="s">
        <v>2231</v>
      </c>
    </row>
    <row r="753" spans="1:12" x14ac:dyDescent="0.25">
      <c r="A753" s="516">
        <v>728</v>
      </c>
      <c r="B753" t="s">
        <v>441</v>
      </c>
      <c r="C753" t="s">
        <v>432</v>
      </c>
      <c r="D753" t="s">
        <v>2280</v>
      </c>
      <c r="E753">
        <v>3</v>
      </c>
      <c r="F753">
        <v>5.0778909254594681E-6</v>
      </c>
      <c r="G753">
        <v>7.3523153853881724E-13</v>
      </c>
      <c r="H753">
        <v>7.1066873184536906E-7</v>
      </c>
      <c r="I753" t="s">
        <v>2231</v>
      </c>
    </row>
    <row r="754" spans="1:12" x14ac:dyDescent="0.25">
      <c r="A754" s="516">
        <v>729</v>
      </c>
      <c r="B754" t="s">
        <v>441</v>
      </c>
      <c r="C754" t="s">
        <v>432</v>
      </c>
      <c r="D754" t="s">
        <v>2280</v>
      </c>
      <c r="E754">
        <v>3</v>
      </c>
      <c r="F754">
        <v>5.2390184254535062E-5</v>
      </c>
      <c r="G754">
        <v>7.5856130703139489E-12</v>
      </c>
      <c r="H754">
        <v>1.0215863020277181E-6</v>
      </c>
      <c r="I754" t="s">
        <v>2231</v>
      </c>
    </row>
    <row r="755" spans="1:12" x14ac:dyDescent="0.25">
      <c r="A755" s="516">
        <v>730</v>
      </c>
      <c r="B755" t="s">
        <v>441</v>
      </c>
      <c r="C755" t="s">
        <v>432</v>
      </c>
      <c r="D755" t="s">
        <v>2280</v>
      </c>
      <c r="E755">
        <v>3</v>
      </c>
      <c r="F755">
        <v>3.0750194365301641E-4</v>
      </c>
      <c r="G755">
        <v>4.4523431175360818E-11</v>
      </c>
      <c r="H755">
        <v>8.661275169365436E-5</v>
      </c>
      <c r="I755" t="s">
        <v>2247</v>
      </c>
      <c r="J755" t="s">
        <v>419</v>
      </c>
      <c r="K755" t="s">
        <v>417</v>
      </c>
    </row>
    <row r="756" spans="1:12" hidden="1" x14ac:dyDescent="0.25">
      <c r="A756" s="516">
        <v>731</v>
      </c>
      <c r="B756" t="s">
        <v>441</v>
      </c>
      <c r="C756" t="s">
        <v>432</v>
      </c>
      <c r="D756" t="s">
        <v>2280</v>
      </c>
      <c r="E756">
        <v>4</v>
      </c>
      <c r="F756">
        <v>1.203097724915538E-7</v>
      </c>
      <c r="G756">
        <v>1.7419739893726899E-14</v>
      </c>
      <c r="H756">
        <v>-1.671626107687529E-8</v>
      </c>
      <c r="I756" t="s">
        <v>2231</v>
      </c>
      <c r="L756" t="s">
        <v>2295</v>
      </c>
    </row>
    <row r="757" spans="1:12" hidden="1" x14ac:dyDescent="0.25">
      <c r="A757" s="516">
        <v>732</v>
      </c>
      <c r="B757" t="s">
        <v>441</v>
      </c>
      <c r="C757" t="s">
        <v>432</v>
      </c>
      <c r="D757" t="s">
        <v>2280</v>
      </c>
      <c r="E757">
        <v>4</v>
      </c>
      <c r="F757">
        <v>4.1144709228176709E-10</v>
      </c>
      <c r="G757">
        <v>5.9573725219053245E-17</v>
      </c>
      <c r="H757">
        <v>1.368481476759739E-12</v>
      </c>
      <c r="I757" t="s">
        <v>2231</v>
      </c>
      <c r="L757" t="s">
        <v>2295</v>
      </c>
    </row>
    <row r="758" spans="1:12" hidden="1" x14ac:dyDescent="0.25">
      <c r="A758" s="516">
        <v>733</v>
      </c>
      <c r="B758" t="s">
        <v>441</v>
      </c>
      <c r="C758" t="s">
        <v>432</v>
      </c>
      <c r="D758" t="s">
        <v>2280</v>
      </c>
      <c r="E758">
        <v>4</v>
      </c>
      <c r="F758">
        <v>9.6938304643659067E-5</v>
      </c>
      <c r="G758">
        <v>1.403576798177347E-11</v>
      </c>
      <c r="H758">
        <v>1.9434314734445009E-5</v>
      </c>
      <c r="I758" t="s">
        <v>2231</v>
      </c>
      <c r="L758" t="s">
        <v>2295</v>
      </c>
    </row>
    <row r="759" spans="1:12" hidden="1" x14ac:dyDescent="0.25">
      <c r="A759" s="516">
        <v>734</v>
      </c>
      <c r="B759" t="s">
        <v>441</v>
      </c>
      <c r="C759" t="s">
        <v>432</v>
      </c>
      <c r="D759" t="s">
        <v>2280</v>
      </c>
      <c r="E759">
        <v>4</v>
      </c>
      <c r="F759">
        <v>1.412082153057602E-5</v>
      </c>
      <c r="G759">
        <v>2.044564070351324E-12</v>
      </c>
      <c r="H759">
        <v>8.6297481277489464E-5</v>
      </c>
      <c r="I759" t="s">
        <v>2231</v>
      </c>
      <c r="L759" t="s">
        <v>2295</v>
      </c>
    </row>
    <row r="760" spans="1:12" hidden="1" x14ac:dyDescent="0.25">
      <c r="A760" s="516">
        <v>735</v>
      </c>
      <c r="B760" t="s">
        <v>441</v>
      </c>
      <c r="C760" t="s">
        <v>432</v>
      </c>
      <c r="D760" t="s">
        <v>2280</v>
      </c>
      <c r="E760">
        <v>4</v>
      </c>
      <c r="F760">
        <v>6.3599434863846227E-7</v>
      </c>
      <c r="G760">
        <v>9.208608658901804E-14</v>
      </c>
      <c r="H760">
        <v>6.2827331049046386E-6</v>
      </c>
      <c r="I760" t="s">
        <v>2231</v>
      </c>
      <c r="L760" t="s">
        <v>2295</v>
      </c>
    </row>
    <row r="761" spans="1:12" hidden="1" x14ac:dyDescent="0.25">
      <c r="A761" s="516">
        <v>736</v>
      </c>
      <c r="B761" t="s">
        <v>441</v>
      </c>
      <c r="C761" t="s">
        <v>432</v>
      </c>
      <c r="D761" t="s">
        <v>2280</v>
      </c>
      <c r="E761">
        <v>4</v>
      </c>
      <c r="F761">
        <v>4.3977723684987239E-6</v>
      </c>
      <c r="G761">
        <v>6.3675667557633598E-13</v>
      </c>
      <c r="H761">
        <v>3.4385262422380778E-8</v>
      </c>
      <c r="I761" t="s">
        <v>2231</v>
      </c>
      <c r="L761" t="s">
        <v>2295</v>
      </c>
    </row>
    <row r="762" spans="1:12" hidden="1" x14ac:dyDescent="0.25">
      <c r="A762" s="516">
        <v>737</v>
      </c>
      <c r="B762" t="s">
        <v>441</v>
      </c>
      <c r="C762" t="s">
        <v>432</v>
      </c>
      <c r="D762" t="s">
        <v>2280</v>
      </c>
      <c r="E762">
        <v>4</v>
      </c>
      <c r="F762">
        <v>4.9453493165764038E-8</v>
      </c>
      <c r="G762">
        <v>7.1604074211368768E-15</v>
      </c>
      <c r="H762">
        <v>2.4598021480997841E-9</v>
      </c>
      <c r="I762" t="s">
        <v>2231</v>
      </c>
      <c r="L762" t="s">
        <v>2295</v>
      </c>
    </row>
    <row r="763" spans="1:12" hidden="1" x14ac:dyDescent="0.25">
      <c r="A763" s="516">
        <v>738</v>
      </c>
      <c r="B763" t="s">
        <v>441</v>
      </c>
      <c r="C763" t="s">
        <v>432</v>
      </c>
      <c r="D763" t="s">
        <v>2280</v>
      </c>
      <c r="E763">
        <v>4</v>
      </c>
      <c r="F763">
        <v>3.548683931753434E-9</v>
      </c>
      <c r="G763">
        <v>5.1381654021939717E-16</v>
      </c>
      <c r="H763">
        <v>4.6944111417960666E-9</v>
      </c>
      <c r="I763" t="s">
        <v>2231</v>
      </c>
      <c r="L763" t="s">
        <v>2295</v>
      </c>
    </row>
    <row r="764" spans="1:12" hidden="1" x14ac:dyDescent="0.25">
      <c r="A764" s="516">
        <v>739</v>
      </c>
      <c r="B764" t="s">
        <v>441</v>
      </c>
      <c r="C764" t="s">
        <v>432</v>
      </c>
      <c r="D764" t="s">
        <v>2280</v>
      </c>
      <c r="E764">
        <v>4</v>
      </c>
      <c r="F764">
        <v>3.9687214449595968E-5</v>
      </c>
      <c r="G764">
        <v>5.746340787628511E-12</v>
      </c>
      <c r="H764">
        <v>3.9755253027387352E-7</v>
      </c>
      <c r="I764" t="s">
        <v>2231</v>
      </c>
      <c r="L764" t="s">
        <v>2295</v>
      </c>
    </row>
    <row r="765" spans="1:12" hidden="1" x14ac:dyDescent="0.25">
      <c r="A765" s="516">
        <v>740</v>
      </c>
      <c r="B765" t="s">
        <v>441</v>
      </c>
      <c r="C765" t="s">
        <v>432</v>
      </c>
      <c r="D765" t="s">
        <v>2280</v>
      </c>
      <c r="E765">
        <v>4</v>
      </c>
      <c r="F765">
        <v>2.130223012426485E-8</v>
      </c>
      <c r="G765">
        <v>3.084365469538718E-15</v>
      </c>
      <c r="H765">
        <v>-3.1007365106328259E-8</v>
      </c>
      <c r="I765" t="s">
        <v>2231</v>
      </c>
      <c r="L765" t="s">
        <v>2295</v>
      </c>
    </row>
    <row r="766" spans="1:12" hidden="1" x14ac:dyDescent="0.25">
      <c r="A766" s="516">
        <v>741</v>
      </c>
      <c r="B766" t="s">
        <v>441</v>
      </c>
      <c r="C766" t="s">
        <v>432</v>
      </c>
      <c r="D766" t="s">
        <v>2280</v>
      </c>
      <c r="E766">
        <v>4</v>
      </c>
      <c r="F766">
        <v>1.227451383100405E-6</v>
      </c>
      <c r="G766">
        <v>1.7772358290599781E-13</v>
      </c>
      <c r="H766">
        <v>7.3534226187912552E-9</v>
      </c>
      <c r="I766" t="s">
        <v>2231</v>
      </c>
      <c r="L766" t="s">
        <v>2295</v>
      </c>
    </row>
    <row r="767" spans="1:12" hidden="1" x14ac:dyDescent="0.25">
      <c r="A767" s="516">
        <v>742</v>
      </c>
      <c r="B767" t="s">
        <v>441</v>
      </c>
      <c r="C767" t="s">
        <v>432</v>
      </c>
      <c r="D767" t="s">
        <v>2280</v>
      </c>
      <c r="E767">
        <v>4</v>
      </c>
      <c r="F767">
        <v>3.745021609293821E-6</v>
      </c>
      <c r="G767">
        <v>5.4224441605410605E-13</v>
      </c>
      <c r="H767">
        <v>1.4031265774372009E-13</v>
      </c>
      <c r="I767" t="s">
        <v>2231</v>
      </c>
      <c r="L767" t="s">
        <v>2295</v>
      </c>
    </row>
    <row r="768" spans="1:12" hidden="1" x14ac:dyDescent="0.25">
      <c r="A768" s="516">
        <v>743</v>
      </c>
      <c r="B768" t="s">
        <v>441</v>
      </c>
      <c r="C768" t="s">
        <v>432</v>
      </c>
      <c r="D768" t="s">
        <v>2280</v>
      </c>
      <c r="E768">
        <v>4</v>
      </c>
      <c r="F768">
        <v>1.8834389464017191E-7</v>
      </c>
      <c r="G768">
        <v>2.7270450165913441E-14</v>
      </c>
      <c r="H768">
        <v>1.6023359063326059E-10</v>
      </c>
      <c r="I768" t="s">
        <v>2231</v>
      </c>
      <c r="L768" t="s">
        <v>2295</v>
      </c>
    </row>
    <row r="769" spans="1:12" hidden="1" x14ac:dyDescent="0.25">
      <c r="A769" s="516">
        <v>744</v>
      </c>
      <c r="B769" t="s">
        <v>441</v>
      </c>
      <c r="C769" t="s">
        <v>432</v>
      </c>
      <c r="D769" t="s">
        <v>2280</v>
      </c>
      <c r="E769">
        <v>4</v>
      </c>
      <c r="F769">
        <v>1.8196969156548211E-7</v>
      </c>
      <c r="G769">
        <v>2.6347524643810179E-14</v>
      </c>
      <c r="H769">
        <v>3.8715900007063501E-9</v>
      </c>
      <c r="I769" t="s">
        <v>2231</v>
      </c>
      <c r="L769" t="s">
        <v>2295</v>
      </c>
    </row>
    <row r="770" spans="1:12" hidden="1" x14ac:dyDescent="0.25">
      <c r="A770" s="516">
        <v>745</v>
      </c>
      <c r="B770" t="s">
        <v>441</v>
      </c>
      <c r="C770" t="s">
        <v>432</v>
      </c>
      <c r="D770" t="s">
        <v>2280</v>
      </c>
      <c r="E770">
        <v>4</v>
      </c>
      <c r="F770">
        <v>1.252967060663329E-5</v>
      </c>
      <c r="G770">
        <v>1.814180165097979E-12</v>
      </c>
      <c r="H770">
        <v>-1.740916309042453E-6</v>
      </c>
      <c r="I770" t="s">
        <v>2231</v>
      </c>
      <c r="L770" t="s">
        <v>2295</v>
      </c>
    </row>
    <row r="771" spans="1:12" hidden="1" x14ac:dyDescent="0.25">
      <c r="A771" s="516">
        <v>746</v>
      </c>
      <c r="B771" t="s">
        <v>441</v>
      </c>
      <c r="C771" t="s">
        <v>432</v>
      </c>
      <c r="D771" t="s">
        <v>2280</v>
      </c>
      <c r="E771">
        <v>4</v>
      </c>
      <c r="F771">
        <v>2.5378377436968751E-5</v>
      </c>
      <c r="G771">
        <v>3.6745538182100667E-12</v>
      </c>
      <c r="H771">
        <v>1.299191275404815E-8</v>
      </c>
      <c r="I771" t="s">
        <v>2231</v>
      </c>
      <c r="L771" t="s">
        <v>2295</v>
      </c>
    </row>
    <row r="772" spans="1:12" hidden="1" x14ac:dyDescent="0.25">
      <c r="A772" s="516">
        <v>747</v>
      </c>
      <c r="B772" t="s">
        <v>441</v>
      </c>
      <c r="C772" t="s">
        <v>432</v>
      </c>
      <c r="D772" t="s">
        <v>2280</v>
      </c>
      <c r="E772">
        <v>4</v>
      </c>
      <c r="F772">
        <v>4.7263262770025243E-7</v>
      </c>
      <c r="G772">
        <v>6.8432823612936878E-14</v>
      </c>
      <c r="H772">
        <v>-6.8424073837986952E-7</v>
      </c>
      <c r="I772" t="s">
        <v>2231</v>
      </c>
      <c r="L772" t="s">
        <v>2295</v>
      </c>
    </row>
    <row r="773" spans="1:12" hidden="1" x14ac:dyDescent="0.25">
      <c r="A773" s="516">
        <v>748</v>
      </c>
      <c r="B773" t="s">
        <v>441</v>
      </c>
      <c r="C773" t="s">
        <v>432</v>
      </c>
      <c r="D773" t="s">
        <v>2280</v>
      </c>
      <c r="E773">
        <v>4</v>
      </c>
      <c r="F773">
        <v>2.0323606460420619E-6</v>
      </c>
      <c r="G773">
        <v>2.9426698339725438E-13</v>
      </c>
      <c r="H773">
        <v>2.0440609399702429E-8</v>
      </c>
      <c r="I773" t="s">
        <v>2231</v>
      </c>
      <c r="L773" t="s">
        <v>2295</v>
      </c>
    </row>
    <row r="774" spans="1:12" hidden="1" x14ac:dyDescent="0.25">
      <c r="A774" s="516">
        <v>749</v>
      </c>
      <c r="B774" t="s">
        <v>441</v>
      </c>
      <c r="C774" t="s">
        <v>432</v>
      </c>
      <c r="D774" t="s">
        <v>2280</v>
      </c>
      <c r="E774">
        <v>4</v>
      </c>
      <c r="F774">
        <v>9.4057540389913465E-5</v>
      </c>
      <c r="G774">
        <v>1.361866001991677E-11</v>
      </c>
      <c r="H774">
        <v>7.4053902698074482E-6</v>
      </c>
      <c r="I774" t="s">
        <v>2231</v>
      </c>
      <c r="L774" t="s">
        <v>2295</v>
      </c>
    </row>
    <row r="775" spans="1:12" hidden="1" x14ac:dyDescent="0.25">
      <c r="A775" s="516">
        <v>750</v>
      </c>
      <c r="B775" t="s">
        <v>441</v>
      </c>
      <c r="C775" t="s">
        <v>432</v>
      </c>
      <c r="D775" t="s">
        <v>2280</v>
      </c>
      <c r="E775">
        <v>4</v>
      </c>
      <c r="F775">
        <v>1.0889346110961619E-5</v>
      </c>
      <c r="G775">
        <v>1.5766763824529301E-12</v>
      </c>
      <c r="H775">
        <v>3.6204130207947519E-7</v>
      </c>
      <c r="I775" t="s">
        <v>2231</v>
      </c>
      <c r="L775" t="s">
        <v>2295</v>
      </c>
    </row>
    <row r="776" spans="1:12" hidden="1" x14ac:dyDescent="0.25">
      <c r="A776" s="516">
        <v>751</v>
      </c>
      <c r="B776" t="s">
        <v>441</v>
      </c>
      <c r="C776" t="s">
        <v>432</v>
      </c>
      <c r="D776" t="s">
        <v>2280</v>
      </c>
      <c r="E776">
        <v>4</v>
      </c>
      <c r="F776">
        <v>2.291926300692842E-9</v>
      </c>
      <c r="G776">
        <v>3.3184968425124332E-16</v>
      </c>
      <c r="H776">
        <v>-1.858040544559376E-9</v>
      </c>
      <c r="I776" t="s">
        <v>2231</v>
      </c>
      <c r="L776" t="s">
        <v>2295</v>
      </c>
    </row>
    <row r="777" spans="1:12" hidden="1" x14ac:dyDescent="0.25">
      <c r="A777" s="516">
        <v>752</v>
      </c>
      <c r="B777" t="s">
        <v>441</v>
      </c>
      <c r="C777" t="s">
        <v>432</v>
      </c>
      <c r="D777" t="s">
        <v>2280</v>
      </c>
      <c r="E777">
        <v>4</v>
      </c>
      <c r="F777">
        <v>8.6789293101806453E-8</v>
      </c>
      <c r="G777">
        <v>1.2566285182693981E-14</v>
      </c>
      <c r="H777">
        <v>-7.5054082959405696E-8</v>
      </c>
      <c r="I777" t="s">
        <v>2231</v>
      </c>
      <c r="L777" t="s">
        <v>2295</v>
      </c>
    </row>
    <row r="778" spans="1:12" hidden="1" x14ac:dyDescent="0.25">
      <c r="A778" s="516">
        <v>753</v>
      </c>
      <c r="B778" t="s">
        <v>441</v>
      </c>
      <c r="C778" t="s">
        <v>432</v>
      </c>
      <c r="D778" t="s">
        <v>2280</v>
      </c>
      <c r="E778">
        <v>4</v>
      </c>
      <c r="F778">
        <v>7.3238884577951622E-7</v>
      </c>
      <c r="G778">
        <v>1.060431162850192E-13</v>
      </c>
      <c r="H778">
        <v>1.1650781536370321E-5</v>
      </c>
      <c r="I778" t="s">
        <v>2231</v>
      </c>
      <c r="L778" t="s">
        <v>2295</v>
      </c>
    </row>
    <row r="779" spans="1:12" hidden="1" x14ac:dyDescent="0.25">
      <c r="A779" s="516">
        <v>754</v>
      </c>
      <c r="B779" t="s">
        <v>441</v>
      </c>
      <c r="C779" t="s">
        <v>432</v>
      </c>
      <c r="D779" t="s">
        <v>2280</v>
      </c>
      <c r="E779">
        <v>4</v>
      </c>
      <c r="F779">
        <v>2.620320209421006E-9</v>
      </c>
      <c r="G779">
        <v>3.7939807831981759E-16</v>
      </c>
      <c r="H779">
        <v>4.193994227302119E-8</v>
      </c>
      <c r="I779" t="s">
        <v>2231</v>
      </c>
      <c r="L779" t="s">
        <v>2295</v>
      </c>
    </row>
    <row r="780" spans="1:12" x14ac:dyDescent="0.25">
      <c r="A780" s="516">
        <v>755</v>
      </c>
      <c r="B780" t="s">
        <v>441</v>
      </c>
      <c r="C780" t="s">
        <v>432</v>
      </c>
      <c r="D780" t="s">
        <v>2280</v>
      </c>
      <c r="E780">
        <v>3</v>
      </c>
      <c r="F780">
        <v>8.8964924665610717E-4</v>
      </c>
      <c r="G780">
        <v>1.2881296466991049E-10</v>
      </c>
      <c r="H780">
        <v>1.0215863020277181E-6</v>
      </c>
      <c r="I780" t="s">
        <v>460</v>
      </c>
      <c r="J780" t="s">
        <v>462</v>
      </c>
      <c r="K780" t="s">
        <v>417</v>
      </c>
    </row>
    <row r="781" spans="1:12" hidden="1" x14ac:dyDescent="0.25">
      <c r="A781" s="516">
        <v>756</v>
      </c>
      <c r="B781" t="s">
        <v>441</v>
      </c>
      <c r="C781" t="s">
        <v>432</v>
      </c>
      <c r="D781" t="s">
        <v>2280</v>
      </c>
      <c r="E781">
        <v>4</v>
      </c>
      <c r="F781">
        <v>1.157959985802506E-4</v>
      </c>
      <c r="G781">
        <v>1.6766187269982129E-11</v>
      </c>
      <c r="H781">
        <v>1.3313215338194921E-7</v>
      </c>
      <c r="I781" t="s">
        <v>580</v>
      </c>
      <c r="J781" t="s">
        <v>419</v>
      </c>
      <c r="K781" t="s">
        <v>417</v>
      </c>
      <c r="L781" t="s">
        <v>2295</v>
      </c>
    </row>
    <row r="782" spans="1:12" hidden="1" x14ac:dyDescent="0.25">
      <c r="A782" s="516">
        <v>757</v>
      </c>
      <c r="B782" t="s">
        <v>441</v>
      </c>
      <c r="C782" t="s">
        <v>432</v>
      </c>
      <c r="D782" t="s">
        <v>2280</v>
      </c>
      <c r="E782">
        <v>4</v>
      </c>
      <c r="F782">
        <v>7.7292928460271303E-4</v>
      </c>
      <c r="G782">
        <v>1.11912996053325E-10</v>
      </c>
      <c r="H782">
        <v>8.8845414864576876E-7</v>
      </c>
      <c r="I782" t="s">
        <v>580</v>
      </c>
      <c r="J782" t="s">
        <v>1992</v>
      </c>
      <c r="K782" t="s">
        <v>417</v>
      </c>
      <c r="L782" t="s">
        <v>2295</v>
      </c>
    </row>
    <row r="783" spans="1:12" hidden="1" x14ac:dyDescent="0.25">
      <c r="A783" s="516">
        <v>758</v>
      </c>
      <c r="B783" t="s">
        <v>441</v>
      </c>
      <c r="C783" t="s">
        <v>432</v>
      </c>
      <c r="D783" t="s">
        <v>2280</v>
      </c>
      <c r="E783">
        <v>4</v>
      </c>
      <c r="F783">
        <v>1.752049285276162E-7</v>
      </c>
      <c r="G783">
        <v>2.5368049659177541E-14</v>
      </c>
      <c r="H783">
        <v>1.9440787327587471E-7</v>
      </c>
      <c r="I783" t="s">
        <v>2231</v>
      </c>
      <c r="L783" t="s">
        <v>2295</v>
      </c>
    </row>
    <row r="784" spans="1:12" hidden="1" x14ac:dyDescent="0.25">
      <c r="A784" s="516">
        <v>759</v>
      </c>
      <c r="B784" t="s">
        <v>441</v>
      </c>
      <c r="C784" t="s">
        <v>432</v>
      </c>
      <c r="D784" t="s">
        <v>2280</v>
      </c>
      <c r="E784">
        <v>4</v>
      </c>
      <c r="F784">
        <v>9.5881751816313469E-9</v>
      </c>
      <c r="G784">
        <v>1.3882788925665331E-15</v>
      </c>
      <c r="H784">
        <v>2.0533884670757129E-8</v>
      </c>
      <c r="I784" t="s">
        <v>2231</v>
      </c>
      <c r="L784" t="s">
        <v>2295</v>
      </c>
    </row>
    <row r="785" spans="1:12" hidden="1" x14ac:dyDescent="0.25">
      <c r="A785" s="516">
        <v>760</v>
      </c>
      <c r="B785" t="s">
        <v>441</v>
      </c>
      <c r="C785" t="s">
        <v>432</v>
      </c>
      <c r="D785" t="s">
        <v>2280</v>
      </c>
      <c r="E785">
        <v>4</v>
      </c>
      <c r="F785">
        <v>7.1277660924291321E-7</v>
      </c>
      <c r="G785">
        <v>1.032034462222581E-13</v>
      </c>
      <c r="H785">
        <v>2.109575713687238E-7</v>
      </c>
      <c r="I785" t="s">
        <v>2231</v>
      </c>
      <c r="L785" t="s">
        <v>2295</v>
      </c>
    </row>
    <row r="786" spans="1:12" hidden="1" x14ac:dyDescent="0.25">
      <c r="A786" s="516">
        <v>761</v>
      </c>
      <c r="B786" t="s">
        <v>441</v>
      </c>
      <c r="C786" t="s">
        <v>432</v>
      </c>
      <c r="D786" t="s">
        <v>2280</v>
      </c>
      <c r="E786">
        <v>4</v>
      </c>
      <c r="F786">
        <v>2.640702237862699E-8</v>
      </c>
      <c r="G786">
        <v>3.8234920711515923E-15</v>
      </c>
      <c r="H786">
        <v>4.5041740056402089E-7</v>
      </c>
      <c r="I786" t="s">
        <v>2231</v>
      </c>
      <c r="L786" t="s">
        <v>2295</v>
      </c>
    </row>
    <row r="787" spans="1:12" x14ac:dyDescent="0.25">
      <c r="A787" s="516">
        <v>762</v>
      </c>
      <c r="B787" t="s">
        <v>441</v>
      </c>
      <c r="C787" t="s">
        <v>432</v>
      </c>
      <c r="D787" t="s">
        <v>2280</v>
      </c>
      <c r="E787">
        <v>3</v>
      </c>
      <c r="F787">
        <v>8.6116976527206082E-3</v>
      </c>
      <c r="G787">
        <v>1.2468939974459941E-9</v>
      </c>
      <c r="H787">
        <v>8.661275169365436E-5</v>
      </c>
      <c r="I787" t="s">
        <v>2250</v>
      </c>
      <c r="J787" t="s">
        <v>462</v>
      </c>
      <c r="K787" t="s">
        <v>417</v>
      </c>
    </row>
    <row r="788" spans="1:12" hidden="1" x14ac:dyDescent="0.25">
      <c r="A788" s="516">
        <v>763</v>
      </c>
      <c r="B788" t="s">
        <v>441</v>
      </c>
      <c r="C788" t="s">
        <v>432</v>
      </c>
      <c r="D788" t="s">
        <v>2280</v>
      </c>
      <c r="E788">
        <v>4</v>
      </c>
      <c r="F788">
        <v>6.3965157265548382E-3</v>
      </c>
      <c r="G788">
        <v>9.2615618727515593E-10</v>
      </c>
      <c r="H788">
        <v>5.1118942784407733E-5</v>
      </c>
      <c r="I788" t="s">
        <v>2251</v>
      </c>
      <c r="J788" t="s">
        <v>1992</v>
      </c>
      <c r="K788" t="s">
        <v>417</v>
      </c>
      <c r="L788" t="s">
        <v>2295</v>
      </c>
    </row>
    <row r="789" spans="1:12" hidden="1" x14ac:dyDescent="0.25">
      <c r="A789" s="516">
        <v>764</v>
      </c>
      <c r="B789" t="s">
        <v>441</v>
      </c>
      <c r="C789" t="s">
        <v>432</v>
      </c>
      <c r="D789" t="s">
        <v>2280</v>
      </c>
      <c r="E789">
        <v>4</v>
      </c>
      <c r="F789">
        <v>4.8411826378174821E-9</v>
      </c>
      <c r="G789">
        <v>7.0095837256053093E-16</v>
      </c>
      <c r="H789">
        <v>9.8650667878707843E-10</v>
      </c>
      <c r="I789" t="s">
        <v>2231</v>
      </c>
      <c r="L789" t="s">
        <v>2295</v>
      </c>
    </row>
    <row r="790" spans="1:12" hidden="1" x14ac:dyDescent="0.25">
      <c r="A790" s="516">
        <v>765</v>
      </c>
      <c r="B790" t="s">
        <v>441</v>
      </c>
      <c r="C790" t="s">
        <v>432</v>
      </c>
      <c r="D790" t="s">
        <v>2280</v>
      </c>
      <c r="E790">
        <v>4</v>
      </c>
      <c r="F790">
        <v>1.348414702788058E-3</v>
      </c>
      <c r="G790">
        <v>1.952379503759271E-10</v>
      </c>
      <c r="H790">
        <v>1.082371738256408E-5</v>
      </c>
      <c r="I790" t="s">
        <v>2251</v>
      </c>
      <c r="J790" t="s">
        <v>419</v>
      </c>
      <c r="K790" t="s">
        <v>417</v>
      </c>
      <c r="L790" t="s">
        <v>2295</v>
      </c>
    </row>
    <row r="791" spans="1:12" hidden="1" x14ac:dyDescent="0.25">
      <c r="A791" s="516">
        <v>766</v>
      </c>
      <c r="B791" t="s">
        <v>441</v>
      </c>
      <c r="C791" t="s">
        <v>432</v>
      </c>
      <c r="D791" t="s">
        <v>2280</v>
      </c>
      <c r="E791">
        <v>4</v>
      </c>
      <c r="F791">
        <v>1.8048201367079401E-5</v>
      </c>
      <c r="G791">
        <v>2.6132122674091279E-12</v>
      </c>
      <c r="H791">
        <v>8.5097238472389624E-7</v>
      </c>
      <c r="I791" t="s">
        <v>2231</v>
      </c>
      <c r="L791" t="s">
        <v>2295</v>
      </c>
    </row>
    <row r="792" spans="1:12" hidden="1" x14ac:dyDescent="0.25">
      <c r="A792" s="516">
        <v>767</v>
      </c>
      <c r="B792" t="s">
        <v>441</v>
      </c>
      <c r="C792" t="s">
        <v>432</v>
      </c>
      <c r="D792" t="s">
        <v>2280</v>
      </c>
      <c r="E792">
        <v>4</v>
      </c>
      <c r="F792">
        <v>4.0954496800165178E-4</v>
      </c>
      <c r="G792">
        <v>5.9298315254268581E-11</v>
      </c>
      <c r="H792">
        <v>1.2277194154703439E-5</v>
      </c>
      <c r="I792" t="s">
        <v>1454</v>
      </c>
      <c r="J792" t="s">
        <v>1992</v>
      </c>
      <c r="K792" t="s">
        <v>417</v>
      </c>
      <c r="L792" t="s">
        <v>2295</v>
      </c>
    </row>
    <row r="793" spans="1:12" hidden="1" x14ac:dyDescent="0.25">
      <c r="A793" s="516">
        <v>768</v>
      </c>
      <c r="B793" t="s">
        <v>441</v>
      </c>
      <c r="C793" t="s">
        <v>432</v>
      </c>
      <c r="D793" t="s">
        <v>2280</v>
      </c>
      <c r="E793">
        <v>4</v>
      </c>
      <c r="F793">
        <v>4.5090820072455422E-5</v>
      </c>
      <c r="G793">
        <v>6.5287327952694536E-12</v>
      </c>
      <c r="H793">
        <v>2.3333258765765228E-6</v>
      </c>
      <c r="I793" t="s">
        <v>2231</v>
      </c>
      <c r="L793" t="s">
        <v>2295</v>
      </c>
    </row>
    <row r="794" spans="1:12" hidden="1" x14ac:dyDescent="0.25">
      <c r="A794" s="516">
        <v>769</v>
      </c>
      <c r="B794" t="s">
        <v>441</v>
      </c>
      <c r="C794" t="s">
        <v>432</v>
      </c>
      <c r="D794" t="s">
        <v>2280</v>
      </c>
      <c r="E794">
        <v>4</v>
      </c>
      <c r="F794">
        <v>1.544743200721171E-4</v>
      </c>
      <c r="G794">
        <v>2.2366449708858941E-11</v>
      </c>
      <c r="H794">
        <v>2.8157606536467428E-6</v>
      </c>
      <c r="I794" t="s">
        <v>1454</v>
      </c>
      <c r="J794" t="s">
        <v>2252</v>
      </c>
      <c r="K794" t="s">
        <v>417</v>
      </c>
      <c r="L794" t="s">
        <v>2295</v>
      </c>
    </row>
    <row r="795" spans="1:12" hidden="1" x14ac:dyDescent="0.25">
      <c r="A795" s="516">
        <v>770</v>
      </c>
      <c r="B795" t="s">
        <v>441</v>
      </c>
      <c r="C795" t="s">
        <v>432</v>
      </c>
      <c r="D795" t="s">
        <v>2280</v>
      </c>
      <c r="E795">
        <v>4</v>
      </c>
      <c r="F795">
        <v>1.3976490697071621E-4</v>
      </c>
      <c r="G795">
        <v>2.0236663034765011E-11</v>
      </c>
      <c r="H795">
        <v>6.3431531194027866E-6</v>
      </c>
      <c r="I795" t="s">
        <v>1454</v>
      </c>
      <c r="J795" t="s">
        <v>2253</v>
      </c>
      <c r="K795" t="s">
        <v>417</v>
      </c>
      <c r="L795" t="s">
        <v>2295</v>
      </c>
    </row>
    <row r="796" spans="1:12" hidden="1" x14ac:dyDescent="0.25">
      <c r="A796" s="516">
        <v>771</v>
      </c>
      <c r="B796" t="s">
        <v>441</v>
      </c>
      <c r="C796" t="s">
        <v>432</v>
      </c>
      <c r="D796" t="s">
        <v>2280</v>
      </c>
      <c r="E796">
        <v>4</v>
      </c>
      <c r="F796">
        <v>2.1501791228907171E-5</v>
      </c>
      <c r="G796">
        <v>3.113260067739526E-12</v>
      </c>
      <c r="H796">
        <v>4.8698830950311433E-8</v>
      </c>
      <c r="I796" t="s">
        <v>2231</v>
      </c>
      <c r="L796" t="s">
        <v>2295</v>
      </c>
    </row>
    <row r="797" spans="1:12" hidden="1" x14ac:dyDescent="0.25">
      <c r="A797" s="516">
        <v>772</v>
      </c>
      <c r="B797" t="s">
        <v>441</v>
      </c>
      <c r="C797" t="s">
        <v>432</v>
      </c>
      <c r="D797" t="s">
        <v>2280</v>
      </c>
      <c r="E797">
        <v>4</v>
      </c>
      <c r="F797">
        <v>1.4854330896906581E-5</v>
      </c>
      <c r="G797">
        <v>2.1507694276259202E-12</v>
      </c>
      <c r="H797">
        <v>1.6482406647302429E-5</v>
      </c>
      <c r="I797" t="s">
        <v>2231</v>
      </c>
      <c r="L797" t="s">
        <v>2295</v>
      </c>
    </row>
    <row r="798" spans="1:12" hidden="1" x14ac:dyDescent="0.25">
      <c r="A798" s="516">
        <v>773</v>
      </c>
      <c r="B798" t="s">
        <v>441</v>
      </c>
      <c r="C798" t="s">
        <v>432</v>
      </c>
      <c r="D798" t="s">
        <v>2280</v>
      </c>
      <c r="E798">
        <v>4</v>
      </c>
      <c r="F798">
        <v>8.1291050452962002E-7</v>
      </c>
      <c r="G798">
        <v>1.177019061089026E-13</v>
      </c>
      <c r="H798">
        <v>1.740916309042453E-6</v>
      </c>
      <c r="I798" t="s">
        <v>2231</v>
      </c>
      <c r="L798" t="s">
        <v>2295</v>
      </c>
    </row>
    <row r="799" spans="1:12" hidden="1" x14ac:dyDescent="0.25">
      <c r="A799" s="516">
        <v>774</v>
      </c>
      <c r="B799" t="s">
        <v>441</v>
      </c>
      <c r="C799" t="s">
        <v>432</v>
      </c>
      <c r="D799" t="s">
        <v>2280</v>
      </c>
      <c r="E799">
        <v>4</v>
      </c>
      <c r="F799">
        <v>6.0431060348855773E-5</v>
      </c>
      <c r="G799">
        <v>8.7498573971045001E-12</v>
      </c>
      <c r="H799">
        <v>1.788553322473962E-5</v>
      </c>
      <c r="I799" t="s">
        <v>2231</v>
      </c>
      <c r="L799" t="s">
        <v>2295</v>
      </c>
    </row>
    <row r="800" spans="1:12" hidden="1" x14ac:dyDescent="0.25">
      <c r="A800" s="516">
        <v>775</v>
      </c>
      <c r="B800" t="s">
        <v>441</v>
      </c>
      <c r="C800" t="s">
        <v>432</v>
      </c>
      <c r="D800" t="s">
        <v>2280</v>
      </c>
      <c r="E800">
        <v>4</v>
      </c>
      <c r="F800">
        <v>2.2388562451377122E-6</v>
      </c>
      <c r="G800">
        <v>3.2416563211839679E-13</v>
      </c>
      <c r="H800">
        <v>3.8187562221732208E-5</v>
      </c>
      <c r="I800" t="s">
        <v>2231</v>
      </c>
      <c r="L800" t="s">
        <v>2295</v>
      </c>
    </row>
    <row r="801" spans="1:12" x14ac:dyDescent="0.25">
      <c r="A801" s="516">
        <v>776</v>
      </c>
      <c r="B801" t="s">
        <v>441</v>
      </c>
      <c r="C801" t="s">
        <v>432</v>
      </c>
      <c r="D801" t="s">
        <v>2280</v>
      </c>
      <c r="E801">
        <v>3</v>
      </c>
      <c r="F801">
        <v>1.218753370803653E-5</v>
      </c>
      <c r="G801">
        <v>1.7646419134815501E-12</v>
      </c>
      <c r="H801">
        <v>1.9987558083151011E-7</v>
      </c>
      <c r="I801" t="s">
        <v>2231</v>
      </c>
    </row>
    <row r="802" spans="1:12" x14ac:dyDescent="0.25">
      <c r="A802" s="516">
        <v>777</v>
      </c>
      <c r="B802" t="s">
        <v>441</v>
      </c>
      <c r="C802" t="s">
        <v>432</v>
      </c>
      <c r="D802" t="s">
        <v>2280</v>
      </c>
      <c r="E802">
        <v>3</v>
      </c>
      <c r="F802">
        <v>4.4117615078230244E-9</v>
      </c>
      <c r="G802">
        <v>6.3878217328379376E-16</v>
      </c>
      <c r="H802">
        <v>-3.1091757018234902E-8</v>
      </c>
      <c r="I802" t="s">
        <v>2231</v>
      </c>
    </row>
    <row r="803" spans="1:12" x14ac:dyDescent="0.25">
      <c r="A803" s="516">
        <v>778</v>
      </c>
      <c r="B803" t="s">
        <v>441</v>
      </c>
      <c r="C803" t="s">
        <v>432</v>
      </c>
      <c r="D803" t="s">
        <v>2280</v>
      </c>
      <c r="E803">
        <v>3</v>
      </c>
      <c r="F803">
        <v>1.7937942250224501E-8</v>
      </c>
      <c r="G803">
        <v>2.5972477692910789E-15</v>
      </c>
      <c r="H803">
        <v>-1.9987558083151011E-7</v>
      </c>
      <c r="I803" t="s">
        <v>2231</v>
      </c>
    </row>
    <row r="804" spans="1:12" x14ac:dyDescent="0.25">
      <c r="A804" s="516">
        <v>779</v>
      </c>
      <c r="B804" t="s">
        <v>441</v>
      </c>
      <c r="C804" t="s">
        <v>432</v>
      </c>
      <c r="D804" t="s">
        <v>2280</v>
      </c>
      <c r="E804">
        <v>3</v>
      </c>
      <c r="F804">
        <v>3.9825146771618032E-7</v>
      </c>
      <c r="G804">
        <v>5.7663121093491191E-14</v>
      </c>
      <c r="H804">
        <v>-7.5508552758570464E-7</v>
      </c>
      <c r="I804" t="s">
        <v>2231</v>
      </c>
    </row>
    <row r="805" spans="1:12" x14ac:dyDescent="0.25">
      <c r="A805" s="516">
        <v>780</v>
      </c>
      <c r="B805" t="s">
        <v>441</v>
      </c>
      <c r="C805" t="s">
        <v>432</v>
      </c>
      <c r="D805" t="s">
        <v>2280</v>
      </c>
      <c r="E805">
        <v>3</v>
      </c>
      <c r="F805">
        <v>1.4097498104435229E-3</v>
      </c>
      <c r="G805">
        <v>2.041187054433257E-10</v>
      </c>
      <c r="H805">
        <v>7.1066873184536906E-7</v>
      </c>
      <c r="I805" t="s">
        <v>2276</v>
      </c>
      <c r="J805" t="s">
        <v>419</v>
      </c>
      <c r="K805" t="s">
        <v>417</v>
      </c>
    </row>
    <row r="806" spans="1:12" hidden="1" x14ac:dyDescent="0.25">
      <c r="A806" s="516">
        <v>781</v>
      </c>
      <c r="B806" t="s">
        <v>441</v>
      </c>
      <c r="C806" t="s">
        <v>432</v>
      </c>
      <c r="D806" t="s">
        <v>2280</v>
      </c>
      <c r="E806">
        <v>4</v>
      </c>
      <c r="F806">
        <v>1.407260939623329E-3</v>
      </c>
      <c r="G806">
        <v>2.037583400181486E-10</v>
      </c>
      <c r="H806">
        <v>2.8173751205277811E-8</v>
      </c>
      <c r="I806" t="s">
        <v>2242</v>
      </c>
      <c r="J806" t="s">
        <v>462</v>
      </c>
      <c r="K806" t="s">
        <v>417</v>
      </c>
      <c r="L806" t="s">
        <v>2295</v>
      </c>
    </row>
    <row r="807" spans="1:12" hidden="1" x14ac:dyDescent="0.25">
      <c r="A807" s="516">
        <v>782</v>
      </c>
      <c r="B807" t="s">
        <v>441</v>
      </c>
      <c r="C807" t="s">
        <v>432</v>
      </c>
      <c r="D807" t="s">
        <v>2280</v>
      </c>
      <c r="E807">
        <v>4</v>
      </c>
      <c r="F807">
        <v>6.805204015543364E-9</v>
      </c>
      <c r="G807">
        <v>9.8533046334896549E-16</v>
      </c>
      <c r="H807">
        <v>2.3478362893975461E-10</v>
      </c>
      <c r="I807" t="s">
        <v>2231</v>
      </c>
      <c r="L807" t="s">
        <v>2295</v>
      </c>
    </row>
    <row r="808" spans="1:12" hidden="1" x14ac:dyDescent="0.25">
      <c r="A808" s="516">
        <v>783</v>
      </c>
      <c r="B808" t="s">
        <v>441</v>
      </c>
      <c r="C808" t="s">
        <v>432</v>
      </c>
      <c r="D808" t="s">
        <v>2280</v>
      </c>
      <c r="E808">
        <v>4</v>
      </c>
      <c r="F808">
        <v>1.58336186430364E-6</v>
      </c>
      <c r="G808">
        <v>2.2925612161516038E-13</v>
      </c>
      <c r="H808">
        <v>3.1743440245337098E-7</v>
      </c>
      <c r="I808" t="s">
        <v>2231</v>
      </c>
      <c r="L808" t="s">
        <v>2295</v>
      </c>
    </row>
    <row r="809" spans="1:12" hidden="1" x14ac:dyDescent="0.25">
      <c r="A809" s="516">
        <v>784</v>
      </c>
      <c r="B809" t="s">
        <v>441</v>
      </c>
      <c r="C809" t="s">
        <v>432</v>
      </c>
      <c r="D809" t="s">
        <v>2280</v>
      </c>
      <c r="E809">
        <v>4</v>
      </c>
      <c r="F809">
        <v>3.1175483894969332E-8</v>
      </c>
      <c r="G809">
        <v>4.5139210993817117E-15</v>
      </c>
      <c r="H809">
        <v>-1.09883599317931E-8</v>
      </c>
      <c r="I809" t="s">
        <v>2231</v>
      </c>
      <c r="L809" t="s">
        <v>2295</v>
      </c>
    </row>
    <row r="810" spans="1:12" hidden="1" x14ac:dyDescent="0.25">
      <c r="A810" s="516">
        <v>785</v>
      </c>
      <c r="B810" t="s">
        <v>441</v>
      </c>
      <c r="C810" t="s">
        <v>432</v>
      </c>
      <c r="D810" t="s">
        <v>2280</v>
      </c>
      <c r="E810">
        <v>4</v>
      </c>
      <c r="F810">
        <v>8.3737744576689653E-8</v>
      </c>
      <c r="G810">
        <v>1.2124449241358849E-14</v>
      </c>
      <c r="H810">
        <v>5.1175184313311846E-7</v>
      </c>
      <c r="I810" t="s">
        <v>2231</v>
      </c>
      <c r="L810" t="s">
        <v>2295</v>
      </c>
    </row>
    <row r="811" spans="1:12" hidden="1" x14ac:dyDescent="0.25">
      <c r="A811" s="516">
        <v>786</v>
      </c>
      <c r="B811" t="s">
        <v>441</v>
      </c>
      <c r="C811" t="s">
        <v>432</v>
      </c>
      <c r="D811" t="s">
        <v>2280</v>
      </c>
      <c r="E811">
        <v>4</v>
      </c>
      <c r="F811">
        <v>5.4682096499567489E-8</v>
      </c>
      <c r="G811">
        <v>7.9174607194358467E-15</v>
      </c>
      <c r="H811">
        <v>5.4018250108495833E-7</v>
      </c>
      <c r="I811" t="s">
        <v>2231</v>
      </c>
      <c r="L811" t="s">
        <v>2295</v>
      </c>
    </row>
    <row r="812" spans="1:12" hidden="1" x14ac:dyDescent="0.25">
      <c r="A812" s="516">
        <v>787</v>
      </c>
      <c r="B812" t="s">
        <v>441</v>
      </c>
      <c r="C812" t="s">
        <v>432</v>
      </c>
      <c r="D812" t="s">
        <v>2280</v>
      </c>
      <c r="E812">
        <v>4</v>
      </c>
      <c r="F812">
        <v>5.1080577672682609E-7</v>
      </c>
      <c r="G812">
        <v>7.3959941761332271E-14</v>
      </c>
      <c r="H812">
        <v>5.1168148692866566E-9</v>
      </c>
      <c r="I812" t="s">
        <v>2231</v>
      </c>
      <c r="L812" t="s">
        <v>2295</v>
      </c>
    </row>
    <row r="813" spans="1:12" hidden="1" x14ac:dyDescent="0.25">
      <c r="A813" s="516">
        <v>788</v>
      </c>
      <c r="B813" t="s">
        <v>441</v>
      </c>
      <c r="C813" t="s">
        <v>432</v>
      </c>
      <c r="D813" t="s">
        <v>2280</v>
      </c>
      <c r="E813">
        <v>4</v>
      </c>
      <c r="F813">
        <v>1.132310720050313E-8</v>
      </c>
      <c r="G813">
        <v>1.639480967644571E-15</v>
      </c>
      <c r="H813">
        <v>-1.64818292289578E-8</v>
      </c>
      <c r="I813" t="s">
        <v>2231</v>
      </c>
      <c r="L813" t="s">
        <v>2295</v>
      </c>
    </row>
    <row r="814" spans="1:12" hidden="1" x14ac:dyDescent="0.25">
      <c r="A814" s="516">
        <v>789</v>
      </c>
      <c r="B814" t="s">
        <v>441</v>
      </c>
      <c r="C814" t="s">
        <v>432</v>
      </c>
      <c r="D814" t="s">
        <v>2280</v>
      </c>
      <c r="E814">
        <v>4</v>
      </c>
      <c r="F814">
        <v>1.5676501491513319E-7</v>
      </c>
      <c r="G814">
        <v>2.2698121089453089E-14</v>
      </c>
      <c r="H814">
        <v>9.3914872913365522E-10</v>
      </c>
      <c r="I814" t="s">
        <v>2231</v>
      </c>
      <c r="L814" t="s">
        <v>2295</v>
      </c>
    </row>
    <row r="815" spans="1:12" hidden="1" x14ac:dyDescent="0.25">
      <c r="A815" s="516">
        <v>790</v>
      </c>
      <c r="B815" t="s">
        <v>441</v>
      </c>
      <c r="C815" t="s">
        <v>432</v>
      </c>
      <c r="D815" t="s">
        <v>2280</v>
      </c>
      <c r="E815">
        <v>4</v>
      </c>
      <c r="F815">
        <v>2.7097880954920679E-8</v>
      </c>
      <c r="G815">
        <v>3.9235219893631943E-15</v>
      </c>
      <c r="H815">
        <v>1.015261350314294E-15</v>
      </c>
      <c r="I815" t="s">
        <v>2231</v>
      </c>
      <c r="L815" t="s">
        <v>2295</v>
      </c>
    </row>
    <row r="816" spans="1:12" hidden="1" x14ac:dyDescent="0.25">
      <c r="A816" s="516">
        <v>791</v>
      </c>
      <c r="B816" t="s">
        <v>441</v>
      </c>
      <c r="C816" t="s">
        <v>432</v>
      </c>
      <c r="D816" t="s">
        <v>2280</v>
      </c>
      <c r="E816">
        <v>4</v>
      </c>
      <c r="F816">
        <v>5.1106326149791432E-10</v>
      </c>
      <c r="G816">
        <v>7.399722316953433E-17</v>
      </c>
      <c r="H816">
        <v>4.3478713014299679E-13</v>
      </c>
      <c r="I816" t="s">
        <v>2231</v>
      </c>
      <c r="L816" t="s">
        <v>2295</v>
      </c>
    </row>
    <row r="817" spans="1:12" hidden="1" x14ac:dyDescent="0.25">
      <c r="A817" s="516">
        <v>792</v>
      </c>
      <c r="B817" t="s">
        <v>441</v>
      </c>
      <c r="C817" t="s">
        <v>432</v>
      </c>
      <c r="D817" t="s">
        <v>2280</v>
      </c>
      <c r="E817">
        <v>4</v>
      </c>
      <c r="F817">
        <v>4.1678971136033541E-9</v>
      </c>
      <c r="G817">
        <v>6.0347286940371079E-16</v>
      </c>
      <c r="H817">
        <v>1.173953678135365E-9</v>
      </c>
      <c r="I817" t="s">
        <v>2231</v>
      </c>
      <c r="L817" t="s">
        <v>2295</v>
      </c>
    </row>
    <row r="818" spans="1:12" hidden="1" x14ac:dyDescent="0.25">
      <c r="A818" s="516">
        <v>793</v>
      </c>
      <c r="B818" t="s">
        <v>441</v>
      </c>
      <c r="C818" t="s">
        <v>432</v>
      </c>
      <c r="D818" t="s">
        <v>2280</v>
      </c>
      <c r="E818">
        <v>4</v>
      </c>
      <c r="F818">
        <v>1.4910651765011549E-8</v>
      </c>
      <c r="G818">
        <v>2.1589241672838841E-15</v>
      </c>
      <c r="H818">
        <v>1.173953678135365E-9</v>
      </c>
      <c r="I818" t="s">
        <v>2231</v>
      </c>
      <c r="L818" t="s">
        <v>2295</v>
      </c>
    </row>
    <row r="819" spans="1:12" hidden="1" x14ac:dyDescent="0.25">
      <c r="A819" s="516">
        <v>794</v>
      </c>
      <c r="B819" t="s">
        <v>441</v>
      </c>
      <c r="C819" t="s">
        <v>432</v>
      </c>
      <c r="D819" t="s">
        <v>2280</v>
      </c>
      <c r="E819">
        <v>4</v>
      </c>
      <c r="F819">
        <v>9.1486455245951325E-11</v>
      </c>
      <c r="G819">
        <v>1.3246390722710761E-17</v>
      </c>
      <c r="H819">
        <v>-7.4167106976174657E-11</v>
      </c>
      <c r="I819" t="s">
        <v>2231</v>
      </c>
      <c r="L819" t="s">
        <v>2295</v>
      </c>
    </row>
    <row r="820" spans="1:12" hidden="1" x14ac:dyDescent="0.25">
      <c r="A820" s="516">
        <v>795</v>
      </c>
      <c r="B820" t="s">
        <v>441</v>
      </c>
      <c r="C820" t="s">
        <v>432</v>
      </c>
      <c r="D820" t="s">
        <v>2280</v>
      </c>
      <c r="E820">
        <v>4</v>
      </c>
      <c r="F820">
        <v>3.464354319240511E-9</v>
      </c>
      <c r="G820">
        <v>5.0160639398695344E-16</v>
      </c>
      <c r="H820">
        <v>-2.9959218145958202E-9</v>
      </c>
      <c r="I820" t="s">
        <v>2231</v>
      </c>
      <c r="L820" t="s">
        <v>2295</v>
      </c>
    </row>
    <row r="821" spans="1:12" x14ac:dyDescent="0.25">
      <c r="A821" s="516">
        <v>796</v>
      </c>
      <c r="B821" t="s">
        <v>441</v>
      </c>
      <c r="C821" t="s">
        <v>432</v>
      </c>
      <c r="D821" t="s">
        <v>2280</v>
      </c>
      <c r="E821">
        <v>2</v>
      </c>
      <c r="F821">
        <v>0</v>
      </c>
      <c r="G821">
        <v>0</v>
      </c>
      <c r="H821">
        <v>0</v>
      </c>
      <c r="I821" t="s">
        <v>2231</v>
      </c>
    </row>
    <row r="822" spans="1:12" x14ac:dyDescent="0.25">
      <c r="A822" s="568">
        <v>797</v>
      </c>
      <c r="B822" s="417" t="s">
        <v>441</v>
      </c>
      <c r="C822" s="417" t="s">
        <v>432</v>
      </c>
      <c r="D822" s="417" t="s">
        <v>2280</v>
      </c>
      <c r="E822" s="417">
        <v>2</v>
      </c>
      <c r="F822" s="417">
        <v>9.2367242178554108E-3</v>
      </c>
      <c r="G822" s="417">
        <v>1.33739205064514E-9</v>
      </c>
      <c r="H822" s="417">
        <v>6.0980602046066296E-4</v>
      </c>
      <c r="I822" s="417" t="s">
        <v>1003</v>
      </c>
      <c r="J822" s="417" t="s">
        <v>432</v>
      </c>
      <c r="K822" s="417" t="s">
        <v>417</v>
      </c>
      <c r="L822" s="417" t="s">
        <v>155</v>
      </c>
    </row>
    <row r="823" spans="1:12" x14ac:dyDescent="0.25">
      <c r="A823" s="516">
        <v>798</v>
      </c>
      <c r="B823" t="s">
        <v>441</v>
      </c>
      <c r="C823" t="s">
        <v>432</v>
      </c>
      <c r="D823" t="s">
        <v>2280</v>
      </c>
      <c r="E823">
        <v>3</v>
      </c>
      <c r="F823">
        <v>7.4732855249108844E-3</v>
      </c>
      <c r="G823">
        <v>1.0820624733925191E-9</v>
      </c>
      <c r="H823">
        <v>6.0980602046066296E-4</v>
      </c>
      <c r="I823" t="s">
        <v>1000</v>
      </c>
      <c r="J823" t="s">
        <v>432</v>
      </c>
      <c r="K823" t="s">
        <v>417</v>
      </c>
    </row>
    <row r="824" spans="1:12" hidden="1" x14ac:dyDescent="0.25">
      <c r="A824" s="516">
        <v>799</v>
      </c>
      <c r="B824" t="s">
        <v>441</v>
      </c>
      <c r="C824" t="s">
        <v>432</v>
      </c>
      <c r="D824" t="s">
        <v>2280</v>
      </c>
      <c r="E824">
        <v>4</v>
      </c>
      <c r="F824">
        <v>5.7098468319666234E-3</v>
      </c>
      <c r="G824">
        <v>8.2673289613993705E-10</v>
      </c>
      <c r="H824">
        <v>6.0980602046066296E-4</v>
      </c>
      <c r="I824" t="s">
        <v>998</v>
      </c>
      <c r="J824" t="s">
        <v>432</v>
      </c>
      <c r="K824" t="s">
        <v>417</v>
      </c>
      <c r="L824" t="s">
        <v>2295</v>
      </c>
    </row>
    <row r="825" spans="1:12" hidden="1" x14ac:dyDescent="0.25">
      <c r="A825" s="516">
        <v>800</v>
      </c>
      <c r="B825" t="s">
        <v>441</v>
      </c>
      <c r="C825" t="s">
        <v>432</v>
      </c>
      <c r="D825" t="s">
        <v>2280</v>
      </c>
      <c r="E825">
        <v>4</v>
      </c>
      <c r="F825">
        <v>1.7634386666670701E-3</v>
      </c>
      <c r="G825">
        <v>2.5532957344788859E-10</v>
      </c>
      <c r="H825">
        <v>6.0980602046066303E-5</v>
      </c>
      <c r="I825" t="s">
        <v>506</v>
      </c>
      <c r="J825" t="s">
        <v>432</v>
      </c>
      <c r="K825" t="s">
        <v>433</v>
      </c>
      <c r="L825" t="s">
        <v>2295</v>
      </c>
    </row>
    <row r="826" spans="1:12" x14ac:dyDescent="0.25">
      <c r="A826" s="516">
        <v>801</v>
      </c>
      <c r="B826" t="s">
        <v>441</v>
      </c>
      <c r="C826" t="s">
        <v>432</v>
      </c>
      <c r="D826" t="s">
        <v>2280</v>
      </c>
      <c r="E826">
        <v>3</v>
      </c>
      <c r="F826">
        <v>1.7634386666670701E-3</v>
      </c>
      <c r="G826">
        <v>2.5532957344788859E-10</v>
      </c>
      <c r="H826">
        <v>6.0980602046066303E-5</v>
      </c>
      <c r="I826" t="s">
        <v>506</v>
      </c>
      <c r="J826" t="s">
        <v>432</v>
      </c>
      <c r="K826" t="s">
        <v>433</v>
      </c>
    </row>
    <row r="827" spans="1:12" hidden="1" x14ac:dyDescent="0.25">
      <c r="A827" s="516">
        <v>802</v>
      </c>
      <c r="B827" t="s">
        <v>441</v>
      </c>
      <c r="C827" t="s">
        <v>432</v>
      </c>
      <c r="D827" t="s">
        <v>2280</v>
      </c>
      <c r="E827">
        <v>4</v>
      </c>
      <c r="F827">
        <v>1.343296882715678E-3</v>
      </c>
      <c r="G827">
        <v>1.9449693746702119E-10</v>
      </c>
      <c r="H827">
        <v>5.3300022630301139E-12</v>
      </c>
      <c r="I827" t="s">
        <v>2277</v>
      </c>
      <c r="J827" t="s">
        <v>462</v>
      </c>
      <c r="K827" t="s">
        <v>1995</v>
      </c>
      <c r="L827" t="s">
        <v>2295</v>
      </c>
    </row>
    <row r="828" spans="1:12" hidden="1" x14ac:dyDescent="0.25">
      <c r="A828" s="516">
        <v>803</v>
      </c>
      <c r="B828" t="s">
        <v>441</v>
      </c>
      <c r="C828" t="s">
        <v>432</v>
      </c>
      <c r="D828" t="s">
        <v>2280</v>
      </c>
      <c r="E828">
        <v>4</v>
      </c>
      <c r="F828">
        <v>9.8529553737890757E-6</v>
      </c>
      <c r="G828">
        <v>1.4266166101174699E-12</v>
      </c>
      <c r="H828">
        <v>2.0371767410342151E-7</v>
      </c>
      <c r="I828" t="s">
        <v>2231</v>
      </c>
      <c r="L828" t="s">
        <v>2295</v>
      </c>
    </row>
    <row r="829" spans="1:12" hidden="1" x14ac:dyDescent="0.25">
      <c r="A829" s="516">
        <v>804</v>
      </c>
      <c r="B829" t="s">
        <v>441</v>
      </c>
      <c r="C829" t="s">
        <v>432</v>
      </c>
      <c r="D829" t="s">
        <v>2280</v>
      </c>
      <c r="E829">
        <v>4</v>
      </c>
      <c r="F829">
        <v>6.1991086358595772E-6</v>
      </c>
      <c r="G829">
        <v>8.9757347032811648E-13</v>
      </c>
      <c r="H829">
        <v>1.044214083571819E-7</v>
      </c>
      <c r="I829" t="s">
        <v>2231</v>
      </c>
      <c r="L829" t="s">
        <v>2295</v>
      </c>
    </row>
    <row r="830" spans="1:12" hidden="1" x14ac:dyDescent="0.25">
      <c r="A830" s="516">
        <v>805</v>
      </c>
      <c r="B830" t="s">
        <v>441</v>
      </c>
      <c r="C830" t="s">
        <v>432</v>
      </c>
      <c r="D830" t="s">
        <v>2280</v>
      </c>
      <c r="E830">
        <v>4</v>
      </c>
      <c r="F830">
        <v>1.2806612083144041E-5</v>
      </c>
      <c r="G830">
        <v>1.8542787238990991E-12</v>
      </c>
      <c r="H830">
        <v>3.1728043308528322E-7</v>
      </c>
      <c r="I830" t="s">
        <v>2231</v>
      </c>
      <c r="L830" t="s">
        <v>2295</v>
      </c>
    </row>
    <row r="831" spans="1:12" hidden="1" x14ac:dyDescent="0.25">
      <c r="A831" s="516">
        <v>806</v>
      </c>
      <c r="B831" t="s">
        <v>441</v>
      </c>
      <c r="C831" t="s">
        <v>432</v>
      </c>
      <c r="D831" t="s">
        <v>2280</v>
      </c>
      <c r="E831">
        <v>4</v>
      </c>
      <c r="F831">
        <v>5.0529992133245976E-6</v>
      </c>
      <c r="G831">
        <v>7.3162744934540269E-13</v>
      </c>
      <c r="H831">
        <v>1.7671315260446161E-7</v>
      </c>
      <c r="I831" t="s">
        <v>2231</v>
      </c>
      <c r="L831" t="s">
        <v>2295</v>
      </c>
    </row>
    <row r="832" spans="1:12" hidden="1" x14ac:dyDescent="0.25">
      <c r="A832" s="516">
        <v>807</v>
      </c>
      <c r="B832" t="s">
        <v>441</v>
      </c>
      <c r="C832" t="s">
        <v>432</v>
      </c>
      <c r="D832" t="s">
        <v>2280</v>
      </c>
      <c r="E832">
        <v>4</v>
      </c>
      <c r="F832">
        <v>2.667457216243135E-6</v>
      </c>
      <c r="G832">
        <v>3.8622307999013472E-13</v>
      </c>
      <c r="H832">
        <v>6.8275536233541985E-8</v>
      </c>
      <c r="I832" t="s">
        <v>2231</v>
      </c>
      <c r="L832" t="s">
        <v>2295</v>
      </c>
    </row>
    <row r="833" spans="1:12" hidden="1" x14ac:dyDescent="0.25">
      <c r="A833" s="516">
        <v>808</v>
      </c>
      <c r="B833" t="s">
        <v>441</v>
      </c>
      <c r="C833" t="s">
        <v>432</v>
      </c>
      <c r="D833" t="s">
        <v>2280</v>
      </c>
      <c r="E833">
        <v>4</v>
      </c>
      <c r="F833">
        <v>3.142709745149789E-5</v>
      </c>
      <c r="G833">
        <v>4.5503524101363783E-12</v>
      </c>
      <c r="H833">
        <v>8.1067158757296726E-7</v>
      </c>
      <c r="I833" t="s">
        <v>2231</v>
      </c>
      <c r="L833" t="s">
        <v>2295</v>
      </c>
    </row>
    <row r="834" spans="1:12" hidden="1" x14ac:dyDescent="0.25">
      <c r="A834" s="516">
        <v>809</v>
      </c>
      <c r="B834" t="s">
        <v>441</v>
      </c>
      <c r="C834" t="s">
        <v>432</v>
      </c>
      <c r="D834" t="s">
        <v>2280</v>
      </c>
      <c r="E834">
        <v>4</v>
      </c>
      <c r="F834">
        <v>4.6747873246512691E-6</v>
      </c>
      <c r="G834">
        <v>6.7686587354849802E-13</v>
      </c>
      <c r="H834">
        <v>1.124538243846574E-7</v>
      </c>
      <c r="I834" t="s">
        <v>2231</v>
      </c>
      <c r="L834" t="s">
        <v>2295</v>
      </c>
    </row>
    <row r="835" spans="1:12" hidden="1" x14ac:dyDescent="0.25">
      <c r="A835" s="516">
        <v>810</v>
      </c>
      <c r="B835" t="s">
        <v>441</v>
      </c>
      <c r="C835" t="s">
        <v>432</v>
      </c>
      <c r="D835" t="s">
        <v>2280</v>
      </c>
      <c r="E835">
        <v>4</v>
      </c>
      <c r="F835">
        <v>8.2402322082448428E-6</v>
      </c>
      <c r="G835">
        <v>1.1931092442354451E-12</v>
      </c>
      <c r="H835">
        <v>2.0884281671436361E-7</v>
      </c>
      <c r="I835" t="s">
        <v>2231</v>
      </c>
      <c r="L835" t="s">
        <v>2295</v>
      </c>
    </row>
    <row r="836" spans="1:12" hidden="1" x14ac:dyDescent="0.25">
      <c r="A836" s="516">
        <v>811</v>
      </c>
      <c r="B836" t="s">
        <v>441</v>
      </c>
      <c r="C836" t="s">
        <v>432</v>
      </c>
      <c r="D836" t="s">
        <v>2280</v>
      </c>
      <c r="E836">
        <v>4</v>
      </c>
      <c r="F836">
        <v>4.1717875622263264E-6</v>
      </c>
      <c r="G836">
        <v>6.0403617030336818E-13</v>
      </c>
      <c r="H836">
        <v>1.044214083571819E-7</v>
      </c>
      <c r="I836" t="s">
        <v>2231</v>
      </c>
      <c r="L836" t="s">
        <v>2295</v>
      </c>
    </row>
    <row r="837" spans="1:12" hidden="1" x14ac:dyDescent="0.25">
      <c r="A837" s="516">
        <v>812</v>
      </c>
      <c r="B837" t="s">
        <v>441</v>
      </c>
      <c r="C837" t="s">
        <v>432</v>
      </c>
      <c r="D837" t="s">
        <v>2280</v>
      </c>
      <c r="E837">
        <v>4</v>
      </c>
      <c r="F837">
        <v>6.2640574114528006E-6</v>
      </c>
      <c r="G837">
        <v>9.0697745101746091E-13</v>
      </c>
      <c r="H837">
        <v>1.044214083571819E-7</v>
      </c>
      <c r="I837" t="s">
        <v>2231</v>
      </c>
      <c r="L837" t="s">
        <v>2295</v>
      </c>
    </row>
    <row r="838" spans="1:12" hidden="1" x14ac:dyDescent="0.25">
      <c r="A838" s="516">
        <v>813</v>
      </c>
      <c r="B838" t="s">
        <v>441</v>
      </c>
      <c r="C838" t="s">
        <v>432</v>
      </c>
      <c r="D838" t="s">
        <v>2280</v>
      </c>
      <c r="E838">
        <v>4</v>
      </c>
      <c r="F838">
        <v>2.478632799415217E-4</v>
      </c>
      <c r="G838">
        <v>3.5888305466544272E-11</v>
      </c>
      <c r="H838">
        <v>5.798008747587617E-5</v>
      </c>
      <c r="I838" t="s">
        <v>2258</v>
      </c>
      <c r="J838" t="s">
        <v>432</v>
      </c>
      <c r="K838" t="s">
        <v>433</v>
      </c>
      <c r="L838" t="s">
        <v>2295</v>
      </c>
    </row>
    <row r="839" spans="1:12" hidden="1" x14ac:dyDescent="0.25">
      <c r="A839" s="516">
        <v>814</v>
      </c>
      <c r="B839" t="s">
        <v>441</v>
      </c>
      <c r="C839" t="s">
        <v>432</v>
      </c>
      <c r="D839" t="s">
        <v>2280</v>
      </c>
      <c r="E839">
        <v>4</v>
      </c>
      <c r="F839">
        <v>4.8364024735688263E-5</v>
      </c>
      <c r="G839">
        <v>7.0026624908513564E-12</v>
      </c>
      <c r="H839">
        <v>1.6724524654590221E-6</v>
      </c>
      <c r="I839" t="s">
        <v>2231</v>
      </c>
      <c r="L839" t="s">
        <v>2295</v>
      </c>
    </row>
    <row r="840" spans="1:12" hidden="1" x14ac:dyDescent="0.25">
      <c r="A840" s="516">
        <v>815</v>
      </c>
      <c r="B840" t="s">
        <v>441</v>
      </c>
      <c r="C840" t="s">
        <v>432</v>
      </c>
      <c r="D840" t="s">
        <v>2280</v>
      </c>
      <c r="E840">
        <v>4</v>
      </c>
      <c r="F840">
        <v>7.3023620352993594E-7</v>
      </c>
      <c r="G840">
        <v>1.0573143364033159E-13</v>
      </c>
      <c r="H840">
        <v>2.409724808242658E-8</v>
      </c>
      <c r="I840" t="s">
        <v>2231</v>
      </c>
      <c r="L840" t="s">
        <v>2295</v>
      </c>
    </row>
    <row r="841" spans="1:12" hidden="1" x14ac:dyDescent="0.25">
      <c r="A841" s="516">
        <v>816</v>
      </c>
      <c r="B841" t="s">
        <v>441</v>
      </c>
      <c r="C841" t="s">
        <v>432</v>
      </c>
      <c r="D841" t="s">
        <v>2280</v>
      </c>
      <c r="E841">
        <v>4</v>
      </c>
      <c r="F841">
        <v>4.0221423991978476E-6</v>
      </c>
      <c r="G841">
        <v>5.8236893777249913E-13</v>
      </c>
      <c r="H841">
        <v>6.927958823697639E-8</v>
      </c>
      <c r="I841" t="s">
        <v>2231</v>
      </c>
      <c r="L841" t="s">
        <v>2295</v>
      </c>
    </row>
    <row r="842" spans="1:12" hidden="1" x14ac:dyDescent="0.25">
      <c r="A842" s="516">
        <v>817</v>
      </c>
      <c r="B842" t="s">
        <v>441</v>
      </c>
      <c r="C842" t="s">
        <v>432</v>
      </c>
      <c r="D842" t="s">
        <v>2280</v>
      </c>
      <c r="E842">
        <v>4</v>
      </c>
      <c r="F842">
        <v>4.7462111393418848E-6</v>
      </c>
      <c r="G842">
        <v>6.872073798813741E-13</v>
      </c>
      <c r="H842">
        <v>1.9277798465941261E-7</v>
      </c>
      <c r="I842" t="s">
        <v>2231</v>
      </c>
      <c r="L842" t="s">
        <v>2295</v>
      </c>
    </row>
    <row r="843" spans="1:12" hidden="1" x14ac:dyDescent="0.25">
      <c r="A843" s="516">
        <v>818</v>
      </c>
      <c r="B843" t="s">
        <v>441</v>
      </c>
      <c r="C843" t="s">
        <v>432</v>
      </c>
      <c r="D843" t="s">
        <v>2280</v>
      </c>
      <c r="E843">
        <v>4</v>
      </c>
      <c r="F843">
        <v>1.8335143804110611E-5</v>
      </c>
      <c r="G843">
        <v>2.6547588725937288E-12</v>
      </c>
      <c r="H843">
        <v>4.137798711353674E-7</v>
      </c>
      <c r="I843" t="s">
        <v>2231</v>
      </c>
      <c r="L843" t="s">
        <v>2295</v>
      </c>
    </row>
    <row r="844" spans="1:12" hidden="1" x14ac:dyDescent="0.25">
      <c r="A844" s="516">
        <v>819</v>
      </c>
      <c r="B844" t="s">
        <v>441</v>
      </c>
      <c r="C844" t="s">
        <v>432</v>
      </c>
      <c r="D844" t="s">
        <v>2280</v>
      </c>
      <c r="E844">
        <v>4</v>
      </c>
      <c r="F844">
        <v>3.3043974536521479E-7</v>
      </c>
      <c r="G844">
        <v>4.7844612250559279E-14</v>
      </c>
      <c r="H844">
        <v>8.032416027475526E-9</v>
      </c>
      <c r="I844" t="s">
        <v>2231</v>
      </c>
      <c r="L844" t="s">
        <v>2295</v>
      </c>
    </row>
    <row r="845" spans="1:12" hidden="1" x14ac:dyDescent="0.25">
      <c r="A845" s="516">
        <v>820</v>
      </c>
      <c r="B845" t="s">
        <v>441</v>
      </c>
      <c r="C845" t="s">
        <v>432</v>
      </c>
      <c r="D845" t="s">
        <v>2280</v>
      </c>
      <c r="E845">
        <v>4</v>
      </c>
      <c r="F845">
        <v>4.0626579462210644E-6</v>
      </c>
      <c r="G845">
        <v>5.8823521343889219E-13</v>
      </c>
      <c r="H845">
        <v>6.927958823697639E-8</v>
      </c>
      <c r="I845" t="s">
        <v>2231</v>
      </c>
      <c r="L845" t="s">
        <v>2295</v>
      </c>
    </row>
    <row r="846" spans="1:12" hidden="1" x14ac:dyDescent="0.25">
      <c r="A846" s="516">
        <v>821</v>
      </c>
      <c r="B846" t="s">
        <v>441</v>
      </c>
      <c r="C846" t="s">
        <v>432</v>
      </c>
      <c r="D846" t="s">
        <v>2280</v>
      </c>
      <c r="E846">
        <v>4</v>
      </c>
      <c r="F846">
        <v>3.3053079114841329E-7</v>
      </c>
      <c r="G846">
        <v>4.7857794836054159E-14</v>
      </c>
      <c r="H846">
        <v>1.204862404121329E-8</v>
      </c>
      <c r="I846" t="s">
        <v>2231</v>
      </c>
      <c r="L846" t="s">
        <v>2295</v>
      </c>
    </row>
    <row r="847" spans="1:12" hidden="1" x14ac:dyDescent="0.25">
      <c r="A847" s="516">
        <v>822</v>
      </c>
      <c r="B847" t="s">
        <v>441</v>
      </c>
      <c r="C847" t="s">
        <v>432</v>
      </c>
      <c r="D847" t="s">
        <v>2280</v>
      </c>
      <c r="E847">
        <v>4</v>
      </c>
      <c r="F847">
        <v>6.8166956560173932E-11</v>
      </c>
      <c r="G847">
        <v>9.8699434637246516E-18</v>
      </c>
      <c r="H847">
        <v>1.8233200011773819E-13</v>
      </c>
      <c r="I847" t="s">
        <v>2231</v>
      </c>
      <c r="L847" t="s">
        <v>2295</v>
      </c>
    </row>
    <row r="848" spans="1:12" x14ac:dyDescent="0.25">
      <c r="A848" s="568">
        <v>823</v>
      </c>
      <c r="B848" s="417" t="s">
        <v>441</v>
      </c>
      <c r="C848" s="417" t="s">
        <v>432</v>
      </c>
      <c r="D848" s="417" t="s">
        <v>2280</v>
      </c>
      <c r="E848" s="417">
        <v>2</v>
      </c>
      <c r="F848" s="417">
        <v>0.87568384554399226</v>
      </c>
      <c r="G848" s="417">
        <v>1.2679090403554519E-7</v>
      </c>
      <c r="H848" s="417">
        <v>1.345215447737791E-5</v>
      </c>
      <c r="I848" s="417" t="s">
        <v>2090</v>
      </c>
      <c r="J848" s="417" t="s">
        <v>432</v>
      </c>
      <c r="K848" s="417" t="s">
        <v>1047</v>
      </c>
    </row>
    <row r="849" spans="1:12" x14ac:dyDescent="0.25">
      <c r="A849" s="516">
        <v>824</v>
      </c>
      <c r="B849" t="s">
        <v>441</v>
      </c>
      <c r="C849" t="s">
        <v>432</v>
      </c>
      <c r="D849" t="s">
        <v>2280</v>
      </c>
      <c r="E849">
        <v>3</v>
      </c>
      <c r="F849">
        <v>7.3933636790597702E-3</v>
      </c>
      <c r="G849">
        <v>1.070490530916685E-9</v>
      </c>
      <c r="H849">
        <v>1.775618624925329E-3</v>
      </c>
      <c r="I849" t="s">
        <v>1034</v>
      </c>
      <c r="J849" t="s">
        <v>432</v>
      </c>
      <c r="K849" t="s">
        <v>433</v>
      </c>
      <c r="L849" t="str">
        <f>O9</f>
        <v>Energy use, vertical</v>
      </c>
    </row>
    <row r="850" spans="1:12" hidden="1" x14ac:dyDescent="0.25">
      <c r="A850" s="516">
        <v>825</v>
      </c>
      <c r="B850" t="s">
        <v>441</v>
      </c>
      <c r="C850" t="s">
        <v>432</v>
      </c>
      <c r="D850" t="s">
        <v>2280</v>
      </c>
      <c r="E850">
        <v>4</v>
      </c>
      <c r="F850">
        <v>2.7802454881776309E-5</v>
      </c>
      <c r="G850">
        <v>4.0255377632072388E-12</v>
      </c>
      <c r="H850">
        <v>6.6771443756444723E-6</v>
      </c>
      <c r="I850" t="s">
        <v>2231</v>
      </c>
      <c r="L850" t="s">
        <v>2295</v>
      </c>
    </row>
    <row r="851" spans="1:12" hidden="1" x14ac:dyDescent="0.25">
      <c r="A851" s="516">
        <v>826</v>
      </c>
      <c r="B851" t="s">
        <v>441</v>
      </c>
      <c r="C851" t="s">
        <v>432</v>
      </c>
      <c r="D851" t="s">
        <v>2280</v>
      </c>
      <c r="E851">
        <v>4</v>
      </c>
      <c r="F851">
        <v>1.0562797298960179E-6</v>
      </c>
      <c r="G851">
        <v>1.5293951412880039E-13</v>
      </c>
      <c r="H851">
        <v>1.2685391188773391E-5</v>
      </c>
      <c r="I851" t="s">
        <v>2231</v>
      </c>
      <c r="L851" t="s">
        <v>2295</v>
      </c>
    </row>
    <row r="852" spans="1:12" hidden="1" x14ac:dyDescent="0.25">
      <c r="A852" s="516">
        <v>827</v>
      </c>
      <c r="B852" t="s">
        <v>441</v>
      </c>
      <c r="C852" t="s">
        <v>432</v>
      </c>
      <c r="D852" t="s">
        <v>2280</v>
      </c>
      <c r="E852">
        <v>4</v>
      </c>
      <c r="F852">
        <v>2.4281375557096839E-3</v>
      </c>
      <c r="G852">
        <v>3.5157181142223491E-10</v>
      </c>
      <c r="H852">
        <v>1.762933233736555E-3</v>
      </c>
      <c r="I852" t="s">
        <v>2259</v>
      </c>
      <c r="J852" t="s">
        <v>432</v>
      </c>
      <c r="K852" t="s">
        <v>433</v>
      </c>
      <c r="L852" t="s">
        <v>2295</v>
      </c>
    </row>
    <row r="853" spans="1:12" hidden="1" x14ac:dyDescent="0.25">
      <c r="A853" s="516">
        <v>828</v>
      </c>
      <c r="B853" t="s">
        <v>441</v>
      </c>
      <c r="C853" t="s">
        <v>432</v>
      </c>
      <c r="D853" t="s">
        <v>2280</v>
      </c>
      <c r="E853">
        <v>4</v>
      </c>
      <c r="F853">
        <v>3.5847135720040113E-8</v>
      </c>
      <c r="G853">
        <v>5.1903329816542069E-15</v>
      </c>
      <c r="H853">
        <v>9.5883405745967752E-11</v>
      </c>
      <c r="I853" t="s">
        <v>2231</v>
      </c>
      <c r="L853" t="s">
        <v>2295</v>
      </c>
    </row>
    <row r="854" spans="1:12" hidden="1" x14ac:dyDescent="0.25">
      <c r="A854" s="516">
        <v>829</v>
      </c>
      <c r="B854" t="s">
        <v>441</v>
      </c>
      <c r="C854" t="s">
        <v>432</v>
      </c>
      <c r="D854" t="s">
        <v>2280</v>
      </c>
      <c r="E854">
        <v>4</v>
      </c>
      <c r="F854">
        <v>4.9363315284259536E-3</v>
      </c>
      <c r="G854">
        <v>7.1473504997626315E-10</v>
      </c>
      <c r="H854">
        <v>3.3075811248947343E-11</v>
      </c>
      <c r="I854" t="s">
        <v>2260</v>
      </c>
      <c r="J854" t="s">
        <v>462</v>
      </c>
      <c r="K854" t="s">
        <v>1995</v>
      </c>
      <c r="L854" t="s">
        <v>2295</v>
      </c>
    </row>
    <row r="855" spans="1:12" x14ac:dyDescent="0.25">
      <c r="A855" s="516">
        <v>830</v>
      </c>
      <c r="B855" t="s">
        <v>441</v>
      </c>
      <c r="C855" t="s">
        <v>432</v>
      </c>
      <c r="D855" t="s">
        <v>2280</v>
      </c>
      <c r="E855">
        <v>3</v>
      </c>
      <c r="F855">
        <v>0.78329273093323348</v>
      </c>
      <c r="G855">
        <v>1.134135270221865E-7</v>
      </c>
      <c r="H855">
        <v>8.9945686730693111E-4</v>
      </c>
      <c r="I855" t="s">
        <v>460</v>
      </c>
      <c r="J855" t="s">
        <v>462</v>
      </c>
      <c r="K855" t="s">
        <v>417</v>
      </c>
      <c r="L855" t="str">
        <f>O12</f>
        <v>Casing, steel</v>
      </c>
    </row>
    <row r="856" spans="1:12" hidden="1" x14ac:dyDescent="0.25">
      <c r="A856" s="516">
        <v>831</v>
      </c>
      <c r="B856" t="s">
        <v>441</v>
      </c>
      <c r="C856" t="s">
        <v>432</v>
      </c>
      <c r="D856" t="s">
        <v>2280</v>
      </c>
      <c r="E856">
        <v>4</v>
      </c>
      <c r="F856">
        <v>0.101952723840305</v>
      </c>
      <c r="G856">
        <v>1.476180940230575E-8</v>
      </c>
      <c r="H856">
        <v>1.172163618297076E-4</v>
      </c>
      <c r="I856" t="s">
        <v>580</v>
      </c>
      <c r="J856" t="s">
        <v>419</v>
      </c>
      <c r="K856" t="s">
        <v>417</v>
      </c>
      <c r="L856" t="s">
        <v>2295</v>
      </c>
    </row>
    <row r="857" spans="1:12" hidden="1" x14ac:dyDescent="0.25">
      <c r="A857" s="516">
        <v>832</v>
      </c>
      <c r="B857" t="s">
        <v>441</v>
      </c>
      <c r="C857" t="s">
        <v>432</v>
      </c>
      <c r="D857" t="s">
        <v>2280</v>
      </c>
      <c r="E857">
        <v>4</v>
      </c>
      <c r="F857">
        <v>0.680526502360707</v>
      </c>
      <c r="G857">
        <v>9.8533929675110043E-8</v>
      </c>
      <c r="H857">
        <v>7.8224050547722357E-4</v>
      </c>
      <c r="I857" t="s">
        <v>580</v>
      </c>
      <c r="J857" t="s">
        <v>1992</v>
      </c>
      <c r="K857" t="s">
        <v>417</v>
      </c>
      <c r="L857" t="s">
        <v>2295</v>
      </c>
    </row>
    <row r="858" spans="1:12" hidden="1" x14ac:dyDescent="0.25">
      <c r="A858" s="516">
        <v>833</v>
      </c>
      <c r="B858" t="s">
        <v>441</v>
      </c>
      <c r="C858" t="s">
        <v>432</v>
      </c>
      <c r="D858" t="s">
        <v>2280</v>
      </c>
      <c r="E858">
        <v>4</v>
      </c>
      <c r="F858">
        <v>1.5425938644379831E-4</v>
      </c>
      <c r="G858">
        <v>2.23353293117192E-11</v>
      </c>
      <c r="H858">
        <v>1.7116664184850899E-4</v>
      </c>
      <c r="I858" t="s">
        <v>2254</v>
      </c>
      <c r="J858" t="s">
        <v>462</v>
      </c>
      <c r="K858" t="s">
        <v>925</v>
      </c>
      <c r="L858" t="s">
        <v>2295</v>
      </c>
    </row>
    <row r="859" spans="1:12" hidden="1" x14ac:dyDescent="0.25">
      <c r="A859" s="516">
        <v>834</v>
      </c>
      <c r="B859" t="s">
        <v>441</v>
      </c>
      <c r="C859" t="s">
        <v>432</v>
      </c>
      <c r="D859" t="s">
        <v>2280</v>
      </c>
      <c r="E859">
        <v>4</v>
      </c>
      <c r="F859">
        <v>8.4419201735011003E-6</v>
      </c>
      <c r="G859">
        <v>1.2223117921390719E-12</v>
      </c>
      <c r="H859">
        <v>1.8079083032869311E-5</v>
      </c>
      <c r="I859" t="s">
        <v>2231</v>
      </c>
      <c r="L859" t="s">
        <v>2295</v>
      </c>
    </row>
    <row r="860" spans="1:12" hidden="1" x14ac:dyDescent="0.25">
      <c r="A860" s="516">
        <v>835</v>
      </c>
      <c r="B860" t="s">
        <v>441</v>
      </c>
      <c r="C860" t="s">
        <v>432</v>
      </c>
      <c r="D860" t="s">
        <v>2280</v>
      </c>
      <c r="E860">
        <v>4</v>
      </c>
      <c r="F860">
        <v>6.2756500822961671E-4</v>
      </c>
      <c r="G860">
        <v>9.0865596230198028E-11</v>
      </c>
      <c r="H860">
        <v>1.8573784309888129E-4</v>
      </c>
      <c r="I860" t="s">
        <v>2255</v>
      </c>
      <c r="J860" t="s">
        <v>462</v>
      </c>
      <c r="K860" t="s">
        <v>925</v>
      </c>
      <c r="L860" t="s">
        <v>2295</v>
      </c>
    </row>
    <row r="861" spans="1:12" hidden="1" x14ac:dyDescent="0.25">
      <c r="A861" s="516">
        <v>836</v>
      </c>
      <c r="B861" t="s">
        <v>441</v>
      </c>
      <c r="C861" t="s">
        <v>432</v>
      </c>
      <c r="D861" t="s">
        <v>2280</v>
      </c>
      <c r="E861">
        <v>4</v>
      </c>
      <c r="F861">
        <v>2.3250094070739441E-5</v>
      </c>
      <c r="G861">
        <v>3.3663981140467768E-12</v>
      </c>
      <c r="H861">
        <v>3.9657053279562588E-4</v>
      </c>
      <c r="I861" t="s">
        <v>2231</v>
      </c>
      <c r="L861" t="s">
        <v>2295</v>
      </c>
    </row>
    <row r="862" spans="1:12" x14ac:dyDescent="0.25">
      <c r="A862" s="516">
        <v>837</v>
      </c>
      <c r="B862" t="s">
        <v>441</v>
      </c>
      <c r="C862" t="s">
        <v>432</v>
      </c>
      <c r="D862" t="s">
        <v>2280</v>
      </c>
      <c r="E862">
        <v>3</v>
      </c>
      <c r="F862">
        <v>1.6906955877784648E-2</v>
      </c>
      <c r="G862">
        <v>2.4479704988753271E-9</v>
      </c>
      <c r="H862">
        <v>9.4973176160183628E-4</v>
      </c>
      <c r="I862" t="s">
        <v>1060</v>
      </c>
      <c r="J862" t="s">
        <v>459</v>
      </c>
      <c r="K862" t="s">
        <v>417</v>
      </c>
      <c r="L862" t="str">
        <f>O11</f>
        <v>Casing, cement</v>
      </c>
    </row>
    <row r="863" spans="1:12" hidden="1" x14ac:dyDescent="0.25">
      <c r="A863" s="516">
        <v>838</v>
      </c>
      <c r="B863" t="s">
        <v>441</v>
      </c>
      <c r="C863" t="s">
        <v>432</v>
      </c>
      <c r="D863" t="s">
        <v>2280</v>
      </c>
      <c r="E863">
        <v>4</v>
      </c>
      <c r="F863">
        <v>1.617817806918918E-2</v>
      </c>
      <c r="G863">
        <v>2.3424502273034999E-9</v>
      </c>
      <c r="H863">
        <v>9.4973176160183628E-4</v>
      </c>
      <c r="I863" t="s">
        <v>2263</v>
      </c>
      <c r="J863" t="s">
        <v>459</v>
      </c>
      <c r="K863" t="s">
        <v>417</v>
      </c>
      <c r="L863" t="s">
        <v>2295</v>
      </c>
    </row>
    <row r="864" spans="1:12" hidden="1" x14ac:dyDescent="0.25">
      <c r="A864" s="516">
        <v>839</v>
      </c>
      <c r="B864" t="s">
        <v>441</v>
      </c>
      <c r="C864" t="s">
        <v>432</v>
      </c>
      <c r="D864" t="s">
        <v>2280</v>
      </c>
      <c r="E864">
        <v>4</v>
      </c>
      <c r="F864">
        <v>2.2839494980858201E-5</v>
      </c>
      <c r="G864">
        <v>3.306947171715102E-12</v>
      </c>
      <c r="H864">
        <v>2.3743294040045909E-5</v>
      </c>
      <c r="I864" t="s">
        <v>2231</v>
      </c>
      <c r="L864" t="s">
        <v>2295</v>
      </c>
    </row>
    <row r="865" spans="1:12" hidden="1" x14ac:dyDescent="0.25">
      <c r="A865" s="516">
        <v>840</v>
      </c>
      <c r="B865" t="s">
        <v>441</v>
      </c>
      <c r="C865" t="s">
        <v>432</v>
      </c>
      <c r="D865" t="s">
        <v>2280</v>
      </c>
      <c r="E865">
        <v>4</v>
      </c>
      <c r="F865">
        <v>3.6435664120798897E-4</v>
      </c>
      <c r="G865">
        <v>5.2755464389567617E-11</v>
      </c>
      <c r="H865">
        <v>3.13411481328606E-6</v>
      </c>
      <c r="I865" t="s">
        <v>2265</v>
      </c>
      <c r="J865" t="s">
        <v>459</v>
      </c>
      <c r="K865" t="s">
        <v>925</v>
      </c>
      <c r="L865" t="s">
        <v>2295</v>
      </c>
    </row>
    <row r="866" spans="1:12" hidden="1" x14ac:dyDescent="0.25">
      <c r="A866" s="516">
        <v>841</v>
      </c>
      <c r="B866" t="s">
        <v>441</v>
      </c>
      <c r="C866" t="s">
        <v>432</v>
      </c>
      <c r="D866" t="s">
        <v>2280</v>
      </c>
      <c r="E866">
        <v>4</v>
      </c>
      <c r="F866">
        <v>3.4158167697370911E-4</v>
      </c>
      <c r="G866">
        <v>4.9457860671815248E-11</v>
      </c>
      <c r="H866">
        <v>1.015263253152363E-4</v>
      </c>
      <c r="I866" t="s">
        <v>2266</v>
      </c>
      <c r="J866" t="s">
        <v>419</v>
      </c>
      <c r="K866" t="s">
        <v>925</v>
      </c>
      <c r="L866" t="s">
        <v>2295</v>
      </c>
    </row>
    <row r="867" spans="1:12" x14ac:dyDescent="0.25">
      <c r="A867" s="516">
        <v>842</v>
      </c>
      <c r="B867" t="s">
        <v>441</v>
      </c>
      <c r="C867" t="s">
        <v>432</v>
      </c>
      <c r="D867" t="s">
        <v>2280</v>
      </c>
      <c r="E867">
        <v>3</v>
      </c>
      <c r="F867">
        <v>2.6611234104620432E-6</v>
      </c>
      <c r="G867">
        <v>3.8530600362169789E-13</v>
      </c>
      <c r="H867">
        <v>3.7989270464073449E-4</v>
      </c>
      <c r="I867" t="s">
        <v>2231</v>
      </c>
    </row>
    <row r="868" spans="1:12" x14ac:dyDescent="0.25">
      <c r="A868" s="516">
        <v>843</v>
      </c>
      <c r="B868" t="s">
        <v>441</v>
      </c>
      <c r="C868" t="s">
        <v>432</v>
      </c>
      <c r="D868" t="s">
        <v>2280</v>
      </c>
      <c r="E868">
        <v>3</v>
      </c>
      <c r="F868">
        <v>0</v>
      </c>
      <c r="G868">
        <v>0</v>
      </c>
      <c r="H868">
        <v>0</v>
      </c>
      <c r="I868" t="s">
        <v>2231</v>
      </c>
    </row>
    <row r="869" spans="1:12" x14ac:dyDescent="0.25">
      <c r="A869" s="516">
        <v>844</v>
      </c>
      <c r="B869" t="s">
        <v>441</v>
      </c>
      <c r="C869" t="s">
        <v>432</v>
      </c>
      <c r="D869" t="s">
        <v>2280</v>
      </c>
      <c r="E869">
        <v>3</v>
      </c>
      <c r="F869">
        <v>0</v>
      </c>
      <c r="G869">
        <v>0</v>
      </c>
      <c r="H869">
        <v>0</v>
      </c>
      <c r="I869" t="s">
        <v>2231</v>
      </c>
    </row>
    <row r="870" spans="1:12" x14ac:dyDescent="0.25">
      <c r="A870" s="516">
        <v>845</v>
      </c>
      <c r="B870" t="s">
        <v>441</v>
      </c>
      <c r="C870" t="s">
        <v>432</v>
      </c>
      <c r="D870" t="s">
        <v>2280</v>
      </c>
      <c r="E870">
        <v>3</v>
      </c>
      <c r="F870">
        <v>0</v>
      </c>
      <c r="G870">
        <v>0</v>
      </c>
      <c r="H870">
        <v>0</v>
      </c>
      <c r="I870" t="s">
        <v>2231</v>
      </c>
    </row>
    <row r="871" spans="1:12" x14ac:dyDescent="0.25">
      <c r="A871" s="516">
        <v>846</v>
      </c>
      <c r="B871" t="s">
        <v>441</v>
      </c>
      <c r="C871" t="s">
        <v>432</v>
      </c>
      <c r="D871" t="s">
        <v>2280</v>
      </c>
      <c r="E871">
        <v>3</v>
      </c>
      <c r="F871">
        <v>9.3525135761766422E-5</v>
      </c>
      <c r="G871">
        <v>1.354157276467166E-11</v>
      </c>
      <c r="H871">
        <v>3.2613403314955022E-4</v>
      </c>
      <c r="I871" t="s">
        <v>2231</v>
      </c>
    </row>
    <row r="872" spans="1:12" x14ac:dyDescent="0.25">
      <c r="A872" s="516">
        <v>847</v>
      </c>
      <c r="B872" t="s">
        <v>441</v>
      </c>
      <c r="C872" t="s">
        <v>432</v>
      </c>
      <c r="D872" t="s">
        <v>2280</v>
      </c>
      <c r="E872">
        <v>3</v>
      </c>
      <c r="F872">
        <v>6.3412064306231049E-4</v>
      </c>
      <c r="G872">
        <v>9.1814791389151537E-11</v>
      </c>
      <c r="H872">
        <v>-3.4494136018575578E-3</v>
      </c>
      <c r="I872" t="s">
        <v>1073</v>
      </c>
      <c r="J872" t="s">
        <v>432</v>
      </c>
      <c r="K872" t="s">
        <v>417</v>
      </c>
      <c r="L872" t="str">
        <f>O17</f>
        <v>Drilling waste</v>
      </c>
    </row>
    <row r="873" spans="1:12" hidden="1" x14ac:dyDescent="0.25">
      <c r="A873" s="516">
        <v>848</v>
      </c>
      <c r="B873" t="s">
        <v>441</v>
      </c>
      <c r="C873" t="s">
        <v>432</v>
      </c>
      <c r="D873" t="s">
        <v>2280</v>
      </c>
      <c r="E873">
        <v>4</v>
      </c>
      <c r="F873">
        <v>-1.933340909721705E-4</v>
      </c>
      <c r="G873">
        <v>-2.7992984340168891E-11</v>
      </c>
      <c r="H873">
        <v>2.0696481611145348E-3</v>
      </c>
      <c r="I873" t="s">
        <v>2268</v>
      </c>
      <c r="J873" t="s">
        <v>432</v>
      </c>
      <c r="K873" t="s">
        <v>417</v>
      </c>
      <c r="L873" t="s">
        <v>2295</v>
      </c>
    </row>
    <row r="874" spans="1:12" hidden="1" x14ac:dyDescent="0.25">
      <c r="A874" s="516">
        <v>849</v>
      </c>
      <c r="B874" t="s">
        <v>441</v>
      </c>
      <c r="C874" t="s">
        <v>432</v>
      </c>
      <c r="D874" t="s">
        <v>2280</v>
      </c>
      <c r="E874">
        <v>4</v>
      </c>
      <c r="F874">
        <v>-1.3121705062232999E-4</v>
      </c>
      <c r="G874">
        <v>-1.8999012666435351E-11</v>
      </c>
      <c r="H874">
        <v>1.3797654407430231E-3</v>
      </c>
      <c r="I874" t="s">
        <v>2269</v>
      </c>
      <c r="J874" t="s">
        <v>432</v>
      </c>
      <c r="K874" t="s">
        <v>417</v>
      </c>
      <c r="L874" t="s">
        <v>2295</v>
      </c>
    </row>
    <row r="875" spans="1:12" hidden="1" x14ac:dyDescent="0.25">
      <c r="A875" s="516">
        <v>850</v>
      </c>
      <c r="B875" t="s">
        <v>441</v>
      </c>
      <c r="C875" t="s">
        <v>432</v>
      </c>
      <c r="D875" t="s">
        <v>2280</v>
      </c>
      <c r="E875">
        <v>4</v>
      </c>
      <c r="F875">
        <v>-1.049761454326218E-5</v>
      </c>
      <c r="G875">
        <v>-1.5199572824482731E-12</v>
      </c>
      <c r="H875">
        <v>-1.227991242261291E-5</v>
      </c>
      <c r="I875" t="s">
        <v>2231</v>
      </c>
      <c r="L875" t="s">
        <v>2295</v>
      </c>
    </row>
    <row r="876" spans="1:12" hidden="1" x14ac:dyDescent="0.25">
      <c r="A876" s="516">
        <v>851</v>
      </c>
      <c r="B876" t="s">
        <v>441</v>
      </c>
      <c r="C876" t="s">
        <v>432</v>
      </c>
      <c r="D876" t="s">
        <v>2280</v>
      </c>
      <c r="E876">
        <v>4</v>
      </c>
      <c r="F876">
        <v>-2.9907188568935431E-4</v>
      </c>
      <c r="G876">
        <v>-4.3302836921254452E-11</v>
      </c>
      <c r="H876">
        <v>-8.8891388519869285E-5</v>
      </c>
      <c r="I876" t="s">
        <v>2266</v>
      </c>
      <c r="J876" t="s">
        <v>419</v>
      </c>
      <c r="K876" t="s">
        <v>925</v>
      </c>
      <c r="L876" t="s">
        <v>2295</v>
      </c>
    </row>
    <row r="877" spans="1:12" x14ac:dyDescent="0.25">
      <c r="A877" s="516">
        <v>852</v>
      </c>
      <c r="B877" t="s">
        <v>441</v>
      </c>
      <c r="C877" t="s">
        <v>432</v>
      </c>
      <c r="D877" t="s">
        <v>2280</v>
      </c>
      <c r="E877">
        <v>3</v>
      </c>
      <c r="F877">
        <v>6.7360521977239782E-2</v>
      </c>
      <c r="G877">
        <v>9.7531792110368234E-9</v>
      </c>
      <c r="H877">
        <v>2.4911397180329472E-10</v>
      </c>
      <c r="I877" t="s">
        <v>1038</v>
      </c>
      <c r="J877" t="s">
        <v>432</v>
      </c>
      <c r="K877" t="s">
        <v>416</v>
      </c>
      <c r="L877" t="str">
        <f>O22</f>
        <v>Drilling equipment</v>
      </c>
    </row>
    <row r="878" spans="1:12" hidden="1" x14ac:dyDescent="0.25">
      <c r="A878" s="516">
        <v>853</v>
      </c>
      <c r="B878" t="s">
        <v>441</v>
      </c>
      <c r="C878" t="s">
        <v>432</v>
      </c>
      <c r="D878" t="s">
        <v>2280</v>
      </c>
      <c r="E878">
        <v>4</v>
      </c>
      <c r="F878">
        <v>1.5185877084930739E-3</v>
      </c>
      <c r="G878">
        <v>2.1987742425177701E-10</v>
      </c>
      <c r="H878">
        <v>1.743797802623063E-6</v>
      </c>
      <c r="I878" t="s">
        <v>460</v>
      </c>
      <c r="J878" t="s">
        <v>462</v>
      </c>
      <c r="K878" t="s">
        <v>417</v>
      </c>
      <c r="L878" t="s">
        <v>2295</v>
      </c>
    </row>
    <row r="879" spans="1:12" hidden="1" x14ac:dyDescent="0.25">
      <c r="A879" s="516">
        <v>854</v>
      </c>
      <c r="B879" t="s">
        <v>441</v>
      </c>
      <c r="C879" t="s">
        <v>432</v>
      </c>
      <c r="D879" t="s">
        <v>2280</v>
      </c>
      <c r="E879">
        <v>4</v>
      </c>
      <c r="F879">
        <v>5.7400462040179998E-2</v>
      </c>
      <c r="G879">
        <v>8.3110548529204282E-9</v>
      </c>
      <c r="H879">
        <v>7.4734191540988415E-7</v>
      </c>
      <c r="I879" t="s">
        <v>1494</v>
      </c>
      <c r="J879" t="s">
        <v>462</v>
      </c>
      <c r="K879" t="s">
        <v>417</v>
      </c>
      <c r="L879" t="s">
        <v>2295</v>
      </c>
    </row>
    <row r="880" spans="1:12" hidden="1" x14ac:dyDescent="0.25">
      <c r="A880" s="516">
        <v>855</v>
      </c>
      <c r="B880" t="s">
        <v>441</v>
      </c>
      <c r="C880" t="s">
        <v>432</v>
      </c>
      <c r="D880" t="s">
        <v>2280</v>
      </c>
      <c r="E880">
        <v>4</v>
      </c>
      <c r="F880">
        <v>4.434682612608834E-3</v>
      </c>
      <c r="G880">
        <v>6.4210093679881665E-10</v>
      </c>
      <c r="H880">
        <v>2.4911397180329471E-4</v>
      </c>
      <c r="I880" t="s">
        <v>1060</v>
      </c>
      <c r="J880" t="s">
        <v>459</v>
      </c>
      <c r="K880" t="s">
        <v>417</v>
      </c>
      <c r="L880" t="s">
        <v>2295</v>
      </c>
    </row>
    <row r="881" spans="1:12" hidden="1" x14ac:dyDescent="0.25">
      <c r="A881" s="516">
        <v>856</v>
      </c>
      <c r="B881" t="s">
        <v>441</v>
      </c>
      <c r="C881" t="s">
        <v>432</v>
      </c>
      <c r="D881" t="s">
        <v>2280</v>
      </c>
      <c r="E881">
        <v>4</v>
      </c>
      <c r="F881">
        <v>3.5586103511631661E-3</v>
      </c>
      <c r="G881">
        <v>5.1525379374097383E-10</v>
      </c>
      <c r="H881">
        <v>7.4734191540988412E-5</v>
      </c>
      <c r="I881" t="s">
        <v>1105</v>
      </c>
      <c r="J881" t="s">
        <v>462</v>
      </c>
      <c r="K881" t="s">
        <v>417</v>
      </c>
      <c r="L881" t="s">
        <v>2295</v>
      </c>
    </row>
    <row r="882" spans="1:12" hidden="1" x14ac:dyDescent="0.25">
      <c r="A882" s="516">
        <v>857</v>
      </c>
      <c r="B882" t="s">
        <v>441</v>
      </c>
      <c r="C882" t="s">
        <v>432</v>
      </c>
      <c r="D882" t="s">
        <v>2280</v>
      </c>
      <c r="E882">
        <v>4</v>
      </c>
      <c r="F882">
        <v>8.7251349412705456E-7</v>
      </c>
      <c r="G882">
        <v>1.2633186653667011E-13</v>
      </c>
      <c r="H882">
        <v>1.2455698590164741E-4</v>
      </c>
      <c r="I882" t="s">
        <v>2231</v>
      </c>
      <c r="L882" t="s">
        <v>2295</v>
      </c>
    </row>
    <row r="883" spans="1:12" hidden="1" x14ac:dyDescent="0.25">
      <c r="A883" s="516">
        <v>858</v>
      </c>
      <c r="B883" t="s">
        <v>441</v>
      </c>
      <c r="C883" t="s">
        <v>432</v>
      </c>
      <c r="D883" t="s">
        <v>2280</v>
      </c>
      <c r="E883">
        <v>4</v>
      </c>
      <c r="F883">
        <v>2.4269831932549089E-4</v>
      </c>
      <c r="G883">
        <v>3.5140467043868198E-11</v>
      </c>
      <c r="H883">
        <v>1.1210128731148261E-3</v>
      </c>
      <c r="I883" t="s">
        <v>1107</v>
      </c>
      <c r="J883" t="s">
        <v>432</v>
      </c>
      <c r="K883" t="s">
        <v>417</v>
      </c>
      <c r="L883" t="s">
        <v>2295</v>
      </c>
    </row>
    <row r="884" spans="1:12" hidden="1" x14ac:dyDescent="0.25">
      <c r="A884" s="516">
        <v>859</v>
      </c>
      <c r="B884" t="s">
        <v>441</v>
      </c>
      <c r="C884" t="s">
        <v>432</v>
      </c>
      <c r="D884" t="s">
        <v>2280</v>
      </c>
      <c r="E884">
        <v>4</v>
      </c>
      <c r="F884">
        <v>1.2433059598534251E-5</v>
      </c>
      <c r="G884">
        <v>1.8001917866221229E-12</v>
      </c>
      <c r="H884">
        <v>-6.7260772386889571E-5</v>
      </c>
      <c r="I884" t="s">
        <v>2231</v>
      </c>
      <c r="L884" t="s">
        <v>2295</v>
      </c>
    </row>
    <row r="885" spans="1:12" hidden="1" x14ac:dyDescent="0.25">
      <c r="A885" s="516">
        <v>860</v>
      </c>
      <c r="B885" t="s">
        <v>441</v>
      </c>
      <c r="C885" t="s">
        <v>432</v>
      </c>
      <c r="D885" t="s">
        <v>2280</v>
      </c>
      <c r="E885">
        <v>4</v>
      </c>
      <c r="F885">
        <v>1.9087920083055531E-4</v>
      </c>
      <c r="G885">
        <v>2.763753900227987E-11</v>
      </c>
      <c r="H885">
        <v>-1.3452154477377909E-3</v>
      </c>
      <c r="I885" t="s">
        <v>1448</v>
      </c>
      <c r="J885" t="s">
        <v>432</v>
      </c>
      <c r="K885" t="s">
        <v>417</v>
      </c>
      <c r="L885" t="s">
        <v>2295</v>
      </c>
    </row>
    <row r="886" spans="1:12" hidden="1" x14ac:dyDescent="0.25">
      <c r="A886" s="516">
        <v>861</v>
      </c>
      <c r="B886" t="s">
        <v>441</v>
      </c>
      <c r="C886" t="s">
        <v>432</v>
      </c>
      <c r="D886" t="s">
        <v>2280</v>
      </c>
      <c r="E886">
        <v>4</v>
      </c>
      <c r="F886">
        <v>1.2961715459928009E-6</v>
      </c>
      <c r="G886">
        <v>1.8767362551890459E-13</v>
      </c>
      <c r="H886">
        <v>-7.4734191540988415E-7</v>
      </c>
      <c r="I886" t="s">
        <v>2231</v>
      </c>
      <c r="L886" t="s">
        <v>2295</v>
      </c>
    </row>
    <row r="887" spans="1:12" x14ac:dyDescent="0.25">
      <c r="A887" s="568">
        <v>862</v>
      </c>
      <c r="B887" s="417" t="s">
        <v>441</v>
      </c>
      <c r="C887" s="417" t="s">
        <v>432</v>
      </c>
      <c r="D887" s="417" t="s">
        <v>2280</v>
      </c>
      <c r="E887" s="417">
        <v>2</v>
      </c>
      <c r="F887" s="417">
        <v>3.9410879792055049E-2</v>
      </c>
      <c r="G887" s="417">
        <v>5.7063300905895584E-9</v>
      </c>
      <c r="H887" s="417">
        <v>4.7082540670822703E-5</v>
      </c>
      <c r="I887" s="417" t="s">
        <v>2091</v>
      </c>
      <c r="J887" s="417" t="s">
        <v>432</v>
      </c>
      <c r="K887" s="417" t="s">
        <v>1047</v>
      </c>
    </row>
    <row r="888" spans="1:12" x14ac:dyDescent="0.25">
      <c r="A888" s="516">
        <v>863</v>
      </c>
      <c r="B888" t="s">
        <v>441</v>
      </c>
      <c r="C888" t="s">
        <v>432</v>
      </c>
      <c r="D888" t="s">
        <v>2280</v>
      </c>
      <c r="E888">
        <v>3</v>
      </c>
      <c r="F888">
        <v>3.8424510128754752E-2</v>
      </c>
      <c r="G888">
        <v>5.5635129061005708E-9</v>
      </c>
      <c r="H888">
        <v>9.2281779714812485E-3</v>
      </c>
      <c r="I888" t="s">
        <v>1034</v>
      </c>
      <c r="J888" t="s">
        <v>432</v>
      </c>
      <c r="K888" t="s">
        <v>433</v>
      </c>
      <c r="L888" t="str">
        <f>O15</f>
        <v>Energy use, horizontal</v>
      </c>
    </row>
    <row r="889" spans="1:12" hidden="1" x14ac:dyDescent="0.25">
      <c r="A889" s="516">
        <v>864</v>
      </c>
      <c r="B889" t="s">
        <v>441</v>
      </c>
      <c r="C889" t="s">
        <v>432</v>
      </c>
      <c r="D889" t="s">
        <v>2280</v>
      </c>
      <c r="E889">
        <v>4</v>
      </c>
      <c r="F889">
        <v>1.4449386714666739E-4</v>
      </c>
      <c r="G889">
        <v>2.092137263504829E-11</v>
      </c>
      <c r="H889">
        <v>3.4702202249265933E-5</v>
      </c>
      <c r="I889" t="s">
        <v>2270</v>
      </c>
      <c r="L889" t="s">
        <v>2295</v>
      </c>
    </row>
    <row r="890" spans="1:12" hidden="1" x14ac:dyDescent="0.25">
      <c r="A890" s="516">
        <v>865</v>
      </c>
      <c r="B890" t="s">
        <v>441</v>
      </c>
      <c r="C890" t="s">
        <v>432</v>
      </c>
      <c r="D890" t="s">
        <v>2280</v>
      </c>
      <c r="E890">
        <v>4</v>
      </c>
      <c r="F890">
        <v>5.4896570684250977E-6</v>
      </c>
      <c r="G890">
        <v>7.9485145933958181E-13</v>
      </c>
      <c r="H890">
        <v>6.5928035381349892E-5</v>
      </c>
      <c r="I890" t="s">
        <v>2231</v>
      </c>
      <c r="L890" t="s">
        <v>2295</v>
      </c>
    </row>
    <row r="891" spans="1:12" hidden="1" x14ac:dyDescent="0.25">
      <c r="A891" s="516">
        <v>866</v>
      </c>
      <c r="B891" t="s">
        <v>441</v>
      </c>
      <c r="C891" t="s">
        <v>432</v>
      </c>
      <c r="D891" t="s">
        <v>2280</v>
      </c>
      <c r="E891">
        <v>4</v>
      </c>
      <c r="F891">
        <v>1.261942468319668E-2</v>
      </c>
      <c r="G891">
        <v>1.8271757234450429E-9</v>
      </c>
      <c r="H891">
        <v>9.162249936099898E-3</v>
      </c>
      <c r="I891" t="s">
        <v>2259</v>
      </c>
      <c r="J891" t="s">
        <v>432</v>
      </c>
      <c r="K891" t="s">
        <v>433</v>
      </c>
      <c r="L891" t="s">
        <v>2295</v>
      </c>
    </row>
    <row r="892" spans="1:12" hidden="1" x14ac:dyDescent="0.25">
      <c r="A892" s="516">
        <v>867</v>
      </c>
      <c r="B892" t="s">
        <v>441</v>
      </c>
      <c r="C892" t="s">
        <v>432</v>
      </c>
      <c r="D892" t="s">
        <v>2280</v>
      </c>
      <c r="E892">
        <v>4</v>
      </c>
      <c r="F892">
        <v>1.8630337818532601E-7</v>
      </c>
      <c r="G892">
        <v>2.6975002296998371E-14</v>
      </c>
      <c r="H892">
        <v>4.9832161045998741E-10</v>
      </c>
      <c r="I892" t="s">
        <v>2231</v>
      </c>
      <c r="L892" t="s">
        <v>2295</v>
      </c>
    </row>
    <row r="893" spans="1:12" hidden="1" x14ac:dyDescent="0.25">
      <c r="A893" s="516">
        <v>868</v>
      </c>
      <c r="B893" t="s">
        <v>441</v>
      </c>
      <c r="C893" t="s">
        <v>432</v>
      </c>
      <c r="D893" t="s">
        <v>2280</v>
      </c>
      <c r="E893">
        <v>4</v>
      </c>
      <c r="F893">
        <v>2.5654915549483182E-2</v>
      </c>
      <c r="G893">
        <v>3.71459397364334E-9</v>
      </c>
      <c r="H893">
        <v>1.719003554433E-10</v>
      </c>
      <c r="I893" t="s">
        <v>2260</v>
      </c>
      <c r="J893" t="s">
        <v>462</v>
      </c>
      <c r="K893" t="s">
        <v>1995</v>
      </c>
      <c r="L893" t="s">
        <v>2295</v>
      </c>
    </row>
    <row r="894" spans="1:12" x14ac:dyDescent="0.25">
      <c r="A894" s="516">
        <v>869</v>
      </c>
      <c r="B894" t="s">
        <v>441</v>
      </c>
      <c r="C894" t="s">
        <v>432</v>
      </c>
      <c r="D894" t="s">
        <v>2280</v>
      </c>
      <c r="E894">
        <v>3</v>
      </c>
      <c r="F894">
        <v>4.8606529887735721E-4</v>
      </c>
      <c r="G894">
        <v>7.0377749890638516E-11</v>
      </c>
      <c r="H894">
        <v>1.6949714641496169E-3</v>
      </c>
      <c r="I894" t="s">
        <v>1069</v>
      </c>
      <c r="J894" t="s">
        <v>462</v>
      </c>
      <c r="K894" t="s">
        <v>434</v>
      </c>
      <c r="L894" t="str">
        <f>O16</f>
        <v>Energy use, horizontal</v>
      </c>
    </row>
    <row r="895" spans="1:12" hidden="1" x14ac:dyDescent="0.25">
      <c r="A895" s="516">
        <v>870</v>
      </c>
      <c r="B895" t="s">
        <v>441</v>
      </c>
      <c r="C895" t="s">
        <v>432</v>
      </c>
      <c r="D895" t="s">
        <v>2280</v>
      </c>
      <c r="E895">
        <v>4</v>
      </c>
      <c r="F895">
        <v>1.844993107398951E-4</v>
      </c>
      <c r="G895">
        <v>2.6713790052977601E-11</v>
      </c>
      <c r="H895">
        <v>3.9662332430598193E-5</v>
      </c>
      <c r="I895" t="s">
        <v>2267</v>
      </c>
      <c r="J895" t="s">
        <v>462</v>
      </c>
      <c r="K895" t="s">
        <v>417</v>
      </c>
      <c r="L895" t="s">
        <v>2295</v>
      </c>
    </row>
    <row r="896" spans="1:12" hidden="1" x14ac:dyDescent="0.25">
      <c r="A896" s="516">
        <v>871</v>
      </c>
      <c r="B896" t="s">
        <v>441</v>
      </c>
      <c r="C896" t="s">
        <v>432</v>
      </c>
      <c r="D896" t="s">
        <v>2280</v>
      </c>
      <c r="E896">
        <v>4</v>
      </c>
      <c r="F896">
        <v>2.9012649437959421E-4</v>
      </c>
      <c r="G896">
        <v>4.2007627175308302E-11</v>
      </c>
      <c r="H896">
        <v>3.1356972256265062E-13</v>
      </c>
      <c r="I896" t="s">
        <v>2278</v>
      </c>
      <c r="J896" t="s">
        <v>462</v>
      </c>
      <c r="K896" t="s">
        <v>416</v>
      </c>
      <c r="L896" t="s">
        <v>2295</v>
      </c>
    </row>
    <row r="897" spans="1:12" hidden="1" x14ac:dyDescent="0.25">
      <c r="A897" s="516">
        <v>872</v>
      </c>
      <c r="B897" t="s">
        <v>441</v>
      </c>
      <c r="C897" t="s">
        <v>432</v>
      </c>
      <c r="D897" t="s">
        <v>2280</v>
      </c>
      <c r="E897">
        <v>4</v>
      </c>
      <c r="F897">
        <v>1.972615941867059E-6</v>
      </c>
      <c r="G897">
        <v>2.8561650401222128E-13</v>
      </c>
      <c r="H897">
        <v>1.9759977358547381E-8</v>
      </c>
      <c r="I897" t="s">
        <v>2231</v>
      </c>
      <c r="L897" t="s">
        <v>2295</v>
      </c>
    </row>
    <row r="898" spans="1:12" hidden="1" x14ac:dyDescent="0.25">
      <c r="A898" s="516">
        <v>873</v>
      </c>
      <c r="B898" t="s">
        <v>441</v>
      </c>
      <c r="C898" t="s">
        <v>432</v>
      </c>
      <c r="D898" t="s">
        <v>2280</v>
      </c>
      <c r="E898">
        <v>4</v>
      </c>
      <c r="F898">
        <v>9.3503611868886188E-6</v>
      </c>
      <c r="G898">
        <v>1.3538456304489671E-12</v>
      </c>
      <c r="H898">
        <v>9.3803110908974122E-8</v>
      </c>
      <c r="I898" t="s">
        <v>2231</v>
      </c>
      <c r="L898" t="s">
        <v>2295</v>
      </c>
    </row>
    <row r="899" spans="1:12" hidden="1" x14ac:dyDescent="0.25">
      <c r="A899" s="516">
        <v>874</v>
      </c>
      <c r="B899" t="s">
        <v>441</v>
      </c>
      <c r="C899" t="s">
        <v>432</v>
      </c>
      <c r="D899" t="s">
        <v>2280</v>
      </c>
      <c r="E899">
        <v>4</v>
      </c>
      <c r="F899">
        <v>9.51901464326219E-10</v>
      </c>
      <c r="G899">
        <v>1.378265087666475E-16</v>
      </c>
      <c r="H899">
        <v>-7.716965046427933E-10</v>
      </c>
      <c r="I899" t="s">
        <v>2231</v>
      </c>
      <c r="L899" t="s">
        <v>2295</v>
      </c>
    </row>
    <row r="900" spans="1:12" hidden="1" x14ac:dyDescent="0.25">
      <c r="A900" s="516">
        <v>875</v>
      </c>
      <c r="B900" t="s">
        <v>441</v>
      </c>
      <c r="C900" t="s">
        <v>432</v>
      </c>
      <c r="D900" t="s">
        <v>2280</v>
      </c>
      <c r="E900">
        <v>4</v>
      </c>
      <c r="F900">
        <v>7.9523841025522172E-8</v>
      </c>
      <c r="G900">
        <v>1.151431506623402E-14</v>
      </c>
      <c r="H900">
        <v>-8.1619319693741971E-8</v>
      </c>
      <c r="I900" t="s">
        <v>2231</v>
      </c>
      <c r="L900" t="s">
        <v>2295</v>
      </c>
    </row>
    <row r="901" spans="1:12" hidden="1" x14ac:dyDescent="0.25">
      <c r="A901" s="516">
        <v>876</v>
      </c>
      <c r="B901" t="s">
        <v>441</v>
      </c>
      <c r="C901" t="s">
        <v>432</v>
      </c>
      <c r="D901" t="s">
        <v>2280</v>
      </c>
      <c r="E901">
        <v>4</v>
      </c>
      <c r="F901">
        <v>3.6046034798969222E-8</v>
      </c>
      <c r="G901">
        <v>5.2191317246681228E-15</v>
      </c>
      <c r="H901">
        <v>-3.1172071916589303E-8</v>
      </c>
      <c r="I901" t="s">
        <v>2231</v>
      </c>
      <c r="L901" t="s">
        <v>2295</v>
      </c>
    </row>
    <row r="902" spans="1:12" x14ac:dyDescent="0.25">
      <c r="A902" s="516">
        <v>877</v>
      </c>
      <c r="B902" t="s">
        <v>441</v>
      </c>
      <c r="C902" t="s">
        <v>432</v>
      </c>
      <c r="D902" t="s">
        <v>2280</v>
      </c>
      <c r="E902">
        <v>3</v>
      </c>
      <c r="F902">
        <v>5.0030437664161365E-4</v>
      </c>
      <c r="G902">
        <v>7.2439436367498169E-11</v>
      </c>
      <c r="H902">
        <v>-2.7214958868432108E-3</v>
      </c>
      <c r="I902" t="s">
        <v>1073</v>
      </c>
      <c r="J902" t="s">
        <v>432</v>
      </c>
      <c r="K902" t="s">
        <v>417</v>
      </c>
      <c r="L902" t="str">
        <f>O17</f>
        <v>Drilling waste</v>
      </c>
    </row>
    <row r="903" spans="1:12" hidden="1" x14ac:dyDescent="0.25">
      <c r="A903" s="516">
        <v>878</v>
      </c>
      <c r="B903" t="s">
        <v>441</v>
      </c>
      <c r="C903" t="s">
        <v>432</v>
      </c>
      <c r="D903" t="s">
        <v>2280</v>
      </c>
      <c r="E903">
        <v>4</v>
      </c>
      <c r="F903">
        <v>-1.525354724304414E-4</v>
      </c>
      <c r="G903">
        <v>-2.2085722541712751E-11</v>
      </c>
      <c r="H903">
        <v>1.6328975321059269E-3</v>
      </c>
      <c r="I903" t="s">
        <v>2268</v>
      </c>
      <c r="J903" t="s">
        <v>432</v>
      </c>
      <c r="K903" t="s">
        <v>417</v>
      </c>
      <c r="L903" t="s">
        <v>2295</v>
      </c>
    </row>
    <row r="904" spans="1:12" hidden="1" x14ac:dyDescent="0.25">
      <c r="A904" s="516">
        <v>879</v>
      </c>
      <c r="B904" t="s">
        <v>441</v>
      </c>
      <c r="C904" t="s">
        <v>432</v>
      </c>
      <c r="D904" t="s">
        <v>2280</v>
      </c>
      <c r="E904">
        <v>4</v>
      </c>
      <c r="F904">
        <v>-1.035267743363859E-4</v>
      </c>
      <c r="G904">
        <v>-1.498971732411024E-11</v>
      </c>
      <c r="H904">
        <v>1.088598354737285E-3</v>
      </c>
      <c r="I904" t="s">
        <v>2269</v>
      </c>
      <c r="J904" t="s">
        <v>432</v>
      </c>
      <c r="K904" t="s">
        <v>417</v>
      </c>
      <c r="L904" t="s">
        <v>2295</v>
      </c>
    </row>
    <row r="905" spans="1:12" hidden="1" x14ac:dyDescent="0.25">
      <c r="A905" s="516">
        <v>880</v>
      </c>
      <c r="B905" t="s">
        <v>441</v>
      </c>
      <c r="C905" t="s">
        <v>432</v>
      </c>
      <c r="D905" t="s">
        <v>2280</v>
      </c>
      <c r="E905">
        <v>4</v>
      </c>
      <c r="F905">
        <v>-8.2823395796226302E-6</v>
      </c>
      <c r="G905">
        <v>-1.199206001313604E-12</v>
      </c>
      <c r="H905">
        <v>-9.6885253571618308E-6</v>
      </c>
      <c r="I905" t="s">
        <v>2231</v>
      </c>
      <c r="L905" t="s">
        <v>2295</v>
      </c>
    </row>
    <row r="906" spans="1:12" hidden="1" x14ac:dyDescent="0.25">
      <c r="A906" s="516">
        <v>881</v>
      </c>
      <c r="B906" t="s">
        <v>441</v>
      </c>
      <c r="C906" t="s">
        <v>432</v>
      </c>
      <c r="D906" t="s">
        <v>2280</v>
      </c>
      <c r="E906">
        <v>4</v>
      </c>
      <c r="F906">
        <v>-2.3595978932062741E-4</v>
      </c>
      <c r="G906">
        <v>-3.416479035925775E-11</v>
      </c>
      <c r="H906">
        <v>-7.013294900394956E-5</v>
      </c>
      <c r="I906" t="s">
        <v>2266</v>
      </c>
      <c r="J906" t="s">
        <v>419</v>
      </c>
      <c r="K906" t="s">
        <v>925</v>
      </c>
      <c r="L906" t="s">
        <v>2295</v>
      </c>
    </row>
    <row r="907" spans="1:12" x14ac:dyDescent="0.25">
      <c r="A907" s="568">
        <v>882</v>
      </c>
      <c r="B907" s="417" t="s">
        <v>441</v>
      </c>
      <c r="C907" s="417" t="s">
        <v>432</v>
      </c>
      <c r="D907" s="417" t="s">
        <v>2280</v>
      </c>
      <c r="E907" s="417">
        <v>2</v>
      </c>
      <c r="F907" s="417">
        <v>1.0293446269689459E-3</v>
      </c>
      <c r="G907" s="417">
        <v>1.4903956088906421E-10</v>
      </c>
      <c r="H907" s="417">
        <v>1.1210128731148259E-9</v>
      </c>
      <c r="I907" s="417" t="s">
        <v>1517</v>
      </c>
      <c r="J907" s="417" t="s">
        <v>432</v>
      </c>
      <c r="K907" s="417" t="s">
        <v>416</v>
      </c>
      <c r="L907" s="417" t="s">
        <v>829</v>
      </c>
    </row>
    <row r="908" spans="1:12" x14ac:dyDescent="0.25">
      <c r="A908" s="516">
        <v>883</v>
      </c>
      <c r="B908" t="s">
        <v>441</v>
      </c>
      <c r="C908" t="s">
        <v>432</v>
      </c>
      <c r="D908" t="s">
        <v>2280</v>
      </c>
      <c r="E908">
        <v>3</v>
      </c>
      <c r="F908">
        <v>1.0293446652119729E-3</v>
      </c>
      <c r="G908">
        <v>1.4903956642629999E-10</v>
      </c>
      <c r="H908">
        <v>5.7822432923703427E-5</v>
      </c>
      <c r="I908" t="s">
        <v>1060</v>
      </c>
      <c r="J908" t="s">
        <v>459</v>
      </c>
      <c r="K908" t="s">
        <v>417</v>
      </c>
    </row>
    <row r="909" spans="1:12" hidden="1" x14ac:dyDescent="0.25">
      <c r="A909" s="516">
        <v>884</v>
      </c>
      <c r="B909" t="s">
        <v>441</v>
      </c>
      <c r="C909" t="s">
        <v>432</v>
      </c>
      <c r="D909" t="s">
        <v>2280</v>
      </c>
      <c r="E909">
        <v>4</v>
      </c>
      <c r="F909">
        <v>9.8497455182045891E-4</v>
      </c>
      <c r="G909">
        <v>1.426151852781302E-10</v>
      </c>
      <c r="H909">
        <v>5.7822432923703427E-5</v>
      </c>
      <c r="I909" t="s">
        <v>2263</v>
      </c>
      <c r="J909" t="s">
        <v>459</v>
      </c>
      <c r="K909" t="s">
        <v>417</v>
      </c>
      <c r="L909" t="s">
        <v>2295</v>
      </c>
    </row>
    <row r="910" spans="1:12" hidden="1" x14ac:dyDescent="0.25">
      <c r="A910" s="516">
        <v>885</v>
      </c>
      <c r="B910" t="s">
        <v>441</v>
      </c>
      <c r="C910" t="s">
        <v>432</v>
      </c>
      <c r="D910" t="s">
        <v>2280</v>
      </c>
      <c r="E910">
        <v>4</v>
      </c>
      <c r="F910">
        <v>1.3905349067346411E-6</v>
      </c>
      <c r="G910">
        <v>2.0133656549110159E-13</v>
      </c>
      <c r="H910">
        <v>1.4455608230925861E-6</v>
      </c>
      <c r="I910" t="s">
        <v>2231</v>
      </c>
      <c r="L910" t="s">
        <v>2295</v>
      </c>
    </row>
    <row r="911" spans="1:12" hidden="1" x14ac:dyDescent="0.25">
      <c r="A911" s="516">
        <v>886</v>
      </c>
      <c r="B911" t="s">
        <v>441</v>
      </c>
      <c r="C911" t="s">
        <v>432</v>
      </c>
      <c r="D911" t="s">
        <v>2280</v>
      </c>
      <c r="E911">
        <v>4</v>
      </c>
      <c r="F911">
        <v>2.2183092424982341E-5</v>
      </c>
      <c r="G911">
        <v>3.211906165883779E-12</v>
      </c>
      <c r="H911">
        <v>1.9081402864822129E-7</v>
      </c>
      <c r="I911" t="s">
        <v>2231</v>
      </c>
      <c r="L911" t="s">
        <v>2295</v>
      </c>
    </row>
    <row r="912" spans="1:12" hidden="1" x14ac:dyDescent="0.25">
      <c r="A912" s="516">
        <v>887</v>
      </c>
      <c r="B912" t="s">
        <v>441</v>
      </c>
      <c r="C912" t="s">
        <v>432</v>
      </c>
      <c r="D912" t="s">
        <v>2280</v>
      </c>
      <c r="E912">
        <v>4</v>
      </c>
      <c r="F912">
        <v>2.079648633785377E-5</v>
      </c>
      <c r="G912">
        <v>3.0111384570550222E-12</v>
      </c>
      <c r="H912">
        <v>6.1812180795438962E-6</v>
      </c>
      <c r="I912" t="s">
        <v>2231</v>
      </c>
      <c r="L912" t="s">
        <v>2295</v>
      </c>
    </row>
    <row r="913" spans="1:12" hidden="1" x14ac:dyDescent="0.25">
      <c r="A913" s="516">
        <v>888</v>
      </c>
      <c r="B913" t="s">
        <v>441</v>
      </c>
      <c r="C913" t="s">
        <v>432</v>
      </c>
      <c r="D913" t="s">
        <v>2280</v>
      </c>
      <c r="E913">
        <v>1</v>
      </c>
      <c r="F913">
        <v>4.6183621089275479E-4</v>
      </c>
      <c r="G913">
        <v>6.6869602532254742E-11</v>
      </c>
      <c r="H913">
        <v>3.0490301023033151E-5</v>
      </c>
      <c r="I913" t="s">
        <v>1003</v>
      </c>
      <c r="J913" t="s">
        <v>432</v>
      </c>
      <c r="K913" t="s">
        <v>417</v>
      </c>
      <c r="L913" t="s">
        <v>823</v>
      </c>
    </row>
    <row r="914" spans="1:12" x14ac:dyDescent="0.25">
      <c r="A914" s="568">
        <v>889</v>
      </c>
      <c r="B914" s="417" t="s">
        <v>441</v>
      </c>
      <c r="C914" s="417" t="s">
        <v>432</v>
      </c>
      <c r="D914" s="417" t="s">
        <v>2280</v>
      </c>
      <c r="E914" s="417">
        <v>2</v>
      </c>
      <c r="F914" s="417">
        <v>3.7366427624554467E-4</v>
      </c>
      <c r="G914" s="417">
        <v>5.4103123669626047E-11</v>
      </c>
      <c r="H914" s="417">
        <v>3.0490301023033151E-5</v>
      </c>
      <c r="I914" s="417" t="s">
        <v>1000</v>
      </c>
      <c r="J914" s="417" t="s">
        <v>432</v>
      </c>
      <c r="K914" s="417" t="s">
        <v>417</v>
      </c>
    </row>
    <row r="915" spans="1:12" x14ac:dyDescent="0.25">
      <c r="A915" s="516">
        <v>890</v>
      </c>
      <c r="B915" t="s">
        <v>441</v>
      </c>
      <c r="C915" t="s">
        <v>432</v>
      </c>
      <c r="D915" t="s">
        <v>2280</v>
      </c>
      <c r="E915">
        <v>3</v>
      </c>
      <c r="F915">
        <v>2.8549234159833212E-4</v>
      </c>
      <c r="G915">
        <v>4.1336644806997003E-11</v>
      </c>
      <c r="H915">
        <v>3.0490301023033151E-5</v>
      </c>
      <c r="I915" t="s">
        <v>998</v>
      </c>
      <c r="J915" t="s">
        <v>432</v>
      </c>
      <c r="K915" t="s">
        <v>417</v>
      </c>
    </row>
    <row r="916" spans="1:12" hidden="1" x14ac:dyDescent="0.25">
      <c r="A916" s="516">
        <v>891</v>
      </c>
      <c r="B916" t="s">
        <v>441</v>
      </c>
      <c r="C916" t="s">
        <v>432</v>
      </c>
      <c r="D916" t="s">
        <v>2280</v>
      </c>
      <c r="E916">
        <v>4</v>
      </c>
      <c r="F916">
        <v>2.3072834144195661E-4</v>
      </c>
      <c r="G916">
        <v>3.3407325197228348E-11</v>
      </c>
      <c r="H916">
        <v>3.1760730232326302E-5</v>
      </c>
      <c r="I916" t="s">
        <v>996</v>
      </c>
      <c r="J916" t="s">
        <v>432</v>
      </c>
      <c r="K916" t="s">
        <v>417</v>
      </c>
      <c r="L916" t="s">
        <v>2295</v>
      </c>
    </row>
    <row r="917" spans="1:12" hidden="1" x14ac:dyDescent="0.25">
      <c r="A917" s="516">
        <v>892</v>
      </c>
      <c r="B917" t="s">
        <v>441</v>
      </c>
      <c r="C917" t="s">
        <v>432</v>
      </c>
      <c r="D917" t="s">
        <v>2280</v>
      </c>
      <c r="E917">
        <v>4</v>
      </c>
      <c r="F917">
        <v>7.8275651138889045E-6</v>
      </c>
      <c r="G917">
        <v>1.133358874024371E-12</v>
      </c>
      <c r="H917">
        <v>3.8213860155779714E-6</v>
      </c>
      <c r="I917" t="s">
        <v>2231</v>
      </c>
      <c r="L917" t="s">
        <v>2295</v>
      </c>
    </row>
    <row r="918" spans="1:12" hidden="1" x14ac:dyDescent="0.25">
      <c r="A918" s="516">
        <v>893</v>
      </c>
      <c r="B918" t="s">
        <v>441</v>
      </c>
      <c r="C918" t="s">
        <v>432</v>
      </c>
      <c r="D918" t="s">
        <v>2280</v>
      </c>
      <c r="E918">
        <v>4</v>
      </c>
      <c r="F918">
        <v>3.6642454121236111E-5</v>
      </c>
      <c r="G918">
        <v>5.3054877142633291E-12</v>
      </c>
      <c r="H918">
        <v>4.2076615411785742E-8</v>
      </c>
      <c r="I918" t="s">
        <v>2231</v>
      </c>
      <c r="L918" t="s">
        <v>2295</v>
      </c>
    </row>
    <row r="919" spans="1:12" hidden="1" x14ac:dyDescent="0.25">
      <c r="A919" s="516">
        <v>894</v>
      </c>
      <c r="B919" t="s">
        <v>441</v>
      </c>
      <c r="C919" t="s">
        <v>432</v>
      </c>
      <c r="D919" t="s">
        <v>2280</v>
      </c>
      <c r="E919">
        <v>4</v>
      </c>
      <c r="F919">
        <v>1.029398910547765E-5</v>
      </c>
      <c r="G919">
        <v>1.490474206481175E-12</v>
      </c>
      <c r="H919">
        <v>4.2076615411785742E-8</v>
      </c>
      <c r="I919" t="s">
        <v>2231</v>
      </c>
      <c r="L919" t="s">
        <v>2295</v>
      </c>
    </row>
    <row r="920" spans="1:12" x14ac:dyDescent="0.25">
      <c r="A920" s="516">
        <v>895</v>
      </c>
      <c r="B920" t="s">
        <v>441</v>
      </c>
      <c r="C920" t="s">
        <v>432</v>
      </c>
      <c r="D920" t="s">
        <v>2280</v>
      </c>
      <c r="E920">
        <v>3</v>
      </c>
      <c r="F920">
        <v>8.8171933333353441E-5</v>
      </c>
      <c r="G920">
        <v>1.276647867239442E-11</v>
      </c>
      <c r="H920">
        <v>3.049030102303315E-6</v>
      </c>
      <c r="I920" t="s">
        <v>2231</v>
      </c>
    </row>
    <row r="921" spans="1:12" x14ac:dyDescent="0.25">
      <c r="A921" s="516">
        <v>896</v>
      </c>
      <c r="B921" t="s">
        <v>441</v>
      </c>
      <c r="C921" t="s">
        <v>432</v>
      </c>
      <c r="D921" t="s">
        <v>2280</v>
      </c>
      <c r="E921">
        <v>2</v>
      </c>
      <c r="F921">
        <v>8.8171933333353441E-5</v>
      </c>
      <c r="G921">
        <v>1.276647867239442E-11</v>
      </c>
      <c r="H921">
        <v>3.049030102303315E-6</v>
      </c>
      <c r="I921" t="s">
        <v>2231</v>
      </c>
    </row>
    <row r="922" spans="1:12" hidden="1" x14ac:dyDescent="0.25">
      <c r="A922" s="516">
        <v>897</v>
      </c>
      <c r="B922" t="s">
        <v>441</v>
      </c>
      <c r="C922" t="s">
        <v>432</v>
      </c>
      <c r="D922" t="s">
        <v>2285</v>
      </c>
      <c r="E922">
        <v>0</v>
      </c>
      <c r="F922">
        <v>1</v>
      </c>
      <c r="G922">
        <v>5.6733375177711441E-11</v>
      </c>
      <c r="H922">
        <v>1</v>
      </c>
      <c r="I922" t="s">
        <v>441</v>
      </c>
      <c r="J922" t="s">
        <v>432</v>
      </c>
      <c r="K922" t="s">
        <v>433</v>
      </c>
      <c r="L922" t="s">
        <v>1205</v>
      </c>
    </row>
    <row r="923" spans="1:12" hidden="1" x14ac:dyDescent="0.25">
      <c r="A923" s="516">
        <v>898</v>
      </c>
      <c r="B923" t="s">
        <v>441</v>
      </c>
      <c r="C923" t="s">
        <v>432</v>
      </c>
      <c r="D923" t="s">
        <v>2285</v>
      </c>
      <c r="E923">
        <v>1</v>
      </c>
      <c r="F923">
        <v>0.9988253685644064</v>
      </c>
      <c r="G923">
        <v>5.666673437178037E-11</v>
      </c>
      <c r="H923">
        <v>1.1210128731148259E-9</v>
      </c>
      <c r="I923" t="s">
        <v>2099</v>
      </c>
      <c r="J923" t="s">
        <v>432</v>
      </c>
      <c r="K923" t="s">
        <v>416</v>
      </c>
    </row>
    <row r="924" spans="1:12" x14ac:dyDescent="0.25">
      <c r="A924" s="568">
        <v>899</v>
      </c>
      <c r="B924" s="417" t="s">
        <v>441</v>
      </c>
      <c r="C924" s="417" t="s">
        <v>432</v>
      </c>
      <c r="D924" s="417" t="s">
        <v>2285</v>
      </c>
      <c r="E924" s="417">
        <v>2</v>
      </c>
      <c r="F924" s="417">
        <v>5.9517060715113888E-2</v>
      </c>
      <c r="G924" s="417">
        <v>3.3766037350251872E-12</v>
      </c>
      <c r="H924" s="417">
        <v>2.2420257462296519E-9</v>
      </c>
      <c r="I924" s="417" t="s">
        <v>1122</v>
      </c>
      <c r="J924" s="417" t="s">
        <v>432</v>
      </c>
      <c r="K924" s="417" t="s">
        <v>416</v>
      </c>
      <c r="L924" t="str">
        <f>$B$18</f>
        <v>Surface plant</v>
      </c>
    </row>
    <row r="925" spans="1:12" x14ac:dyDescent="0.25">
      <c r="A925" s="516">
        <v>900</v>
      </c>
      <c r="B925" t="s">
        <v>441</v>
      </c>
      <c r="C925" t="s">
        <v>432</v>
      </c>
      <c r="D925" t="s">
        <v>2285</v>
      </c>
      <c r="E925">
        <v>3</v>
      </c>
      <c r="F925">
        <v>4.433294971423941E-4</v>
      </c>
      <c r="G925">
        <v>2.5151578688725599E-14</v>
      </c>
      <c r="H925">
        <v>7.1066873184536906E-7</v>
      </c>
      <c r="I925" t="s">
        <v>2230</v>
      </c>
      <c r="J925" t="s">
        <v>462</v>
      </c>
      <c r="K925" t="s">
        <v>417</v>
      </c>
    </row>
    <row r="926" spans="1:12" hidden="1" x14ac:dyDescent="0.25">
      <c r="A926" s="516">
        <v>901</v>
      </c>
      <c r="B926" t="s">
        <v>441</v>
      </c>
      <c r="C926" t="s">
        <v>432</v>
      </c>
      <c r="D926" t="s">
        <v>2285</v>
      </c>
      <c r="E926">
        <v>4</v>
      </c>
      <c r="F926">
        <v>4.394110511541763E-5</v>
      </c>
      <c r="G926">
        <v>2.4929272022362429E-15</v>
      </c>
      <c r="H926">
        <v>1.7496624768159701E-7</v>
      </c>
      <c r="I926" t="s">
        <v>2231</v>
      </c>
      <c r="L926" t="s">
        <v>2295</v>
      </c>
    </row>
    <row r="927" spans="1:12" hidden="1" x14ac:dyDescent="0.25">
      <c r="A927" s="516">
        <v>902</v>
      </c>
      <c r="B927" t="s">
        <v>441</v>
      </c>
      <c r="C927" t="s">
        <v>432</v>
      </c>
      <c r="D927" t="s">
        <v>2285</v>
      </c>
      <c r="E927">
        <v>4</v>
      </c>
      <c r="F927">
        <v>3.4412907555977122E-5</v>
      </c>
      <c r="G927">
        <v>1.952360395329151E-15</v>
      </c>
      <c r="H927">
        <v>3.0368190207504018E-7</v>
      </c>
      <c r="I927" t="s">
        <v>2231</v>
      </c>
      <c r="L927" t="s">
        <v>2295</v>
      </c>
    </row>
    <row r="928" spans="1:12" hidden="1" x14ac:dyDescent="0.25">
      <c r="A928" s="516">
        <v>903</v>
      </c>
      <c r="B928" t="s">
        <v>441</v>
      </c>
      <c r="C928" t="s">
        <v>432</v>
      </c>
      <c r="D928" t="s">
        <v>2285</v>
      </c>
      <c r="E928">
        <v>4</v>
      </c>
      <c r="F928">
        <v>3.3958721183782791E-4</v>
      </c>
      <c r="G928">
        <v>1.9265928694748459E-14</v>
      </c>
      <c r="H928">
        <v>1.857699888005772E-7</v>
      </c>
      <c r="I928" t="s">
        <v>2232</v>
      </c>
      <c r="J928" t="s">
        <v>462</v>
      </c>
      <c r="K928" t="s">
        <v>417</v>
      </c>
      <c r="L928" t="s">
        <v>2295</v>
      </c>
    </row>
    <row r="929" spans="1:12" hidden="1" x14ac:dyDescent="0.25">
      <c r="A929" s="516">
        <v>904</v>
      </c>
      <c r="B929" t="s">
        <v>441</v>
      </c>
      <c r="C929" t="s">
        <v>432</v>
      </c>
      <c r="D929" t="s">
        <v>2285</v>
      </c>
      <c r="E929">
        <v>4</v>
      </c>
      <c r="F929">
        <v>1.044677071858655E-5</v>
      </c>
      <c r="G929">
        <v>5.9268056257310078E-16</v>
      </c>
      <c r="H929">
        <v>4.6250593288154462E-8</v>
      </c>
      <c r="I929" t="s">
        <v>2231</v>
      </c>
      <c r="L929" t="s">
        <v>2295</v>
      </c>
    </row>
    <row r="930" spans="1:12" hidden="1" x14ac:dyDescent="0.25">
      <c r="A930" s="516">
        <v>905</v>
      </c>
      <c r="B930" t="s">
        <v>441</v>
      </c>
      <c r="C930" t="s">
        <v>432</v>
      </c>
      <c r="D930" t="s">
        <v>2285</v>
      </c>
      <c r="E930">
        <v>4</v>
      </c>
      <c r="F930">
        <v>2.4044031898459579E-6</v>
      </c>
      <c r="G930">
        <v>1.3640990824801689E-16</v>
      </c>
      <c r="H930">
        <v>2.4503857874028319E-7</v>
      </c>
      <c r="I930" t="s">
        <v>2231</v>
      </c>
      <c r="L930" t="s">
        <v>2295</v>
      </c>
    </row>
    <row r="931" spans="1:12" hidden="1" x14ac:dyDescent="0.25">
      <c r="A931" s="516">
        <v>906</v>
      </c>
      <c r="B931" t="s">
        <v>441</v>
      </c>
      <c r="C931" t="s">
        <v>432</v>
      </c>
      <c r="D931" t="s">
        <v>2285</v>
      </c>
      <c r="E931">
        <v>4</v>
      </c>
      <c r="F931">
        <v>3.2471502794020173E-7</v>
      </c>
      <c r="G931">
        <v>1.8422179505972519E-17</v>
      </c>
      <c r="H931">
        <v>2.57972749659869E-8</v>
      </c>
      <c r="I931" t="s">
        <v>2231</v>
      </c>
      <c r="L931" t="s">
        <v>2295</v>
      </c>
    </row>
    <row r="932" spans="1:12" hidden="1" x14ac:dyDescent="0.25">
      <c r="A932" s="516">
        <v>907</v>
      </c>
      <c r="B932" t="s">
        <v>441</v>
      </c>
      <c r="C932" t="s">
        <v>432</v>
      </c>
      <c r="D932" t="s">
        <v>2285</v>
      </c>
      <c r="E932">
        <v>4</v>
      </c>
      <c r="F932">
        <v>1.1543506308542959E-5</v>
      </c>
      <c r="G932">
        <v>6.5490207426884641E-16</v>
      </c>
      <c r="H932">
        <v>2.5683567968891642E-7</v>
      </c>
      <c r="I932" t="s">
        <v>2231</v>
      </c>
      <c r="L932" t="s">
        <v>2295</v>
      </c>
    </row>
    <row r="933" spans="1:12" hidden="1" x14ac:dyDescent="0.25">
      <c r="A933" s="516">
        <v>908</v>
      </c>
      <c r="B933" t="s">
        <v>441</v>
      </c>
      <c r="C933" t="s">
        <v>432</v>
      </c>
      <c r="D933" t="s">
        <v>2285</v>
      </c>
      <c r="E933">
        <v>4</v>
      </c>
      <c r="F933">
        <v>6.6889061711753558E-7</v>
      </c>
      <c r="G933">
        <v>3.7948422333780067E-17</v>
      </c>
      <c r="H933">
        <v>2.581859502794226E-7</v>
      </c>
      <c r="I933" t="s">
        <v>2231</v>
      </c>
      <c r="L933" t="s">
        <v>2295</v>
      </c>
    </row>
    <row r="934" spans="1:12" x14ac:dyDescent="0.25">
      <c r="A934" s="516">
        <v>909</v>
      </c>
      <c r="B934" t="s">
        <v>441</v>
      </c>
      <c r="C934" t="s">
        <v>432</v>
      </c>
      <c r="D934" t="s">
        <v>2285</v>
      </c>
      <c r="E934">
        <v>3</v>
      </c>
      <c r="F934">
        <v>1.8700625329344631E-3</v>
      </c>
      <c r="G934">
        <v>1.060949592867523E-13</v>
      </c>
      <c r="H934">
        <v>9.6828614713931526E-7</v>
      </c>
      <c r="I934" t="s">
        <v>2233</v>
      </c>
      <c r="J934" t="s">
        <v>419</v>
      </c>
      <c r="K934" t="s">
        <v>417</v>
      </c>
    </row>
    <row r="935" spans="1:12" hidden="1" x14ac:dyDescent="0.25">
      <c r="A935" s="516">
        <v>910</v>
      </c>
      <c r="B935" t="s">
        <v>441</v>
      </c>
      <c r="C935" t="s">
        <v>432</v>
      </c>
      <c r="D935" t="s">
        <v>2285</v>
      </c>
      <c r="E935">
        <v>4</v>
      </c>
      <c r="F935">
        <v>1.2503945389885579E-3</v>
      </c>
      <c r="G935">
        <v>7.0939102500599363E-14</v>
      </c>
      <c r="H935">
        <v>6.1534207375399252E-7</v>
      </c>
      <c r="I935" t="s">
        <v>2234</v>
      </c>
      <c r="J935" t="s">
        <v>419</v>
      </c>
      <c r="K935" t="s">
        <v>417</v>
      </c>
      <c r="L935" t="s">
        <v>2295</v>
      </c>
    </row>
    <row r="936" spans="1:12" hidden="1" x14ac:dyDescent="0.25">
      <c r="A936" s="516">
        <v>911</v>
      </c>
      <c r="B936" t="s">
        <v>441</v>
      </c>
      <c r="C936" t="s">
        <v>432</v>
      </c>
      <c r="D936" t="s">
        <v>2285</v>
      </c>
      <c r="E936">
        <v>4</v>
      </c>
      <c r="F936">
        <v>6.0852965902576561E-4</v>
      </c>
      <c r="G936">
        <v>3.4523941452273582E-14</v>
      </c>
      <c r="H936">
        <v>3.42977549305504E-7</v>
      </c>
      <c r="I936" t="s">
        <v>2286</v>
      </c>
      <c r="J936" t="s">
        <v>419</v>
      </c>
      <c r="K936" t="s">
        <v>417</v>
      </c>
      <c r="L936" t="s">
        <v>2295</v>
      </c>
    </row>
    <row r="937" spans="1:12" hidden="1" x14ac:dyDescent="0.25">
      <c r="A937" s="516">
        <v>912</v>
      </c>
      <c r="B937" t="s">
        <v>441</v>
      </c>
      <c r="C937" t="s">
        <v>432</v>
      </c>
      <c r="D937" t="s">
        <v>2285</v>
      </c>
      <c r="E937">
        <v>4</v>
      </c>
      <c r="F937">
        <v>1.3638501661950539E-6</v>
      </c>
      <c r="G937">
        <v>7.7375823164928108E-17</v>
      </c>
      <c r="H937">
        <v>9.966524079818768E-9</v>
      </c>
      <c r="I937" t="s">
        <v>2231</v>
      </c>
      <c r="L937" t="s">
        <v>2295</v>
      </c>
    </row>
    <row r="938" spans="1:12" hidden="1" x14ac:dyDescent="0.25">
      <c r="A938" s="516">
        <v>913</v>
      </c>
      <c r="B938" t="s">
        <v>441</v>
      </c>
      <c r="C938" t="s">
        <v>432</v>
      </c>
      <c r="D938" t="s">
        <v>2285</v>
      </c>
      <c r="E938">
        <v>4</v>
      </c>
      <c r="F938">
        <v>4.9230275434358861E-7</v>
      </c>
      <c r="G938">
        <v>2.7929996863195521E-17</v>
      </c>
      <c r="H938">
        <v>4.2410933244702012E-8</v>
      </c>
      <c r="I938" t="s">
        <v>2231</v>
      </c>
      <c r="L938" t="s">
        <v>2295</v>
      </c>
    </row>
    <row r="939" spans="1:12" hidden="1" x14ac:dyDescent="0.25">
      <c r="A939" s="516">
        <v>914</v>
      </c>
      <c r="B939" t="s">
        <v>441</v>
      </c>
      <c r="C939" t="s">
        <v>432</v>
      </c>
      <c r="D939" t="s">
        <v>2285</v>
      </c>
      <c r="E939">
        <v>4</v>
      </c>
      <c r="F939">
        <v>2.9527263631314988E-7</v>
      </c>
      <c r="G939">
        <v>1.6751813255665871E-17</v>
      </c>
      <c r="H939">
        <v>2.1205466622350999E-8</v>
      </c>
      <c r="I939" t="s">
        <v>2231</v>
      </c>
      <c r="L939" t="s">
        <v>2295</v>
      </c>
    </row>
    <row r="940" spans="1:12" hidden="1" x14ac:dyDescent="0.25">
      <c r="A940" s="516">
        <v>915</v>
      </c>
      <c r="B940" t="s">
        <v>441</v>
      </c>
      <c r="C940" t="s">
        <v>432</v>
      </c>
      <c r="D940" t="s">
        <v>2285</v>
      </c>
      <c r="E940">
        <v>4</v>
      </c>
      <c r="F940">
        <v>8.9869565636603771E-6</v>
      </c>
      <c r="G940">
        <v>5.0986037843194055E-16</v>
      </c>
      <c r="H940">
        <v>1.6586741700496469E-7</v>
      </c>
      <c r="I940" t="s">
        <v>2231</v>
      </c>
      <c r="L940" t="s">
        <v>2295</v>
      </c>
    </row>
    <row r="941" spans="1:12" x14ac:dyDescent="0.25">
      <c r="A941" s="516">
        <v>916</v>
      </c>
      <c r="B941" t="s">
        <v>441</v>
      </c>
      <c r="C941" t="s">
        <v>432</v>
      </c>
      <c r="D941" t="s">
        <v>2285</v>
      </c>
      <c r="E941">
        <v>3</v>
      </c>
      <c r="F941">
        <v>3.045806354329143E-2</v>
      </c>
      <c r="G941">
        <v>1.7279887461881281E-12</v>
      </c>
      <c r="H941">
        <v>5.5520994675419461E-7</v>
      </c>
      <c r="I941" t="s">
        <v>2235</v>
      </c>
      <c r="J941" t="s">
        <v>432</v>
      </c>
      <c r="K941" t="s">
        <v>437</v>
      </c>
    </row>
    <row r="942" spans="1:12" hidden="1" x14ac:dyDescent="0.25">
      <c r="A942" s="516">
        <v>917</v>
      </c>
      <c r="B942" t="s">
        <v>441</v>
      </c>
      <c r="C942" t="s">
        <v>432</v>
      </c>
      <c r="D942" t="s">
        <v>2285</v>
      </c>
      <c r="E942">
        <v>4</v>
      </c>
      <c r="F942">
        <v>2.1890096083651799E-2</v>
      </c>
      <c r="G942">
        <v>1.241899033789969E-12</v>
      </c>
      <c r="H942">
        <v>3.8864696272793622E-7</v>
      </c>
      <c r="I942" t="s">
        <v>2236</v>
      </c>
      <c r="J942" t="s">
        <v>432</v>
      </c>
      <c r="K942" t="s">
        <v>437</v>
      </c>
      <c r="L942" t="s">
        <v>2295</v>
      </c>
    </row>
    <row r="943" spans="1:12" hidden="1" x14ac:dyDescent="0.25">
      <c r="A943" s="516">
        <v>918</v>
      </c>
      <c r="B943" t="s">
        <v>441</v>
      </c>
      <c r="C943" t="s">
        <v>432</v>
      </c>
      <c r="D943" t="s">
        <v>2285</v>
      </c>
      <c r="E943">
        <v>4</v>
      </c>
      <c r="F943">
        <v>8.5679674919634033E-3</v>
      </c>
      <c r="G943">
        <v>4.8608971423199507E-13</v>
      </c>
      <c r="H943">
        <v>1.6656298402625839E-7</v>
      </c>
      <c r="I943" t="s">
        <v>2237</v>
      </c>
      <c r="J943" t="s">
        <v>432</v>
      </c>
      <c r="K943" t="s">
        <v>437</v>
      </c>
      <c r="L943" t="s">
        <v>2295</v>
      </c>
    </row>
    <row r="944" spans="1:12" x14ac:dyDescent="0.25">
      <c r="A944" s="516">
        <v>919</v>
      </c>
      <c r="B944" t="s">
        <v>441</v>
      </c>
      <c r="C944" t="s">
        <v>432</v>
      </c>
      <c r="D944" t="s">
        <v>2285</v>
      </c>
      <c r="E944">
        <v>3</v>
      </c>
      <c r="F944">
        <v>3.9139809026962922E-4</v>
      </c>
      <c r="G944">
        <v>2.2205334699106638E-14</v>
      </c>
      <c r="H944">
        <v>3.1091757018234902E-8</v>
      </c>
      <c r="I944" t="s">
        <v>2238</v>
      </c>
      <c r="J944" t="s">
        <v>432</v>
      </c>
      <c r="K944" t="s">
        <v>428</v>
      </c>
    </row>
    <row r="945" spans="1:12" hidden="1" x14ac:dyDescent="0.25">
      <c r="A945" s="516">
        <v>920</v>
      </c>
      <c r="B945" t="s">
        <v>441</v>
      </c>
      <c r="C945" t="s">
        <v>432</v>
      </c>
      <c r="D945" t="s">
        <v>2285</v>
      </c>
      <c r="E945">
        <v>4</v>
      </c>
      <c r="F945">
        <v>8.2193687574990437E-5</v>
      </c>
      <c r="G945">
        <v>4.6631253144315316E-15</v>
      </c>
      <c r="H945">
        <v>9.3275271054704687E-9</v>
      </c>
      <c r="I945" t="s">
        <v>2231</v>
      </c>
      <c r="L945" t="s">
        <v>2295</v>
      </c>
    </row>
    <row r="946" spans="1:12" hidden="1" x14ac:dyDescent="0.25">
      <c r="A946" s="516">
        <v>921</v>
      </c>
      <c r="B946" t="s">
        <v>441</v>
      </c>
      <c r="C946" t="s">
        <v>432</v>
      </c>
      <c r="D946" t="s">
        <v>2285</v>
      </c>
      <c r="E946">
        <v>4</v>
      </c>
      <c r="F946">
        <v>2.6540429693015879E-5</v>
      </c>
      <c r="G946">
        <v>1.505728155151543E-15</v>
      </c>
      <c r="H946">
        <v>3.10917570182349E-9</v>
      </c>
      <c r="I946" t="s">
        <v>2231</v>
      </c>
      <c r="L946" t="s">
        <v>2295</v>
      </c>
    </row>
    <row r="947" spans="1:12" hidden="1" x14ac:dyDescent="0.25">
      <c r="A947" s="516">
        <v>922</v>
      </c>
      <c r="B947" t="s">
        <v>441</v>
      </c>
      <c r="C947" t="s">
        <v>432</v>
      </c>
      <c r="D947" t="s">
        <v>2285</v>
      </c>
      <c r="E947">
        <v>4</v>
      </c>
      <c r="F947">
        <v>1.777049265291256E-4</v>
      </c>
      <c r="G947">
        <v>1.0081800267704531E-14</v>
      </c>
      <c r="H947">
        <v>1.8655054210940941E-8</v>
      </c>
      <c r="I947" t="s">
        <v>2241</v>
      </c>
      <c r="J947" t="s">
        <v>432</v>
      </c>
      <c r="K947" t="s">
        <v>428</v>
      </c>
      <c r="L947" t="s">
        <v>2295</v>
      </c>
    </row>
    <row r="948" spans="1:12" hidden="1" x14ac:dyDescent="0.25">
      <c r="A948" s="516">
        <v>923</v>
      </c>
      <c r="B948" t="s">
        <v>441</v>
      </c>
      <c r="C948" t="s">
        <v>432</v>
      </c>
      <c r="D948" t="s">
        <v>2285</v>
      </c>
      <c r="E948">
        <v>4</v>
      </c>
      <c r="F948">
        <v>8.9876033584788007E-7</v>
      </c>
      <c r="G948">
        <v>5.0989707328503711E-17</v>
      </c>
      <c r="H948">
        <v>2.7436920980741391E-7</v>
      </c>
      <c r="I948" t="s">
        <v>2231</v>
      </c>
      <c r="L948" t="s">
        <v>2295</v>
      </c>
    </row>
    <row r="949" spans="1:12" hidden="1" x14ac:dyDescent="0.25">
      <c r="A949" s="516">
        <v>924</v>
      </c>
      <c r="B949" t="s">
        <v>441</v>
      </c>
      <c r="C949" t="s">
        <v>432</v>
      </c>
      <c r="D949" t="s">
        <v>2285</v>
      </c>
      <c r="E949">
        <v>4</v>
      </c>
      <c r="F949">
        <v>1.040602760221303E-4</v>
      </c>
      <c r="G949">
        <v>5.9036906806597277E-15</v>
      </c>
      <c r="H949">
        <v>1.9205844686518972E-6</v>
      </c>
      <c r="I949" t="s">
        <v>2266</v>
      </c>
      <c r="J949" t="s">
        <v>419</v>
      </c>
      <c r="K949" t="s">
        <v>925</v>
      </c>
      <c r="L949" t="s">
        <v>2295</v>
      </c>
    </row>
    <row r="950" spans="1:12" x14ac:dyDescent="0.25">
      <c r="A950" s="516">
        <v>925</v>
      </c>
      <c r="B950" t="s">
        <v>441</v>
      </c>
      <c r="C950" t="s">
        <v>432</v>
      </c>
      <c r="D950" t="s">
        <v>2285</v>
      </c>
      <c r="E950">
        <v>3</v>
      </c>
      <c r="F950">
        <v>7.5826381525251492E-4</v>
      </c>
      <c r="G950">
        <v>4.30188655144038E-14</v>
      </c>
      <c r="H950">
        <v>7.1066873184536906E-7</v>
      </c>
      <c r="I950" t="s">
        <v>2242</v>
      </c>
      <c r="J950" t="s">
        <v>462</v>
      </c>
      <c r="K950" t="s">
        <v>417</v>
      </c>
    </row>
    <row r="951" spans="1:12" hidden="1" x14ac:dyDescent="0.25">
      <c r="A951" s="516">
        <v>926</v>
      </c>
      <c r="B951" t="s">
        <v>441</v>
      </c>
      <c r="C951" t="s">
        <v>432</v>
      </c>
      <c r="D951" t="s">
        <v>2285</v>
      </c>
      <c r="E951">
        <v>4</v>
      </c>
      <c r="F951">
        <v>1.2486971928952429E-4</v>
      </c>
      <c r="G951">
        <v>7.0842806327880931E-15</v>
      </c>
      <c r="H951">
        <v>1.211620353323431E-7</v>
      </c>
      <c r="I951" t="s">
        <v>2243</v>
      </c>
      <c r="J951" t="s">
        <v>462</v>
      </c>
      <c r="K951" t="s">
        <v>417</v>
      </c>
      <c r="L951" t="s">
        <v>2295</v>
      </c>
    </row>
    <row r="952" spans="1:12" hidden="1" x14ac:dyDescent="0.25">
      <c r="A952" s="516">
        <v>927</v>
      </c>
      <c r="B952" t="s">
        <v>441</v>
      </c>
      <c r="C952" t="s">
        <v>432</v>
      </c>
      <c r="D952" t="s">
        <v>2285</v>
      </c>
      <c r="E952">
        <v>4</v>
      </c>
      <c r="F952">
        <v>4.1821616765868582E-7</v>
      </c>
      <c r="G952">
        <v>2.3726814745164891E-17</v>
      </c>
      <c r="H952">
        <v>1.953079858167785E-10</v>
      </c>
      <c r="I952" t="s">
        <v>2231</v>
      </c>
      <c r="L952" t="s">
        <v>2295</v>
      </c>
    </row>
    <row r="953" spans="1:12" hidden="1" x14ac:dyDescent="0.25">
      <c r="A953" s="516">
        <v>928</v>
      </c>
      <c r="B953" t="s">
        <v>441</v>
      </c>
      <c r="C953" t="s">
        <v>432</v>
      </c>
      <c r="D953" t="s">
        <v>2285</v>
      </c>
      <c r="E953">
        <v>4</v>
      </c>
      <c r="F953">
        <v>1.3443112959781419E-12</v>
      </c>
      <c r="G953">
        <v>7.6267317110363404E-23</v>
      </c>
      <c r="H953">
        <v>1.027239778012812E-15</v>
      </c>
      <c r="I953" t="s">
        <v>2231</v>
      </c>
      <c r="L953" t="s">
        <v>2295</v>
      </c>
    </row>
    <row r="954" spans="1:12" hidden="1" x14ac:dyDescent="0.25">
      <c r="A954" s="516">
        <v>929</v>
      </c>
      <c r="B954" t="s">
        <v>441</v>
      </c>
      <c r="C954" t="s">
        <v>432</v>
      </c>
      <c r="D954" t="s">
        <v>2285</v>
      </c>
      <c r="E954">
        <v>4</v>
      </c>
      <c r="F954">
        <v>1.6107325509640089E-13</v>
      </c>
      <c r="G954">
        <v>9.1382294124793335E-24</v>
      </c>
      <c r="H954">
        <v>1.2988089147288379E-16</v>
      </c>
      <c r="I954" t="s">
        <v>2231</v>
      </c>
      <c r="L954" t="s">
        <v>2295</v>
      </c>
    </row>
    <row r="955" spans="1:12" hidden="1" x14ac:dyDescent="0.25">
      <c r="A955" s="516">
        <v>930</v>
      </c>
      <c r="B955" t="s">
        <v>441</v>
      </c>
      <c r="C955" t="s">
        <v>432</v>
      </c>
      <c r="D955" t="s">
        <v>2285</v>
      </c>
      <c r="E955">
        <v>4</v>
      </c>
      <c r="F955">
        <v>0</v>
      </c>
      <c r="G955">
        <v>0</v>
      </c>
      <c r="H955">
        <v>6.6293371689284574E-13</v>
      </c>
      <c r="I955" t="s">
        <v>2231</v>
      </c>
      <c r="L955" t="s">
        <v>2295</v>
      </c>
    </row>
    <row r="956" spans="1:12" hidden="1" x14ac:dyDescent="0.25">
      <c r="A956" s="516">
        <v>931</v>
      </c>
      <c r="B956" t="s">
        <v>441</v>
      </c>
      <c r="C956" t="s">
        <v>432</v>
      </c>
      <c r="D956" t="s">
        <v>2285</v>
      </c>
      <c r="E956">
        <v>4</v>
      </c>
      <c r="F956">
        <v>5.6444110544093837E-4</v>
      </c>
      <c r="G956">
        <v>3.2022649000702927E-14</v>
      </c>
      <c r="H956">
        <v>4.2992950214197398E-7</v>
      </c>
      <c r="I956" t="s">
        <v>2244</v>
      </c>
      <c r="J956" t="s">
        <v>462</v>
      </c>
      <c r="K956" t="s">
        <v>417</v>
      </c>
      <c r="L956" t="s">
        <v>2295</v>
      </c>
    </row>
    <row r="957" spans="1:12" hidden="1" x14ac:dyDescent="0.25">
      <c r="A957" s="516">
        <v>932</v>
      </c>
      <c r="B957" t="s">
        <v>441</v>
      </c>
      <c r="C957" t="s">
        <v>432</v>
      </c>
      <c r="D957" t="s">
        <v>2285</v>
      </c>
      <c r="E957">
        <v>4</v>
      </c>
      <c r="F957">
        <v>7.5471764137539248E-6</v>
      </c>
      <c r="G957">
        <v>4.2817679101387611E-16</v>
      </c>
      <c r="H957">
        <v>2.4197016639519881E-8</v>
      </c>
      <c r="I957" t="s">
        <v>2231</v>
      </c>
      <c r="L957" t="s">
        <v>2295</v>
      </c>
    </row>
    <row r="958" spans="1:12" hidden="1" x14ac:dyDescent="0.25">
      <c r="A958" s="516">
        <v>933</v>
      </c>
      <c r="B958" t="s">
        <v>441</v>
      </c>
      <c r="C958" t="s">
        <v>432</v>
      </c>
      <c r="D958" t="s">
        <v>2285</v>
      </c>
      <c r="E958">
        <v>4</v>
      </c>
      <c r="F958">
        <v>6.635779017895399E-6</v>
      </c>
      <c r="G958">
        <v>3.7647014061864519E-16</v>
      </c>
      <c r="H958">
        <v>1.1160135859892259E-8</v>
      </c>
      <c r="I958" t="s">
        <v>2231</v>
      </c>
      <c r="L958" t="s">
        <v>2295</v>
      </c>
    </row>
    <row r="959" spans="1:12" hidden="1" x14ac:dyDescent="0.25">
      <c r="A959" s="516">
        <v>934</v>
      </c>
      <c r="B959" t="s">
        <v>441</v>
      </c>
      <c r="C959" t="s">
        <v>432</v>
      </c>
      <c r="D959" t="s">
        <v>2285</v>
      </c>
      <c r="E959">
        <v>4</v>
      </c>
      <c r="F959">
        <v>0</v>
      </c>
      <c r="G959">
        <v>0</v>
      </c>
      <c r="H959">
        <v>1.515269049822246E-12</v>
      </c>
      <c r="I959" t="s">
        <v>2231</v>
      </c>
      <c r="L959" t="s">
        <v>2295</v>
      </c>
    </row>
    <row r="960" spans="1:12" hidden="1" x14ac:dyDescent="0.25">
      <c r="A960" s="516">
        <v>935</v>
      </c>
      <c r="B960" t="s">
        <v>441</v>
      </c>
      <c r="C960" t="s">
        <v>432</v>
      </c>
      <c r="D960" t="s">
        <v>2285</v>
      </c>
      <c r="E960">
        <v>4</v>
      </c>
      <c r="F960">
        <v>1.9518933535542781E-8</v>
      </c>
      <c r="G960">
        <v>1.107374979340762E-18</v>
      </c>
      <c r="H960">
        <v>5.9726098922404826E-10</v>
      </c>
      <c r="I960" t="s">
        <v>2231</v>
      </c>
      <c r="L960" t="s">
        <v>2295</v>
      </c>
    </row>
    <row r="961" spans="1:12" hidden="1" x14ac:dyDescent="0.25">
      <c r="A961" s="516">
        <v>936</v>
      </c>
      <c r="B961" t="s">
        <v>441</v>
      </c>
      <c r="C961" t="s">
        <v>432</v>
      </c>
      <c r="D961" t="s">
        <v>2285</v>
      </c>
      <c r="E961">
        <v>4</v>
      </c>
      <c r="F961">
        <v>1.2558774104851691E-13</v>
      </c>
      <c r="G961">
        <v>7.1250164306267793E-24</v>
      </c>
      <c r="H961">
        <v>1.2988089147288379E-16</v>
      </c>
      <c r="I961" t="s">
        <v>2231</v>
      </c>
      <c r="L961" t="s">
        <v>2295</v>
      </c>
    </row>
    <row r="962" spans="1:12" hidden="1" x14ac:dyDescent="0.25">
      <c r="A962" s="516">
        <v>937</v>
      </c>
      <c r="B962" t="s">
        <v>441</v>
      </c>
      <c r="C962" t="s">
        <v>432</v>
      </c>
      <c r="D962" t="s">
        <v>2285</v>
      </c>
      <c r="E962">
        <v>4</v>
      </c>
      <c r="F962">
        <v>0</v>
      </c>
      <c r="G962">
        <v>0</v>
      </c>
      <c r="H962">
        <v>8.4740783159740807E-9</v>
      </c>
      <c r="I962" t="s">
        <v>2231</v>
      </c>
      <c r="L962" t="s">
        <v>2295</v>
      </c>
    </row>
    <row r="963" spans="1:12" hidden="1" x14ac:dyDescent="0.25">
      <c r="A963" s="516">
        <v>938</v>
      </c>
      <c r="B963" t="s">
        <v>441</v>
      </c>
      <c r="C963" t="s">
        <v>432</v>
      </c>
      <c r="D963" t="s">
        <v>2285</v>
      </c>
      <c r="E963">
        <v>4</v>
      </c>
      <c r="F963">
        <v>2.103015975525393E-6</v>
      </c>
      <c r="G963">
        <v>1.1931119434420301E-16</v>
      </c>
      <c r="H963">
        <v>8.7640823681785851E-10</v>
      </c>
      <c r="I963" t="s">
        <v>2231</v>
      </c>
      <c r="L963" t="s">
        <v>2295</v>
      </c>
    </row>
    <row r="964" spans="1:12" hidden="1" x14ac:dyDescent="0.25">
      <c r="A964" s="516">
        <v>939</v>
      </c>
      <c r="B964" t="s">
        <v>441</v>
      </c>
      <c r="C964" t="s">
        <v>432</v>
      </c>
      <c r="D964" t="s">
        <v>2285</v>
      </c>
      <c r="E964">
        <v>4</v>
      </c>
      <c r="F964">
        <v>4.5454260371937762E-13</v>
      </c>
      <c r="G964">
        <v>2.578773607106526E-23</v>
      </c>
      <c r="H964">
        <v>2.6369756756143838E-16</v>
      </c>
      <c r="I964" t="s">
        <v>2231</v>
      </c>
      <c r="L964" t="s">
        <v>2295</v>
      </c>
    </row>
    <row r="965" spans="1:12" hidden="1" x14ac:dyDescent="0.25">
      <c r="A965" s="516">
        <v>940</v>
      </c>
      <c r="B965" t="s">
        <v>441</v>
      </c>
      <c r="C965" t="s">
        <v>432</v>
      </c>
      <c r="D965" t="s">
        <v>2285</v>
      </c>
      <c r="E965">
        <v>4</v>
      </c>
      <c r="F965">
        <v>1.7602241876400601E-6</v>
      </c>
      <c r="G965">
        <v>9.9863459234265837E-17</v>
      </c>
      <c r="H965">
        <v>4.840468409058872E-9</v>
      </c>
      <c r="I965" t="s">
        <v>2231</v>
      </c>
      <c r="L965" t="s">
        <v>2295</v>
      </c>
    </row>
    <row r="966" spans="1:12" hidden="1" x14ac:dyDescent="0.25">
      <c r="A966" s="516">
        <v>941</v>
      </c>
      <c r="B966" t="s">
        <v>441</v>
      </c>
      <c r="C966" t="s">
        <v>432</v>
      </c>
      <c r="D966" t="s">
        <v>2285</v>
      </c>
      <c r="E966">
        <v>4</v>
      </c>
      <c r="F966">
        <v>4.7667003017257311E-11</v>
      </c>
      <c r="G966">
        <v>2.704309965775162E-21</v>
      </c>
      <c r="H966">
        <v>1.5831594325221111E-12</v>
      </c>
      <c r="I966" t="s">
        <v>2231</v>
      </c>
      <c r="L966" t="s">
        <v>2295</v>
      </c>
    </row>
    <row r="967" spans="1:12" hidden="1" x14ac:dyDescent="0.25">
      <c r="A967" s="516">
        <v>942</v>
      </c>
      <c r="B967" t="s">
        <v>441</v>
      </c>
      <c r="C967" t="s">
        <v>432</v>
      </c>
      <c r="D967" t="s">
        <v>2285</v>
      </c>
      <c r="E967">
        <v>4</v>
      </c>
      <c r="F967">
        <v>6.7252668652341006E-6</v>
      </c>
      <c r="G967">
        <v>3.8154708823555751E-16</v>
      </c>
      <c r="H967">
        <v>1.5637872242419301E-9</v>
      </c>
      <c r="I967" t="s">
        <v>2231</v>
      </c>
      <c r="L967" t="s">
        <v>2295</v>
      </c>
    </row>
    <row r="968" spans="1:12" hidden="1" x14ac:dyDescent="0.25">
      <c r="A968" s="516">
        <v>943</v>
      </c>
      <c r="B968" t="s">
        <v>441</v>
      </c>
      <c r="C968" t="s">
        <v>432</v>
      </c>
      <c r="D968" t="s">
        <v>2285</v>
      </c>
      <c r="E968">
        <v>4</v>
      </c>
      <c r="F968">
        <v>2.7407825987376441E-5</v>
      </c>
      <c r="G968">
        <v>1.554938474547257E-15</v>
      </c>
      <c r="H968">
        <v>1.068306032931589E-7</v>
      </c>
      <c r="I968" t="s">
        <v>2231</v>
      </c>
      <c r="L968" t="s">
        <v>2295</v>
      </c>
    </row>
    <row r="969" spans="1:12" hidden="1" x14ac:dyDescent="0.25">
      <c r="A969" s="516">
        <v>944</v>
      </c>
      <c r="B969" t="s">
        <v>441</v>
      </c>
      <c r="C969" t="s">
        <v>432</v>
      </c>
      <c r="D969" t="s">
        <v>2285</v>
      </c>
      <c r="E969">
        <v>4</v>
      </c>
      <c r="F969">
        <v>1.394378225945037E-6</v>
      </c>
      <c r="G969">
        <v>7.9107783032171468E-17</v>
      </c>
      <c r="H969">
        <v>8.3836450444873882E-10</v>
      </c>
      <c r="I969" t="s">
        <v>2231</v>
      </c>
      <c r="L969" t="s">
        <v>2295</v>
      </c>
    </row>
    <row r="970" spans="1:12" hidden="1" x14ac:dyDescent="0.25">
      <c r="A970" s="516">
        <v>945</v>
      </c>
      <c r="B970" t="s">
        <v>441</v>
      </c>
      <c r="C970" t="s">
        <v>432</v>
      </c>
      <c r="D970" t="s">
        <v>2285</v>
      </c>
      <c r="E970">
        <v>4</v>
      </c>
      <c r="F970">
        <v>2.4044031898459579E-6</v>
      </c>
      <c r="G970">
        <v>1.3640990824801689E-16</v>
      </c>
      <c r="H970">
        <v>2.4503857874028319E-7</v>
      </c>
      <c r="I970" t="s">
        <v>2231</v>
      </c>
      <c r="L970" t="s">
        <v>2295</v>
      </c>
    </row>
    <row r="971" spans="1:12" hidden="1" x14ac:dyDescent="0.25">
      <c r="A971" s="516">
        <v>946</v>
      </c>
      <c r="B971" t="s">
        <v>441</v>
      </c>
      <c r="C971" t="s">
        <v>432</v>
      </c>
      <c r="D971" t="s">
        <v>2285</v>
      </c>
      <c r="E971">
        <v>4</v>
      </c>
      <c r="F971">
        <v>3.2471502794020173E-7</v>
      </c>
      <c r="G971">
        <v>1.8422179505972519E-17</v>
      </c>
      <c r="H971">
        <v>2.57972749659869E-8</v>
      </c>
      <c r="I971" t="s">
        <v>2231</v>
      </c>
      <c r="L971" t="s">
        <v>2295</v>
      </c>
    </row>
    <row r="972" spans="1:12" hidden="1" x14ac:dyDescent="0.25">
      <c r="A972" s="516">
        <v>947</v>
      </c>
      <c r="B972" t="s">
        <v>441</v>
      </c>
      <c r="C972" t="s">
        <v>432</v>
      </c>
      <c r="D972" t="s">
        <v>2285</v>
      </c>
      <c r="E972">
        <v>4</v>
      </c>
      <c r="F972">
        <v>1.1543506308542959E-5</v>
      </c>
      <c r="G972">
        <v>6.5490207426884641E-16</v>
      </c>
      <c r="H972">
        <v>2.5683567968891642E-7</v>
      </c>
      <c r="I972" t="s">
        <v>2231</v>
      </c>
      <c r="L972" t="s">
        <v>2295</v>
      </c>
    </row>
    <row r="973" spans="1:12" hidden="1" x14ac:dyDescent="0.25">
      <c r="A973" s="516">
        <v>948</v>
      </c>
      <c r="B973" t="s">
        <v>441</v>
      </c>
      <c r="C973" t="s">
        <v>432</v>
      </c>
      <c r="D973" t="s">
        <v>2285</v>
      </c>
      <c r="E973">
        <v>4</v>
      </c>
      <c r="F973">
        <v>6.6889061711753558E-7</v>
      </c>
      <c r="G973">
        <v>3.7948422333780067E-17</v>
      </c>
      <c r="H973">
        <v>2.581859502794226E-7</v>
      </c>
      <c r="I973" t="s">
        <v>2231</v>
      </c>
      <c r="L973" t="s">
        <v>2295</v>
      </c>
    </row>
    <row r="974" spans="1:12" x14ac:dyDescent="0.25">
      <c r="A974" s="516">
        <v>949</v>
      </c>
      <c r="B974" t="s">
        <v>441</v>
      </c>
      <c r="C974" t="s">
        <v>432</v>
      </c>
      <c r="D974" t="s">
        <v>2285</v>
      </c>
      <c r="E974">
        <v>3</v>
      </c>
      <c r="F974">
        <v>8.3501977138946307E-5</v>
      </c>
      <c r="G974">
        <v>4.7373489971045237E-15</v>
      </c>
      <c r="H974">
        <v>5.3300154888402678E-6</v>
      </c>
      <c r="I974" t="s">
        <v>2231</v>
      </c>
    </row>
    <row r="975" spans="1:12" x14ac:dyDescent="0.25">
      <c r="A975" s="516">
        <v>950</v>
      </c>
      <c r="B975" t="s">
        <v>441</v>
      </c>
      <c r="C975" t="s">
        <v>432</v>
      </c>
      <c r="D975" t="s">
        <v>2285</v>
      </c>
      <c r="E975">
        <v>3</v>
      </c>
      <c r="F975">
        <v>1.296477316911318E-5</v>
      </c>
      <c r="G975">
        <v>7.3553534029722501E-16</v>
      </c>
      <c r="H975">
        <v>6.6625193610503347E-7</v>
      </c>
      <c r="I975" t="s">
        <v>2231</v>
      </c>
    </row>
    <row r="976" spans="1:12" x14ac:dyDescent="0.25">
      <c r="A976" s="516">
        <v>951</v>
      </c>
      <c r="B976" t="s">
        <v>441</v>
      </c>
      <c r="C976" t="s">
        <v>432</v>
      </c>
      <c r="D976" t="s">
        <v>2285</v>
      </c>
      <c r="E976">
        <v>3</v>
      </c>
      <c r="F976">
        <v>1.230709298177773E-3</v>
      </c>
      <c r="G976">
        <v>6.9822292348217545E-14</v>
      </c>
      <c r="H976">
        <v>7.5508552758570464E-7</v>
      </c>
      <c r="I976" t="s">
        <v>2245</v>
      </c>
      <c r="J976" t="s">
        <v>462</v>
      </c>
      <c r="K976" t="s">
        <v>417</v>
      </c>
    </row>
    <row r="977" spans="1:12" hidden="1" x14ac:dyDescent="0.25">
      <c r="A977" s="516">
        <v>952</v>
      </c>
      <c r="B977" t="s">
        <v>441</v>
      </c>
      <c r="C977" t="s">
        <v>432</v>
      </c>
      <c r="D977" t="s">
        <v>2285</v>
      </c>
      <c r="E977">
        <v>4</v>
      </c>
      <c r="F977">
        <v>9.3541431633743994E-4</v>
      </c>
      <c r="G977">
        <v>5.3069211355374427E-14</v>
      </c>
      <c r="H977">
        <v>6.1113945710942813E-7</v>
      </c>
      <c r="I977" t="s">
        <v>2246</v>
      </c>
      <c r="J977" t="s">
        <v>1992</v>
      </c>
      <c r="K977" t="s">
        <v>417</v>
      </c>
      <c r="L977" t="s">
        <v>2295</v>
      </c>
    </row>
    <row r="978" spans="1:12" hidden="1" x14ac:dyDescent="0.25">
      <c r="A978" s="516">
        <v>953</v>
      </c>
      <c r="B978" t="s">
        <v>441</v>
      </c>
      <c r="C978" t="s">
        <v>432</v>
      </c>
      <c r="D978" t="s">
        <v>2285</v>
      </c>
      <c r="E978">
        <v>4</v>
      </c>
      <c r="F978">
        <v>2.7684390802341382E-4</v>
      </c>
      <c r="G978">
        <v>1.570628929955617E-14</v>
      </c>
      <c r="H978">
        <v>1.4394607047618739E-7</v>
      </c>
      <c r="I978" t="s">
        <v>2246</v>
      </c>
      <c r="J978" t="s">
        <v>419</v>
      </c>
      <c r="K978" t="s">
        <v>417</v>
      </c>
      <c r="L978" t="s">
        <v>2295</v>
      </c>
    </row>
    <row r="979" spans="1:12" hidden="1" x14ac:dyDescent="0.25">
      <c r="A979" s="516">
        <v>954</v>
      </c>
      <c r="B979" t="s">
        <v>441</v>
      </c>
      <c r="C979" t="s">
        <v>432</v>
      </c>
      <c r="D979" t="s">
        <v>2285</v>
      </c>
      <c r="E979">
        <v>4</v>
      </c>
      <c r="F979">
        <v>2.9648200255876418E-18</v>
      </c>
      <c r="G979">
        <v>1.6820424684605571E-28</v>
      </c>
      <c r="H979">
        <v>2.214554930402883E-20</v>
      </c>
      <c r="I979" t="s">
        <v>2231</v>
      </c>
      <c r="L979" t="s">
        <v>2295</v>
      </c>
    </row>
    <row r="980" spans="1:12" hidden="1" x14ac:dyDescent="0.25">
      <c r="A980" s="516">
        <v>955</v>
      </c>
      <c r="B980" t="s">
        <v>441</v>
      </c>
      <c r="C980" t="s">
        <v>432</v>
      </c>
      <c r="D980" t="s">
        <v>2285</v>
      </c>
      <c r="E980">
        <v>4</v>
      </c>
      <c r="F980">
        <v>4.0117776211065986E-18</v>
      </c>
      <c r="G980">
        <v>2.2760168490778742E-28</v>
      </c>
      <c r="H980">
        <v>2.214554930402883E-20</v>
      </c>
      <c r="I980" t="s">
        <v>2231</v>
      </c>
      <c r="L980" t="s">
        <v>2295</v>
      </c>
    </row>
    <row r="981" spans="1:12" hidden="1" x14ac:dyDescent="0.25">
      <c r="A981" s="516">
        <v>956</v>
      </c>
      <c r="B981" t="s">
        <v>441</v>
      </c>
      <c r="C981" t="s">
        <v>432</v>
      </c>
      <c r="D981" t="s">
        <v>2285</v>
      </c>
      <c r="E981">
        <v>4</v>
      </c>
      <c r="F981">
        <v>2.131524500696782E-18</v>
      </c>
      <c r="G981">
        <v>1.209285791985145E-28</v>
      </c>
      <c r="H981">
        <v>2.214554930402883E-20</v>
      </c>
      <c r="I981" t="s">
        <v>2231</v>
      </c>
      <c r="L981" t="s">
        <v>2295</v>
      </c>
    </row>
    <row r="982" spans="1:12" hidden="1" x14ac:dyDescent="0.25">
      <c r="A982" s="516">
        <v>957</v>
      </c>
      <c r="B982" t="s">
        <v>441</v>
      </c>
      <c r="C982" t="s">
        <v>432</v>
      </c>
      <c r="D982" t="s">
        <v>2285</v>
      </c>
      <c r="E982">
        <v>4</v>
      </c>
      <c r="F982">
        <v>3.3356575743322872E-18</v>
      </c>
      <c r="G982">
        <v>1.8924311262896849E-28</v>
      </c>
      <c r="H982">
        <v>2.214554930402883E-20</v>
      </c>
      <c r="I982" t="s">
        <v>2231</v>
      </c>
      <c r="L982" t="s">
        <v>2295</v>
      </c>
    </row>
    <row r="983" spans="1:12" hidden="1" x14ac:dyDescent="0.25">
      <c r="A983" s="516">
        <v>958</v>
      </c>
      <c r="B983" t="s">
        <v>441</v>
      </c>
      <c r="C983" t="s">
        <v>432</v>
      </c>
      <c r="D983" t="s">
        <v>2285</v>
      </c>
      <c r="E983">
        <v>4</v>
      </c>
      <c r="F983">
        <v>2.1390245097599322E-6</v>
      </c>
      <c r="G983">
        <v>1.213540800265305E-16</v>
      </c>
      <c r="H983">
        <v>2.1799319181399291E-7</v>
      </c>
      <c r="I983" t="s">
        <v>2231</v>
      </c>
      <c r="L983" t="s">
        <v>2295</v>
      </c>
    </row>
    <row r="984" spans="1:12" hidden="1" x14ac:dyDescent="0.25">
      <c r="A984" s="516">
        <v>959</v>
      </c>
      <c r="B984" t="s">
        <v>441</v>
      </c>
      <c r="C984" t="s">
        <v>432</v>
      </c>
      <c r="D984" t="s">
        <v>2285</v>
      </c>
      <c r="E984">
        <v>4</v>
      </c>
      <c r="F984">
        <v>1.5285403829421509E-5</v>
      </c>
      <c r="G984">
        <v>8.6719255019739768E-16</v>
      </c>
      <c r="H984">
        <v>3.4009052162460141E-7</v>
      </c>
      <c r="I984" t="s">
        <v>2231</v>
      </c>
      <c r="L984" t="s">
        <v>2295</v>
      </c>
    </row>
    <row r="985" spans="1:12" hidden="1" x14ac:dyDescent="0.25">
      <c r="A985" s="516">
        <v>960</v>
      </c>
      <c r="B985" t="s">
        <v>441</v>
      </c>
      <c r="C985" t="s">
        <v>432</v>
      </c>
      <c r="D985" t="s">
        <v>2285</v>
      </c>
      <c r="E985">
        <v>4</v>
      </c>
      <c r="F985">
        <v>1.0266265018022001E-6</v>
      </c>
      <c r="G985">
        <v>5.8243986494125686E-17</v>
      </c>
      <c r="H985">
        <v>3.9626888487697791E-7</v>
      </c>
      <c r="I985" t="s">
        <v>2231</v>
      </c>
      <c r="L985" t="s">
        <v>2295</v>
      </c>
    </row>
    <row r="986" spans="1:12" x14ac:dyDescent="0.25">
      <c r="A986" s="516">
        <v>961</v>
      </c>
      <c r="B986" t="s">
        <v>441</v>
      </c>
      <c r="C986" t="s">
        <v>432</v>
      </c>
      <c r="D986" t="s">
        <v>2285</v>
      </c>
      <c r="E986">
        <v>3</v>
      </c>
      <c r="F986">
        <v>6.39014796406554E-6</v>
      </c>
      <c r="G986">
        <v>3.625346618864192E-16</v>
      </c>
      <c r="H986">
        <v>-7.1066873184536906E-7</v>
      </c>
      <c r="I986" t="s">
        <v>2231</v>
      </c>
    </row>
    <row r="987" spans="1:12" x14ac:dyDescent="0.25">
      <c r="A987" s="516">
        <v>962</v>
      </c>
      <c r="B987" t="s">
        <v>441</v>
      </c>
      <c r="C987" t="s">
        <v>432</v>
      </c>
      <c r="D987" t="s">
        <v>2285</v>
      </c>
      <c r="E987">
        <v>3</v>
      </c>
      <c r="F987">
        <v>5.6175705225821096E-6</v>
      </c>
      <c r="G987">
        <v>3.1870373604490341E-16</v>
      </c>
      <c r="H987">
        <v>-7.1066873184536906E-7</v>
      </c>
      <c r="I987" t="s">
        <v>2231</v>
      </c>
    </row>
    <row r="988" spans="1:12" x14ac:dyDescent="0.25">
      <c r="A988" s="516">
        <v>963</v>
      </c>
      <c r="B988" t="s">
        <v>441</v>
      </c>
      <c r="C988" t="s">
        <v>432</v>
      </c>
      <c r="D988" t="s">
        <v>2285</v>
      </c>
      <c r="E988">
        <v>3</v>
      </c>
      <c r="F988">
        <v>4.8476421176795039E-4</v>
      </c>
      <c r="G988">
        <v>2.7502309898958691E-14</v>
      </c>
      <c r="H988">
        <v>-8.7634337995682083E-5</v>
      </c>
      <c r="I988" t="s">
        <v>533</v>
      </c>
      <c r="J988" t="s">
        <v>432</v>
      </c>
      <c r="K988" t="s">
        <v>417</v>
      </c>
    </row>
    <row r="989" spans="1:12" hidden="1" x14ac:dyDescent="0.25">
      <c r="A989" s="516">
        <v>964</v>
      </c>
      <c r="B989" t="s">
        <v>441</v>
      </c>
      <c r="C989" t="s">
        <v>432</v>
      </c>
      <c r="D989" t="s">
        <v>2285</v>
      </c>
      <c r="E989">
        <v>4</v>
      </c>
      <c r="F989">
        <v>-2.6097178697618418E-4</v>
      </c>
      <c r="G989">
        <v>-1.480581030131764E-14</v>
      </c>
      <c r="H989">
        <v>6.7460078776333243E-5</v>
      </c>
      <c r="I989" t="s">
        <v>2287</v>
      </c>
      <c r="J989" t="s">
        <v>432</v>
      </c>
      <c r="K989" t="s">
        <v>417</v>
      </c>
      <c r="L989" t="s">
        <v>2295</v>
      </c>
    </row>
    <row r="990" spans="1:12" hidden="1" x14ac:dyDescent="0.25">
      <c r="A990" s="516">
        <v>965</v>
      </c>
      <c r="B990" t="s">
        <v>441</v>
      </c>
      <c r="C990" t="s">
        <v>432</v>
      </c>
      <c r="D990" t="s">
        <v>2285</v>
      </c>
      <c r="E990">
        <v>4</v>
      </c>
      <c r="F990">
        <v>-1.004102388125373E-4</v>
      </c>
      <c r="G990">
        <v>-5.6966117502352807E-15</v>
      </c>
      <c r="H990">
        <v>2.017425921934883E-5</v>
      </c>
      <c r="I990" t="s">
        <v>2288</v>
      </c>
      <c r="J990" t="s">
        <v>432</v>
      </c>
      <c r="K990" t="s">
        <v>417</v>
      </c>
      <c r="L990" t="s">
        <v>2295</v>
      </c>
    </row>
    <row r="991" spans="1:12" hidden="1" x14ac:dyDescent="0.25">
      <c r="A991" s="516">
        <v>966</v>
      </c>
      <c r="B991" t="s">
        <v>441</v>
      </c>
      <c r="C991" t="s">
        <v>432</v>
      </c>
      <c r="D991" t="s">
        <v>2285</v>
      </c>
      <c r="E991">
        <v>4</v>
      </c>
      <c r="F991">
        <v>-1.021957496216359E-6</v>
      </c>
      <c r="G991">
        <v>-5.7979098048517307E-17</v>
      </c>
      <c r="H991">
        <v>-3.1197824326462818E-7</v>
      </c>
      <c r="I991" t="s">
        <v>2231</v>
      </c>
      <c r="L991" t="s">
        <v>2295</v>
      </c>
    </row>
    <row r="992" spans="1:12" hidden="1" x14ac:dyDescent="0.25">
      <c r="A992" s="516">
        <v>967</v>
      </c>
      <c r="B992" t="s">
        <v>441</v>
      </c>
      <c r="C992" t="s">
        <v>432</v>
      </c>
      <c r="D992" t="s">
        <v>2285</v>
      </c>
      <c r="E992">
        <v>4</v>
      </c>
      <c r="F992">
        <v>-1.2236023146891049E-4</v>
      </c>
      <c r="G992">
        <v>-6.9419089187573132E-15</v>
      </c>
      <c r="H992">
        <v>-2.2583368901487269E-6</v>
      </c>
      <c r="I992" t="s">
        <v>2266</v>
      </c>
      <c r="J992" t="s">
        <v>419</v>
      </c>
      <c r="K992" t="s">
        <v>925</v>
      </c>
      <c r="L992" t="s">
        <v>2295</v>
      </c>
    </row>
    <row r="993" spans="1:12" x14ac:dyDescent="0.25">
      <c r="A993" s="516">
        <v>968</v>
      </c>
      <c r="B993" t="s">
        <v>441</v>
      </c>
      <c r="C993" t="s">
        <v>432</v>
      </c>
      <c r="D993" t="s">
        <v>2285</v>
      </c>
      <c r="E993">
        <v>3</v>
      </c>
      <c r="F993">
        <v>1.115355375026623E-4</v>
      </c>
      <c r="G993">
        <v>6.3277874947862462E-15</v>
      </c>
      <c r="H993">
        <v>7.1066873184536906E-7</v>
      </c>
      <c r="I993" t="s">
        <v>2289</v>
      </c>
      <c r="J993" t="s">
        <v>419</v>
      </c>
      <c r="K993" t="s">
        <v>417</v>
      </c>
    </row>
    <row r="994" spans="1:12" hidden="1" x14ac:dyDescent="0.25">
      <c r="A994" s="516">
        <v>969</v>
      </c>
      <c r="B994" t="s">
        <v>441</v>
      </c>
      <c r="C994" t="s">
        <v>432</v>
      </c>
      <c r="D994" t="s">
        <v>2285</v>
      </c>
      <c r="E994">
        <v>4</v>
      </c>
      <c r="F994">
        <v>1.1304339535733101E-5</v>
      </c>
      <c r="G994">
        <v>6.4133333601698213E-16</v>
      </c>
      <c r="H994">
        <v>8.5280247821444296E-9</v>
      </c>
      <c r="I994" t="s">
        <v>2231</v>
      </c>
      <c r="L994" t="s">
        <v>2295</v>
      </c>
    </row>
    <row r="995" spans="1:12" hidden="1" x14ac:dyDescent="0.25">
      <c r="A995" s="516">
        <v>970</v>
      </c>
      <c r="B995" t="s">
        <v>441</v>
      </c>
      <c r="C995" t="s">
        <v>432</v>
      </c>
      <c r="D995" t="s">
        <v>2285</v>
      </c>
      <c r="E995">
        <v>4</v>
      </c>
      <c r="F995">
        <v>3.469798030927326E-8</v>
      </c>
      <c r="G995">
        <v>1.9685335347948439E-18</v>
      </c>
      <c r="H995">
        <v>7.1066873184536903E-11</v>
      </c>
      <c r="I995" t="s">
        <v>2231</v>
      </c>
      <c r="L995" t="s">
        <v>2295</v>
      </c>
    </row>
    <row r="996" spans="1:12" hidden="1" x14ac:dyDescent="0.25">
      <c r="A996" s="516">
        <v>971</v>
      </c>
      <c r="B996" t="s">
        <v>441</v>
      </c>
      <c r="C996" t="s">
        <v>432</v>
      </c>
      <c r="D996" t="s">
        <v>2285</v>
      </c>
      <c r="E996">
        <v>4</v>
      </c>
      <c r="F996">
        <v>3.842774721289301E-5</v>
      </c>
      <c r="G996">
        <v>2.180135799863314E-15</v>
      </c>
      <c r="H996">
        <v>3.8873579631941689E-7</v>
      </c>
      <c r="I996" t="s">
        <v>2231</v>
      </c>
      <c r="L996" t="s">
        <v>2295</v>
      </c>
    </row>
    <row r="997" spans="1:12" hidden="1" x14ac:dyDescent="0.25">
      <c r="A997" s="516">
        <v>972</v>
      </c>
      <c r="B997" t="s">
        <v>441</v>
      </c>
      <c r="C997" t="s">
        <v>432</v>
      </c>
      <c r="D997" t="s">
        <v>2285</v>
      </c>
      <c r="E997">
        <v>4</v>
      </c>
      <c r="F997">
        <v>9.0808869115228076E-8</v>
      </c>
      <c r="G997">
        <v>5.1518936409779267E-18</v>
      </c>
      <c r="H997">
        <v>-3.4112099128577709E-9</v>
      </c>
      <c r="I997" t="s">
        <v>2231</v>
      </c>
      <c r="L997" t="s">
        <v>2295</v>
      </c>
    </row>
    <row r="998" spans="1:12" hidden="1" x14ac:dyDescent="0.25">
      <c r="A998" s="516">
        <v>973</v>
      </c>
      <c r="B998" t="s">
        <v>441</v>
      </c>
      <c r="C998" t="s">
        <v>432</v>
      </c>
      <c r="D998" t="s">
        <v>2285</v>
      </c>
      <c r="E998">
        <v>4</v>
      </c>
      <c r="F998">
        <v>5.6491838391594849E-5</v>
      </c>
      <c r="G998">
        <v>3.2049726619489929E-15</v>
      </c>
      <c r="H998">
        <v>1.349559921774356E-6</v>
      </c>
      <c r="I998" t="s">
        <v>2231</v>
      </c>
      <c r="L998" t="s">
        <v>2295</v>
      </c>
    </row>
    <row r="999" spans="1:12" hidden="1" x14ac:dyDescent="0.25">
      <c r="A999" s="516">
        <v>974</v>
      </c>
      <c r="B999" t="s">
        <v>441</v>
      </c>
      <c r="C999" t="s">
        <v>432</v>
      </c>
      <c r="D999" t="s">
        <v>2285</v>
      </c>
      <c r="E999">
        <v>4</v>
      </c>
      <c r="F999">
        <v>8.2330471621977297E-8</v>
      </c>
      <c r="G999">
        <v>4.6708855350875629E-18</v>
      </c>
      <c r="H999">
        <v>9.7894617811699588E-9</v>
      </c>
      <c r="I999" t="s">
        <v>2231</v>
      </c>
      <c r="L999" t="s">
        <v>2295</v>
      </c>
    </row>
    <row r="1000" spans="1:12" hidden="1" x14ac:dyDescent="0.25">
      <c r="A1000" s="516">
        <v>975</v>
      </c>
      <c r="B1000" t="s">
        <v>441</v>
      </c>
      <c r="C1000" t="s">
        <v>432</v>
      </c>
      <c r="D1000" t="s">
        <v>2285</v>
      </c>
      <c r="E1000">
        <v>4</v>
      </c>
      <c r="F1000">
        <v>4.30626655454903E-6</v>
      </c>
      <c r="G1000">
        <v>2.443090360544609E-16</v>
      </c>
      <c r="H1000">
        <v>2.7005411810124018E-9</v>
      </c>
      <c r="I1000" t="s">
        <v>2231</v>
      </c>
      <c r="L1000" t="s">
        <v>2295</v>
      </c>
    </row>
    <row r="1001" spans="1:12" hidden="1" x14ac:dyDescent="0.25">
      <c r="A1001" s="516">
        <v>976</v>
      </c>
      <c r="B1001" t="s">
        <v>441</v>
      </c>
      <c r="C1001" t="s">
        <v>432</v>
      </c>
      <c r="D1001" t="s">
        <v>2285</v>
      </c>
      <c r="E1001">
        <v>4</v>
      </c>
      <c r="F1001">
        <v>5.3859499464999293E-8</v>
      </c>
      <c r="G1001">
        <v>3.0556311900315531E-18</v>
      </c>
      <c r="H1001">
        <v>-4.6193467569948994E-9</v>
      </c>
      <c r="I1001" t="s">
        <v>2231</v>
      </c>
      <c r="L1001" t="s">
        <v>2295</v>
      </c>
    </row>
    <row r="1002" spans="1:12" hidden="1" x14ac:dyDescent="0.25">
      <c r="A1002" s="516">
        <v>977</v>
      </c>
      <c r="B1002" t="s">
        <v>441</v>
      </c>
      <c r="C1002" t="s">
        <v>432</v>
      </c>
      <c r="D1002" t="s">
        <v>2285</v>
      </c>
      <c r="E1002">
        <v>4</v>
      </c>
      <c r="F1002">
        <v>5.0208928590591361E-7</v>
      </c>
      <c r="G1002">
        <v>2.8485219830009423E-17</v>
      </c>
      <c r="H1002">
        <v>2.8426749273814761E-10</v>
      </c>
      <c r="I1002" t="s">
        <v>2231</v>
      </c>
      <c r="L1002" t="s">
        <v>2295</v>
      </c>
    </row>
    <row r="1003" spans="1:12" hidden="1" x14ac:dyDescent="0.25">
      <c r="A1003" s="516">
        <v>978</v>
      </c>
      <c r="B1003" t="s">
        <v>441</v>
      </c>
      <c r="C1003" t="s">
        <v>432</v>
      </c>
      <c r="D1003" t="s">
        <v>2285</v>
      </c>
      <c r="E1003">
        <v>4</v>
      </c>
      <c r="F1003">
        <v>6.0328830563758345E-8</v>
      </c>
      <c r="G1003">
        <v>3.4226581784062859E-18</v>
      </c>
      <c r="H1003">
        <v>3.3543564143101421E-15</v>
      </c>
      <c r="I1003" t="s">
        <v>2231</v>
      </c>
      <c r="L1003" t="s">
        <v>2295</v>
      </c>
    </row>
    <row r="1004" spans="1:12" hidden="1" x14ac:dyDescent="0.25">
      <c r="A1004" s="516">
        <v>979</v>
      </c>
      <c r="B1004" t="s">
        <v>441</v>
      </c>
      <c r="C1004" t="s">
        <v>432</v>
      </c>
      <c r="D1004" t="s">
        <v>2285</v>
      </c>
      <c r="E1004">
        <v>4</v>
      </c>
      <c r="F1004">
        <v>2.5730544500938231E-9</v>
      </c>
      <c r="G1004">
        <v>1.459780634698528E-19</v>
      </c>
      <c r="H1004">
        <v>1.3147371539139329E-13</v>
      </c>
      <c r="I1004" t="s">
        <v>2231</v>
      </c>
      <c r="L1004" t="s">
        <v>2295</v>
      </c>
    </row>
    <row r="1005" spans="1:12" hidden="1" x14ac:dyDescent="0.25">
      <c r="A1005" s="516">
        <v>980</v>
      </c>
      <c r="B1005" t="s">
        <v>441</v>
      </c>
      <c r="C1005" t="s">
        <v>432</v>
      </c>
      <c r="D1005" t="s">
        <v>2285</v>
      </c>
      <c r="E1005">
        <v>4</v>
      </c>
      <c r="F1005">
        <v>8.9952962105025937E-8</v>
      </c>
      <c r="G1005">
        <v>5.1033351474508947E-18</v>
      </c>
      <c r="H1005">
        <v>-6.1229568951179179E-9</v>
      </c>
      <c r="I1005" t="s">
        <v>2231</v>
      </c>
      <c r="L1005" t="s">
        <v>2295</v>
      </c>
    </row>
    <row r="1006" spans="1:12" hidden="1" x14ac:dyDescent="0.25">
      <c r="A1006" s="516">
        <v>981</v>
      </c>
      <c r="B1006" t="s">
        <v>441</v>
      </c>
      <c r="C1006" t="s">
        <v>432</v>
      </c>
      <c r="D1006" t="s">
        <v>2285</v>
      </c>
      <c r="E1006">
        <v>4</v>
      </c>
      <c r="F1006">
        <v>2.5831025014616491E-9</v>
      </c>
      <c r="G1006">
        <v>1.4654812333790859E-19</v>
      </c>
      <c r="H1006">
        <v>-2.8727506612731038E-10</v>
      </c>
      <c r="I1006" t="s">
        <v>2231</v>
      </c>
      <c r="L1006" t="s">
        <v>2295</v>
      </c>
    </row>
    <row r="1007" spans="1:12" hidden="1" x14ac:dyDescent="0.25">
      <c r="A1007" s="516">
        <v>982</v>
      </c>
      <c r="B1007" t="s">
        <v>441</v>
      </c>
      <c r="C1007" t="s">
        <v>432</v>
      </c>
      <c r="D1007" t="s">
        <v>2285</v>
      </c>
      <c r="E1007">
        <v>4</v>
      </c>
      <c r="F1007">
        <v>3.0199094858901912E-8</v>
      </c>
      <c r="G1007">
        <v>1.713296578657378E-18</v>
      </c>
      <c r="H1007">
        <v>3.5533436592268452E-10</v>
      </c>
      <c r="I1007" t="s">
        <v>2231</v>
      </c>
      <c r="L1007" t="s">
        <v>2295</v>
      </c>
    </row>
    <row r="1008" spans="1:12" hidden="1" x14ac:dyDescent="0.25">
      <c r="A1008" s="516">
        <v>983</v>
      </c>
      <c r="B1008" t="s">
        <v>441</v>
      </c>
      <c r="C1008" t="s">
        <v>432</v>
      </c>
      <c r="D1008" t="s">
        <v>2285</v>
      </c>
      <c r="E1008">
        <v>4</v>
      </c>
      <c r="F1008">
        <v>4.4387342143152058E-8</v>
      </c>
      <c r="G1008">
        <v>2.5182437349488879E-18</v>
      </c>
      <c r="H1008">
        <v>3.5533436592268452E-10</v>
      </c>
      <c r="I1008" t="s">
        <v>2231</v>
      </c>
      <c r="L1008" t="s">
        <v>2295</v>
      </c>
    </row>
    <row r="1009" spans="1:12" hidden="1" x14ac:dyDescent="0.25">
      <c r="A1009" s="516">
        <v>984</v>
      </c>
      <c r="B1009" t="s">
        <v>441</v>
      </c>
      <c r="C1009" t="s">
        <v>432</v>
      </c>
      <c r="D1009" t="s">
        <v>2285</v>
      </c>
      <c r="E1009">
        <v>4</v>
      </c>
      <c r="F1009">
        <v>3.0754950052356829E-10</v>
      </c>
      <c r="G1009">
        <v>1.744832119892136E-20</v>
      </c>
      <c r="H1009">
        <v>-3.9487117140092989E-11</v>
      </c>
      <c r="I1009" t="s">
        <v>2231</v>
      </c>
      <c r="L1009" t="s">
        <v>2295</v>
      </c>
    </row>
    <row r="1010" spans="1:12" hidden="1" x14ac:dyDescent="0.25">
      <c r="A1010" s="516">
        <v>985</v>
      </c>
      <c r="B1010" t="s">
        <v>441</v>
      </c>
      <c r="C1010" t="s">
        <v>432</v>
      </c>
      <c r="D1010" t="s">
        <v>2285</v>
      </c>
      <c r="E1010">
        <v>4</v>
      </c>
      <c r="F1010">
        <v>1.122679133673188E-8</v>
      </c>
      <c r="G1010">
        <v>6.3693376494869041E-19</v>
      </c>
      <c r="H1010">
        <v>-1.595050966104256E-9</v>
      </c>
      <c r="I1010" t="s">
        <v>2231</v>
      </c>
      <c r="L1010" t="s">
        <v>2295</v>
      </c>
    </row>
    <row r="1011" spans="1:12" x14ac:dyDescent="0.25">
      <c r="A1011" s="516">
        <v>986</v>
      </c>
      <c r="B1011" t="s">
        <v>441</v>
      </c>
      <c r="C1011" t="s">
        <v>432</v>
      </c>
      <c r="D1011" t="s">
        <v>2285</v>
      </c>
      <c r="E1011">
        <v>3</v>
      </c>
      <c r="F1011">
        <v>1.084752235510844E-4</v>
      </c>
      <c r="G1011">
        <v>6.15416555520979E-15</v>
      </c>
      <c r="H1011">
        <v>1.0215863020277181E-6</v>
      </c>
      <c r="I1011" t="s">
        <v>2290</v>
      </c>
      <c r="J1011" t="s">
        <v>419</v>
      </c>
      <c r="K1011" t="s">
        <v>417</v>
      </c>
    </row>
    <row r="1012" spans="1:12" hidden="1" x14ac:dyDescent="0.25">
      <c r="A1012" s="516">
        <v>987</v>
      </c>
      <c r="B1012" t="s">
        <v>441</v>
      </c>
      <c r="C1012" t="s">
        <v>432</v>
      </c>
      <c r="D1012" t="s">
        <v>2285</v>
      </c>
      <c r="E1012">
        <v>4</v>
      </c>
      <c r="F1012">
        <v>9.4411518228087568E-12</v>
      </c>
      <c r="G1012">
        <v>5.3562840847314338E-22</v>
      </c>
      <c r="H1012">
        <v>1.4097890967982509E-14</v>
      </c>
      <c r="I1012" t="s">
        <v>2231</v>
      </c>
      <c r="L1012" t="s">
        <v>2295</v>
      </c>
    </row>
    <row r="1013" spans="1:12" hidden="1" x14ac:dyDescent="0.25">
      <c r="A1013" s="516">
        <v>988</v>
      </c>
      <c r="B1013" t="s">
        <v>441</v>
      </c>
      <c r="C1013" t="s">
        <v>432</v>
      </c>
      <c r="D1013" t="s">
        <v>2285</v>
      </c>
      <c r="E1013">
        <v>4</v>
      </c>
      <c r="F1013">
        <v>3.554993662229811E-9</v>
      </c>
      <c r="G1013">
        <v>2.0168678919367019E-19</v>
      </c>
      <c r="H1013">
        <v>-1.4197922059161999E-10</v>
      </c>
      <c r="I1013" t="s">
        <v>2231</v>
      </c>
      <c r="L1013" t="s">
        <v>2295</v>
      </c>
    </row>
    <row r="1014" spans="1:12" hidden="1" x14ac:dyDescent="0.25">
      <c r="A1014" s="516">
        <v>989</v>
      </c>
      <c r="B1014" t="s">
        <v>441</v>
      </c>
      <c r="C1014" t="s">
        <v>432</v>
      </c>
      <c r="D1014" t="s">
        <v>2285</v>
      </c>
      <c r="E1014">
        <v>4</v>
      </c>
      <c r="F1014">
        <v>3.658445923274037E-13</v>
      </c>
      <c r="G1014">
        <v>2.0755598513247489E-23</v>
      </c>
      <c r="H1014">
        <v>-2.1275390232818361E-14</v>
      </c>
      <c r="I1014" t="s">
        <v>2231</v>
      </c>
      <c r="L1014" t="s">
        <v>2295</v>
      </c>
    </row>
    <row r="1015" spans="1:12" hidden="1" x14ac:dyDescent="0.25">
      <c r="A1015" s="516">
        <v>990</v>
      </c>
      <c r="B1015" t="s">
        <v>441</v>
      </c>
      <c r="C1015" t="s">
        <v>432</v>
      </c>
      <c r="D1015" t="s">
        <v>2285</v>
      </c>
      <c r="E1015">
        <v>4</v>
      </c>
      <c r="F1015">
        <v>4.5985720293195688E-5</v>
      </c>
      <c r="G1015">
        <v>2.6089251222111701E-15</v>
      </c>
      <c r="H1015">
        <v>4.6519239076029702E-7</v>
      </c>
      <c r="I1015" t="s">
        <v>2231</v>
      </c>
      <c r="L1015" t="s">
        <v>2295</v>
      </c>
    </row>
    <row r="1016" spans="1:12" hidden="1" x14ac:dyDescent="0.25">
      <c r="A1016" s="516">
        <v>991</v>
      </c>
      <c r="B1016" t="s">
        <v>441</v>
      </c>
      <c r="C1016" t="s">
        <v>432</v>
      </c>
      <c r="D1016" t="s">
        <v>2285</v>
      </c>
      <c r="E1016">
        <v>4</v>
      </c>
      <c r="F1016">
        <v>1.555527052083642E-6</v>
      </c>
      <c r="G1016">
        <v>8.8250299844940723E-17</v>
      </c>
      <c r="H1016">
        <v>3.7160712529409262E-8</v>
      </c>
      <c r="I1016" t="s">
        <v>2231</v>
      </c>
      <c r="L1016" t="s">
        <v>2295</v>
      </c>
    </row>
    <row r="1017" spans="1:12" hidden="1" x14ac:dyDescent="0.25">
      <c r="A1017" s="516">
        <v>992</v>
      </c>
      <c r="B1017" t="s">
        <v>441</v>
      </c>
      <c r="C1017" t="s">
        <v>432</v>
      </c>
      <c r="D1017" t="s">
        <v>2285</v>
      </c>
      <c r="E1017">
        <v>4</v>
      </c>
      <c r="F1017">
        <v>1.636416516618498E-7</v>
      </c>
      <c r="G1017">
        <v>9.2839432184320912E-18</v>
      </c>
      <c r="H1017">
        <v>1.945772522847509E-8</v>
      </c>
      <c r="I1017" t="s">
        <v>2231</v>
      </c>
      <c r="L1017" t="s">
        <v>2295</v>
      </c>
    </row>
    <row r="1018" spans="1:12" hidden="1" x14ac:dyDescent="0.25">
      <c r="A1018" s="516">
        <v>993</v>
      </c>
      <c r="B1018" t="s">
        <v>441</v>
      </c>
      <c r="C1018" t="s">
        <v>432</v>
      </c>
      <c r="D1018" t="s">
        <v>2285</v>
      </c>
      <c r="E1018">
        <v>4</v>
      </c>
      <c r="F1018">
        <v>2.1876019282256409E-6</v>
      </c>
      <c r="G1018">
        <v>1.2411004093351019E-16</v>
      </c>
      <c r="H1018">
        <v>4.4234686877800176E-9</v>
      </c>
      <c r="I1018" t="s">
        <v>2231</v>
      </c>
      <c r="L1018" t="s">
        <v>2295</v>
      </c>
    </row>
    <row r="1019" spans="1:12" hidden="1" x14ac:dyDescent="0.25">
      <c r="A1019" s="516">
        <v>994</v>
      </c>
      <c r="B1019" t="s">
        <v>441</v>
      </c>
      <c r="C1019" t="s">
        <v>432</v>
      </c>
      <c r="D1019" t="s">
        <v>2285</v>
      </c>
      <c r="E1019">
        <v>4</v>
      </c>
      <c r="F1019">
        <v>4.126146299313933E-6</v>
      </c>
      <c r="G1019">
        <v>2.3409020603710299E-16</v>
      </c>
      <c r="H1019">
        <v>3.9126755367661599E-9</v>
      </c>
      <c r="I1019" t="s">
        <v>2231</v>
      </c>
      <c r="L1019" t="s">
        <v>2295</v>
      </c>
    </row>
    <row r="1020" spans="1:12" hidden="1" x14ac:dyDescent="0.25">
      <c r="A1020" s="516">
        <v>995</v>
      </c>
      <c r="B1020" t="s">
        <v>441</v>
      </c>
      <c r="C1020" t="s">
        <v>432</v>
      </c>
      <c r="D1020" t="s">
        <v>2285</v>
      </c>
      <c r="E1020">
        <v>4</v>
      </c>
      <c r="F1020">
        <v>6.3367592691288554E-9</v>
      </c>
      <c r="G1020">
        <v>3.5950574102632782E-19</v>
      </c>
      <c r="H1020">
        <v>2.9013050977587191E-11</v>
      </c>
      <c r="I1020" t="s">
        <v>2231</v>
      </c>
      <c r="L1020" t="s">
        <v>2295</v>
      </c>
    </row>
    <row r="1021" spans="1:12" hidden="1" x14ac:dyDescent="0.25">
      <c r="A1021" s="516">
        <v>996</v>
      </c>
      <c r="B1021" t="s">
        <v>441</v>
      </c>
      <c r="C1021" t="s">
        <v>432</v>
      </c>
      <c r="D1021" t="s">
        <v>2285</v>
      </c>
      <c r="E1021">
        <v>4</v>
      </c>
      <c r="F1021">
        <v>5.0994857527272981E-9</v>
      </c>
      <c r="G1021">
        <v>2.8931103842287198E-19</v>
      </c>
      <c r="H1021">
        <v>4.8423190716113843E-11</v>
      </c>
      <c r="I1021" t="s">
        <v>2231</v>
      </c>
      <c r="L1021" t="s">
        <v>2295</v>
      </c>
    </row>
    <row r="1022" spans="1:12" hidden="1" x14ac:dyDescent="0.25">
      <c r="A1022" s="516">
        <v>997</v>
      </c>
      <c r="B1022" t="s">
        <v>441</v>
      </c>
      <c r="C1022" t="s">
        <v>432</v>
      </c>
      <c r="D1022" t="s">
        <v>2285</v>
      </c>
      <c r="E1022">
        <v>4</v>
      </c>
      <c r="F1022">
        <v>1.205471328263524E-5</v>
      </c>
      <c r="G1022">
        <v>6.8390457132348643E-16</v>
      </c>
      <c r="H1022">
        <v>7.5597386350051145E-9</v>
      </c>
      <c r="I1022" t="s">
        <v>2231</v>
      </c>
      <c r="L1022" t="s">
        <v>2295</v>
      </c>
    </row>
    <row r="1023" spans="1:12" hidden="1" x14ac:dyDescent="0.25">
      <c r="A1023" s="516">
        <v>998</v>
      </c>
      <c r="B1023" t="s">
        <v>441</v>
      </c>
      <c r="C1023" t="s">
        <v>432</v>
      </c>
      <c r="D1023" t="s">
        <v>2285</v>
      </c>
      <c r="E1023">
        <v>4</v>
      </c>
      <c r="F1023">
        <v>4.2642222941808604E-9</v>
      </c>
      <c r="G1023">
        <v>2.419237232569241E-19</v>
      </c>
      <c r="H1023">
        <v>-3.6572789612592301E-10</v>
      </c>
      <c r="I1023" t="s">
        <v>2231</v>
      </c>
      <c r="L1023" t="s">
        <v>2295</v>
      </c>
    </row>
    <row r="1024" spans="1:12" hidden="1" x14ac:dyDescent="0.25">
      <c r="A1024" s="516">
        <v>999</v>
      </c>
      <c r="B1024" t="s">
        <v>441</v>
      </c>
      <c r="C1024" t="s">
        <v>432</v>
      </c>
      <c r="D1024" t="s">
        <v>2285</v>
      </c>
      <c r="E1024">
        <v>4</v>
      </c>
      <c r="F1024">
        <v>3.026746066817722E-6</v>
      </c>
      <c r="G1024">
        <v>1.717175201764323E-16</v>
      </c>
      <c r="H1024">
        <v>7.8355669365525975E-9</v>
      </c>
      <c r="I1024" t="s">
        <v>2231</v>
      </c>
      <c r="L1024" t="s">
        <v>2295</v>
      </c>
    </row>
    <row r="1025" spans="1:12" hidden="1" x14ac:dyDescent="0.25">
      <c r="A1025" s="516">
        <v>1000</v>
      </c>
      <c r="B1025" t="s">
        <v>441</v>
      </c>
      <c r="C1025" t="s">
        <v>432</v>
      </c>
      <c r="D1025" t="s">
        <v>2285</v>
      </c>
      <c r="E1025">
        <v>4</v>
      </c>
      <c r="F1025">
        <v>1.5319214821694631E-7</v>
      </c>
      <c r="G1025">
        <v>8.6911076190715911E-18</v>
      </c>
      <c r="H1025">
        <v>8.6732677042153261E-11</v>
      </c>
      <c r="I1025" t="s">
        <v>2231</v>
      </c>
      <c r="L1025" t="s">
        <v>2295</v>
      </c>
    </row>
    <row r="1026" spans="1:12" hidden="1" x14ac:dyDescent="0.25">
      <c r="A1026" s="516">
        <v>1001</v>
      </c>
      <c r="B1026" t="s">
        <v>441</v>
      </c>
      <c r="C1026" t="s">
        <v>432</v>
      </c>
      <c r="D1026" t="s">
        <v>2285</v>
      </c>
      <c r="E1026">
        <v>4</v>
      </c>
      <c r="F1026">
        <v>2.9764992410059849E-8</v>
      </c>
      <c r="G1026">
        <v>1.6886684815616591E-18</v>
      </c>
      <c r="H1026">
        <v>1.6549698092849031E-15</v>
      </c>
      <c r="I1026" t="s">
        <v>2231</v>
      </c>
      <c r="L1026" t="s">
        <v>2295</v>
      </c>
    </row>
    <row r="1027" spans="1:12" hidden="1" x14ac:dyDescent="0.25">
      <c r="A1027" s="516">
        <v>1002</v>
      </c>
      <c r="B1027" t="s">
        <v>441</v>
      </c>
      <c r="C1027" t="s">
        <v>432</v>
      </c>
      <c r="D1027" t="s">
        <v>2285</v>
      </c>
      <c r="E1027">
        <v>4</v>
      </c>
      <c r="F1027">
        <v>3.6987657720100468E-8</v>
      </c>
      <c r="G1027">
        <v>2.0984346623792351E-18</v>
      </c>
      <c r="H1027">
        <v>1.8899346587512789E-12</v>
      </c>
      <c r="I1027" t="s">
        <v>2231</v>
      </c>
      <c r="L1027" t="s">
        <v>2295</v>
      </c>
    </row>
    <row r="1028" spans="1:12" hidden="1" x14ac:dyDescent="0.25">
      <c r="A1028" s="516">
        <v>1003</v>
      </c>
      <c r="B1028" t="s">
        <v>441</v>
      </c>
      <c r="C1028" t="s">
        <v>432</v>
      </c>
      <c r="D1028" t="s">
        <v>2285</v>
      </c>
      <c r="E1028">
        <v>4</v>
      </c>
      <c r="F1028">
        <v>2.0490085861768142E-8</v>
      </c>
      <c r="G1028">
        <v>1.1624717286192129E-18</v>
      </c>
      <c r="H1028">
        <v>2.4109436727854142E-10</v>
      </c>
      <c r="I1028" t="s">
        <v>2231</v>
      </c>
      <c r="L1028" t="s">
        <v>2295</v>
      </c>
    </row>
    <row r="1029" spans="1:12" hidden="1" x14ac:dyDescent="0.25">
      <c r="A1029" s="516">
        <v>1004</v>
      </c>
      <c r="B1029" t="s">
        <v>441</v>
      </c>
      <c r="C1029" t="s">
        <v>432</v>
      </c>
      <c r="D1029" t="s">
        <v>2285</v>
      </c>
      <c r="E1029">
        <v>4</v>
      </c>
      <c r="F1029">
        <v>3.1272699306573599E-6</v>
      </c>
      <c r="G1029">
        <v>1.774205782579596E-16</v>
      </c>
      <c r="H1029">
        <v>2.2168422754001481E-9</v>
      </c>
      <c r="I1029" t="s">
        <v>2231</v>
      </c>
      <c r="L1029" t="s">
        <v>2295</v>
      </c>
    </row>
    <row r="1030" spans="1:12" hidden="1" x14ac:dyDescent="0.25">
      <c r="A1030" s="516">
        <v>1005</v>
      </c>
      <c r="B1030" t="s">
        <v>441</v>
      </c>
      <c r="C1030" t="s">
        <v>432</v>
      </c>
      <c r="D1030" t="s">
        <v>2285</v>
      </c>
      <c r="E1030">
        <v>4</v>
      </c>
      <c r="F1030">
        <v>6.6688205565606867E-7</v>
      </c>
      <c r="G1030">
        <v>3.7834469862819177E-17</v>
      </c>
      <c r="H1030">
        <v>-1.7979918915687839E-8</v>
      </c>
      <c r="I1030" t="s">
        <v>2231</v>
      </c>
      <c r="L1030" t="s">
        <v>2295</v>
      </c>
    </row>
    <row r="1031" spans="1:12" hidden="1" x14ac:dyDescent="0.25">
      <c r="A1031" s="516">
        <v>1006</v>
      </c>
      <c r="B1031" t="s">
        <v>441</v>
      </c>
      <c r="C1031" t="s">
        <v>432</v>
      </c>
      <c r="D1031" t="s">
        <v>2285</v>
      </c>
      <c r="E1031">
        <v>4</v>
      </c>
      <c r="F1031">
        <v>8.5939273760852305E-8</v>
      </c>
      <c r="G1031">
        <v>4.8756250607744857E-18</v>
      </c>
      <c r="H1031">
        <v>-8.070531786018973E-9</v>
      </c>
      <c r="I1031" t="s">
        <v>2231</v>
      </c>
      <c r="L1031" t="s">
        <v>2295</v>
      </c>
    </row>
    <row r="1032" spans="1:12" hidden="1" x14ac:dyDescent="0.25">
      <c r="A1032" s="516">
        <v>1007</v>
      </c>
      <c r="B1032" t="s">
        <v>441</v>
      </c>
      <c r="C1032" t="s">
        <v>432</v>
      </c>
      <c r="D1032" t="s">
        <v>2285</v>
      </c>
      <c r="E1032">
        <v>4</v>
      </c>
      <c r="F1032">
        <v>3.4639216583205063E-5</v>
      </c>
      <c r="G1032">
        <v>1.9651996702769759E-15</v>
      </c>
      <c r="H1032">
        <v>5.2713853184630247E-8</v>
      </c>
      <c r="I1032" t="s">
        <v>2231</v>
      </c>
      <c r="L1032" t="s">
        <v>2295</v>
      </c>
    </row>
    <row r="1033" spans="1:12" hidden="1" x14ac:dyDescent="0.25">
      <c r="A1033" s="516">
        <v>1008</v>
      </c>
      <c r="B1033" t="s">
        <v>441</v>
      </c>
      <c r="C1033" t="s">
        <v>432</v>
      </c>
      <c r="D1033" t="s">
        <v>2285</v>
      </c>
      <c r="E1033">
        <v>4</v>
      </c>
      <c r="F1033">
        <v>4.2923261101419087E-8</v>
      </c>
      <c r="G1033">
        <v>2.435181475917676E-18</v>
      </c>
      <c r="H1033">
        <v>2.4109436727854142E-10</v>
      </c>
      <c r="I1033" t="s">
        <v>2231</v>
      </c>
      <c r="L1033" t="s">
        <v>2295</v>
      </c>
    </row>
    <row r="1034" spans="1:12" hidden="1" x14ac:dyDescent="0.25">
      <c r="A1034" s="516">
        <v>1009</v>
      </c>
      <c r="B1034" t="s">
        <v>441</v>
      </c>
      <c r="C1034" t="s">
        <v>432</v>
      </c>
      <c r="D1034" t="s">
        <v>2285</v>
      </c>
      <c r="E1034">
        <v>4</v>
      </c>
      <c r="F1034">
        <v>1.9048847188679121E-10</v>
      </c>
      <c r="G1034">
        <v>1.0807053942582259E-20</v>
      </c>
      <c r="H1034">
        <v>-2.4457333178645099E-11</v>
      </c>
      <c r="I1034" t="s">
        <v>2231</v>
      </c>
      <c r="L1034" t="s">
        <v>2295</v>
      </c>
    </row>
    <row r="1035" spans="1:12" hidden="1" x14ac:dyDescent="0.25">
      <c r="A1035" s="516">
        <v>1010</v>
      </c>
      <c r="B1035" t="s">
        <v>441</v>
      </c>
      <c r="C1035" t="s">
        <v>432</v>
      </c>
      <c r="D1035" t="s">
        <v>2285</v>
      </c>
      <c r="E1035">
        <v>4</v>
      </c>
      <c r="F1035">
        <v>6.953593884185225E-9</v>
      </c>
      <c r="G1035">
        <v>3.9450085066492009E-19</v>
      </c>
      <c r="H1035">
        <v>-9.8793469213082338E-10</v>
      </c>
      <c r="I1035" t="s">
        <v>2231</v>
      </c>
      <c r="L1035" t="s">
        <v>2295</v>
      </c>
    </row>
    <row r="1036" spans="1:12" hidden="1" x14ac:dyDescent="0.25">
      <c r="A1036" s="516">
        <v>1011</v>
      </c>
      <c r="B1036" t="s">
        <v>441</v>
      </c>
      <c r="C1036" t="s">
        <v>432</v>
      </c>
      <c r="D1036" t="s">
        <v>2285</v>
      </c>
      <c r="E1036">
        <v>4</v>
      </c>
      <c r="F1036">
        <v>4.6915660136526719E-7</v>
      </c>
      <c r="G1036">
        <v>2.6616837482355709E-17</v>
      </c>
      <c r="H1036">
        <v>1.7406466773995999E-7</v>
      </c>
      <c r="I1036" t="s">
        <v>2231</v>
      </c>
      <c r="L1036" t="s">
        <v>2295</v>
      </c>
    </row>
    <row r="1037" spans="1:12" hidden="1" x14ac:dyDescent="0.25">
      <c r="A1037" s="516">
        <v>1012</v>
      </c>
      <c r="B1037" t="s">
        <v>441</v>
      </c>
      <c r="C1037" t="s">
        <v>432</v>
      </c>
      <c r="D1037" t="s">
        <v>2285</v>
      </c>
      <c r="E1037">
        <v>4</v>
      </c>
      <c r="F1037">
        <v>1.6804766840531421E-9</v>
      </c>
      <c r="G1037">
        <v>9.5339114193783353E-20</v>
      </c>
      <c r="H1037">
        <v>6.265899067798379E-10</v>
      </c>
      <c r="I1037" t="s">
        <v>2231</v>
      </c>
      <c r="L1037" t="s">
        <v>2295</v>
      </c>
    </row>
    <row r="1038" spans="1:12" hidden="1" x14ac:dyDescent="0.25">
      <c r="A1038" s="516">
        <v>1013</v>
      </c>
      <c r="B1038" t="s">
        <v>441</v>
      </c>
      <c r="C1038" t="s">
        <v>432</v>
      </c>
      <c r="D1038" t="s">
        <v>2285</v>
      </c>
      <c r="E1038">
        <v>4</v>
      </c>
      <c r="F1038">
        <v>7.5212782307599052E-8</v>
      </c>
      <c r="G1038">
        <v>4.2670749968165542E-18</v>
      </c>
      <c r="H1038">
        <v>1.532379453041577E-10</v>
      </c>
      <c r="I1038" t="s">
        <v>2231</v>
      </c>
      <c r="L1038" t="s">
        <v>2295</v>
      </c>
    </row>
    <row r="1039" spans="1:12" x14ac:dyDescent="0.25">
      <c r="A1039" s="516">
        <v>1014</v>
      </c>
      <c r="B1039" t="s">
        <v>441</v>
      </c>
      <c r="C1039" t="s">
        <v>432</v>
      </c>
      <c r="D1039" t="s">
        <v>2285</v>
      </c>
      <c r="E1039">
        <v>3</v>
      </c>
      <c r="F1039">
        <v>7.3610293718576227E-3</v>
      </c>
      <c r="G1039">
        <v>4.1761604104775198E-13</v>
      </c>
      <c r="H1039">
        <v>8.661275169365436E-5</v>
      </c>
      <c r="I1039" t="s">
        <v>2247</v>
      </c>
      <c r="J1039" t="s">
        <v>419</v>
      </c>
      <c r="K1039" t="s">
        <v>417</v>
      </c>
    </row>
    <row r="1040" spans="1:12" hidden="1" x14ac:dyDescent="0.25">
      <c r="A1040" s="516">
        <v>1015</v>
      </c>
      <c r="B1040" t="s">
        <v>441</v>
      </c>
      <c r="C1040" t="s">
        <v>432</v>
      </c>
      <c r="D1040" t="s">
        <v>2285</v>
      </c>
      <c r="E1040">
        <v>4</v>
      </c>
      <c r="F1040">
        <v>6.2001250406661865E-7</v>
      </c>
      <c r="G1040">
        <v>3.5175402008083813E-17</v>
      </c>
      <c r="H1040">
        <v>-1.671626107687529E-8</v>
      </c>
      <c r="I1040" t="s">
        <v>2231</v>
      </c>
      <c r="L1040" t="s">
        <v>2295</v>
      </c>
    </row>
    <row r="1041" spans="1:12" hidden="1" x14ac:dyDescent="0.25">
      <c r="A1041" s="516">
        <v>1016</v>
      </c>
      <c r="B1041" t="s">
        <v>441</v>
      </c>
      <c r="C1041" t="s">
        <v>432</v>
      </c>
      <c r="D1041" t="s">
        <v>2285</v>
      </c>
      <c r="E1041">
        <v>4</v>
      </c>
      <c r="F1041">
        <v>9.1645207202503894E-10</v>
      </c>
      <c r="G1041">
        <v>5.1993419234587562E-20</v>
      </c>
      <c r="H1041">
        <v>1.368481476759739E-12</v>
      </c>
      <c r="I1041" t="s">
        <v>2231</v>
      </c>
      <c r="L1041" t="s">
        <v>2295</v>
      </c>
    </row>
    <row r="1042" spans="1:12" hidden="1" x14ac:dyDescent="0.25">
      <c r="A1042" s="516">
        <v>1017</v>
      </c>
      <c r="B1042" t="s">
        <v>441</v>
      </c>
      <c r="C1042" t="s">
        <v>432</v>
      </c>
      <c r="D1042" t="s">
        <v>2285</v>
      </c>
      <c r="E1042">
        <v>4</v>
      </c>
      <c r="F1042">
        <v>1.9211426911078459E-3</v>
      </c>
      <c r="G1042">
        <v>1.089929090645396E-13</v>
      </c>
      <c r="H1042">
        <v>1.9434314734445009E-5</v>
      </c>
      <c r="I1042" t="s">
        <v>481</v>
      </c>
      <c r="J1042" t="s">
        <v>419</v>
      </c>
      <c r="K1042" t="s">
        <v>433</v>
      </c>
      <c r="L1042" t="s">
        <v>2295</v>
      </c>
    </row>
    <row r="1043" spans="1:12" hidden="1" x14ac:dyDescent="0.25">
      <c r="A1043" s="516">
        <v>1018</v>
      </c>
      <c r="B1043" t="s">
        <v>441</v>
      </c>
      <c r="C1043" t="s">
        <v>432</v>
      </c>
      <c r="D1043" t="s">
        <v>2285</v>
      </c>
      <c r="E1043">
        <v>4</v>
      </c>
      <c r="F1043">
        <v>3.612365251273889E-3</v>
      </c>
      <c r="G1043">
        <v>2.049416730794494E-13</v>
      </c>
      <c r="H1043">
        <v>8.6297481277489464E-5</v>
      </c>
      <c r="I1043" t="s">
        <v>2248</v>
      </c>
      <c r="J1043" t="s">
        <v>419</v>
      </c>
      <c r="K1043" t="s">
        <v>434</v>
      </c>
      <c r="L1043" t="s">
        <v>2295</v>
      </c>
    </row>
    <row r="1044" spans="1:12" hidden="1" x14ac:dyDescent="0.25">
      <c r="A1044" s="516">
        <v>1019</v>
      </c>
      <c r="B1044" t="s">
        <v>441</v>
      </c>
      <c r="C1044" t="s">
        <v>432</v>
      </c>
      <c r="D1044" t="s">
        <v>2285</v>
      </c>
      <c r="E1044">
        <v>4</v>
      </c>
      <c r="F1044">
        <v>5.2838490119728973E-5</v>
      </c>
      <c r="G1044">
        <v>2.9977058837863832E-15</v>
      </c>
      <c r="H1044">
        <v>6.2827331049046386E-6</v>
      </c>
      <c r="I1044" t="s">
        <v>2231</v>
      </c>
      <c r="L1044" t="s">
        <v>2295</v>
      </c>
    </row>
    <row r="1045" spans="1:12" hidden="1" x14ac:dyDescent="0.25">
      <c r="A1045" s="516">
        <v>1020</v>
      </c>
      <c r="B1045" t="s">
        <v>441</v>
      </c>
      <c r="C1045" t="s">
        <v>432</v>
      </c>
      <c r="D1045" t="s">
        <v>2285</v>
      </c>
      <c r="E1045">
        <v>4</v>
      </c>
      <c r="F1045">
        <v>6.1651054999015064E-5</v>
      </c>
      <c r="G1045">
        <v>3.4976724333608439E-15</v>
      </c>
      <c r="H1045">
        <v>3.4385262422380778E-8</v>
      </c>
      <c r="I1045" t="s">
        <v>2231</v>
      </c>
      <c r="L1045" t="s">
        <v>2295</v>
      </c>
    </row>
    <row r="1046" spans="1:12" hidden="1" x14ac:dyDescent="0.25">
      <c r="A1046" s="516">
        <v>1021</v>
      </c>
      <c r="B1046" t="s">
        <v>441</v>
      </c>
      <c r="C1046" t="s">
        <v>432</v>
      </c>
      <c r="D1046" t="s">
        <v>2285</v>
      </c>
      <c r="E1046">
        <v>4</v>
      </c>
      <c r="F1046">
        <v>5.372469815130851E-7</v>
      </c>
      <c r="G1046">
        <v>3.0479834565274862E-17</v>
      </c>
      <c r="H1046">
        <v>2.4598021480997841E-9</v>
      </c>
      <c r="I1046" t="s">
        <v>2231</v>
      </c>
      <c r="L1046" t="s">
        <v>2295</v>
      </c>
    </row>
    <row r="1047" spans="1:12" hidden="1" x14ac:dyDescent="0.25">
      <c r="A1047" s="516">
        <v>1022</v>
      </c>
      <c r="B1047" t="s">
        <v>441</v>
      </c>
      <c r="C1047" t="s">
        <v>432</v>
      </c>
      <c r="D1047" t="s">
        <v>2285</v>
      </c>
      <c r="E1047">
        <v>4</v>
      </c>
      <c r="F1047">
        <v>4.943722704143723E-7</v>
      </c>
      <c r="G1047">
        <v>2.8047407494875602E-17</v>
      </c>
      <c r="H1047">
        <v>4.6944111417960666E-9</v>
      </c>
      <c r="I1047" t="s">
        <v>2231</v>
      </c>
      <c r="L1047" t="s">
        <v>2295</v>
      </c>
    </row>
    <row r="1048" spans="1:12" hidden="1" x14ac:dyDescent="0.25">
      <c r="A1048" s="516">
        <v>1023</v>
      </c>
      <c r="B1048" t="s">
        <v>441</v>
      </c>
      <c r="C1048" t="s">
        <v>432</v>
      </c>
      <c r="D1048" t="s">
        <v>2285</v>
      </c>
      <c r="E1048">
        <v>4</v>
      </c>
      <c r="F1048">
        <v>6.339348486264399E-4</v>
      </c>
      <c r="G1048">
        <v>3.5965263605349523E-14</v>
      </c>
      <c r="H1048">
        <v>3.9755253027387352E-7</v>
      </c>
      <c r="I1048" t="s">
        <v>502</v>
      </c>
      <c r="J1048" t="s">
        <v>419</v>
      </c>
      <c r="K1048" t="s">
        <v>417</v>
      </c>
      <c r="L1048" t="s">
        <v>2295</v>
      </c>
    </row>
    <row r="1049" spans="1:12" hidden="1" x14ac:dyDescent="0.25">
      <c r="A1049" s="516">
        <v>1024</v>
      </c>
      <c r="B1049" t="s">
        <v>441</v>
      </c>
      <c r="C1049" t="s">
        <v>432</v>
      </c>
      <c r="D1049" t="s">
        <v>2285</v>
      </c>
      <c r="E1049">
        <v>4</v>
      </c>
      <c r="F1049">
        <v>3.6153189015878502E-7</v>
      </c>
      <c r="G1049">
        <v>2.051092436308551E-17</v>
      </c>
      <c r="H1049">
        <v>-3.1007365106328259E-8</v>
      </c>
      <c r="I1049" t="s">
        <v>2231</v>
      </c>
      <c r="L1049" t="s">
        <v>2295</v>
      </c>
    </row>
    <row r="1050" spans="1:12" hidden="1" x14ac:dyDescent="0.25">
      <c r="A1050" s="516">
        <v>1025</v>
      </c>
      <c r="B1050" t="s">
        <v>441</v>
      </c>
      <c r="C1050" t="s">
        <v>432</v>
      </c>
      <c r="D1050" t="s">
        <v>2285</v>
      </c>
      <c r="E1050">
        <v>4</v>
      </c>
      <c r="F1050">
        <v>1.298802995752408E-5</v>
      </c>
      <c r="G1050">
        <v>7.3685477639956907E-16</v>
      </c>
      <c r="H1050">
        <v>7.3534226187912552E-9</v>
      </c>
      <c r="I1050" t="s">
        <v>2231</v>
      </c>
      <c r="L1050" t="s">
        <v>2295</v>
      </c>
    </row>
    <row r="1051" spans="1:12" hidden="1" x14ac:dyDescent="0.25">
      <c r="A1051" s="516">
        <v>1026</v>
      </c>
      <c r="B1051" t="s">
        <v>441</v>
      </c>
      <c r="C1051" t="s">
        <v>432</v>
      </c>
      <c r="D1051" t="s">
        <v>2285</v>
      </c>
      <c r="E1051">
        <v>4</v>
      </c>
      <c r="F1051">
        <v>2.523553704330093E-6</v>
      </c>
      <c r="G1051">
        <v>1.4316971908886259E-16</v>
      </c>
      <c r="H1051">
        <v>1.4031265774372009E-13</v>
      </c>
      <c r="I1051" t="s">
        <v>2231</v>
      </c>
      <c r="L1051" t="s">
        <v>2295</v>
      </c>
    </row>
    <row r="1052" spans="1:12" hidden="1" x14ac:dyDescent="0.25">
      <c r="A1052" s="516">
        <v>1027</v>
      </c>
      <c r="B1052" t="s">
        <v>441</v>
      </c>
      <c r="C1052" t="s">
        <v>432</v>
      </c>
      <c r="D1052" t="s">
        <v>2285</v>
      </c>
      <c r="E1052">
        <v>4</v>
      </c>
      <c r="F1052">
        <v>3.1359101110520729E-6</v>
      </c>
      <c r="G1052">
        <v>1.7791076485389601E-16</v>
      </c>
      <c r="H1052">
        <v>1.6023359063326059E-10</v>
      </c>
      <c r="I1052" t="s">
        <v>2231</v>
      </c>
      <c r="L1052" t="s">
        <v>2295</v>
      </c>
    </row>
    <row r="1053" spans="1:12" hidden="1" x14ac:dyDescent="0.25">
      <c r="A1053" s="516">
        <v>1028</v>
      </c>
      <c r="B1053" t="s">
        <v>441</v>
      </c>
      <c r="C1053" t="s">
        <v>432</v>
      </c>
      <c r="D1053" t="s">
        <v>2285</v>
      </c>
      <c r="E1053">
        <v>4</v>
      </c>
      <c r="F1053">
        <v>5.4616005511069416E-6</v>
      </c>
      <c r="G1053">
        <v>3.0985503313674572E-16</v>
      </c>
      <c r="H1053">
        <v>3.8715900007063501E-9</v>
      </c>
      <c r="I1053" t="s">
        <v>2231</v>
      </c>
      <c r="L1053" t="s">
        <v>2295</v>
      </c>
    </row>
    <row r="1054" spans="1:12" hidden="1" x14ac:dyDescent="0.25">
      <c r="A1054" s="516">
        <v>1029</v>
      </c>
      <c r="B1054" t="s">
        <v>441</v>
      </c>
      <c r="C1054" t="s">
        <v>432</v>
      </c>
      <c r="D1054" t="s">
        <v>2285</v>
      </c>
      <c r="E1054">
        <v>4</v>
      </c>
      <c r="F1054">
        <v>6.4571250423515057E-5</v>
      </c>
      <c r="G1054">
        <v>3.6633449759712376E-15</v>
      </c>
      <c r="H1054">
        <v>-1.740916309042453E-6</v>
      </c>
      <c r="I1054" t="s">
        <v>2231</v>
      </c>
      <c r="L1054" t="s">
        <v>2295</v>
      </c>
    </row>
    <row r="1055" spans="1:12" hidden="1" x14ac:dyDescent="0.25">
      <c r="A1055" s="516">
        <v>1030</v>
      </c>
      <c r="B1055" t="s">
        <v>441</v>
      </c>
      <c r="C1055" t="s">
        <v>432</v>
      </c>
      <c r="D1055" t="s">
        <v>2285</v>
      </c>
      <c r="E1055">
        <v>4</v>
      </c>
      <c r="F1055">
        <v>7.2790161399041326E-6</v>
      </c>
      <c r="G1055">
        <v>4.1296315358979801E-16</v>
      </c>
      <c r="H1055">
        <v>1.299191275404815E-8</v>
      </c>
      <c r="I1055" t="s">
        <v>2231</v>
      </c>
      <c r="L1055" t="s">
        <v>2295</v>
      </c>
    </row>
    <row r="1056" spans="1:12" hidden="1" x14ac:dyDescent="0.25">
      <c r="A1056" s="516">
        <v>1031</v>
      </c>
      <c r="B1056" t="s">
        <v>441</v>
      </c>
      <c r="C1056" t="s">
        <v>432</v>
      </c>
      <c r="D1056" t="s">
        <v>2285</v>
      </c>
      <c r="E1056">
        <v>4</v>
      </c>
      <c r="F1056">
        <v>7.2861558188550682E-6</v>
      </c>
      <c r="G1056">
        <v>4.1336821167436992E-16</v>
      </c>
      <c r="H1056">
        <v>-6.8424073837986952E-7</v>
      </c>
      <c r="I1056" t="s">
        <v>2231</v>
      </c>
      <c r="L1056" t="s">
        <v>2295</v>
      </c>
    </row>
    <row r="1057" spans="1:12" hidden="1" x14ac:dyDescent="0.25">
      <c r="A1057" s="516">
        <v>1032</v>
      </c>
      <c r="B1057" t="s">
        <v>441</v>
      </c>
      <c r="C1057" t="s">
        <v>432</v>
      </c>
      <c r="D1057" t="s">
        <v>2285</v>
      </c>
      <c r="E1057">
        <v>4</v>
      </c>
      <c r="F1057">
        <v>3.6391460499158761E-6</v>
      </c>
      <c r="G1057">
        <v>2.0646103817636401E-16</v>
      </c>
      <c r="H1057">
        <v>2.0440609399702429E-8</v>
      </c>
      <c r="I1057" t="s">
        <v>2231</v>
      </c>
      <c r="L1057" t="s">
        <v>2295</v>
      </c>
    </row>
    <row r="1058" spans="1:12" hidden="1" x14ac:dyDescent="0.25">
      <c r="A1058" s="516">
        <v>1033</v>
      </c>
      <c r="B1058" t="s">
        <v>441</v>
      </c>
      <c r="C1058" t="s">
        <v>432</v>
      </c>
      <c r="D1058" t="s">
        <v>2285</v>
      </c>
      <c r="E1058">
        <v>4</v>
      </c>
      <c r="F1058">
        <v>9.2505995235243757E-4</v>
      </c>
      <c r="G1058">
        <v>5.2481773338686698E-14</v>
      </c>
      <c r="H1058">
        <v>7.4053902698074482E-6</v>
      </c>
      <c r="I1058" t="s">
        <v>2249</v>
      </c>
      <c r="J1058" t="s">
        <v>462</v>
      </c>
      <c r="K1058" t="s">
        <v>417</v>
      </c>
      <c r="L1058" t="s">
        <v>2295</v>
      </c>
    </row>
    <row r="1059" spans="1:12" hidden="1" x14ac:dyDescent="0.25">
      <c r="A1059" s="516">
        <v>1034</v>
      </c>
      <c r="B1059" t="s">
        <v>441</v>
      </c>
      <c r="C1059" t="s">
        <v>432</v>
      </c>
      <c r="D1059" t="s">
        <v>2285</v>
      </c>
      <c r="E1059">
        <v>4</v>
      </c>
      <c r="F1059">
        <v>1.3080681589224731E-5</v>
      </c>
      <c r="G1059">
        <v>7.4211121618166938E-16</v>
      </c>
      <c r="H1059">
        <v>3.6204130207947519E-7</v>
      </c>
      <c r="I1059" t="s">
        <v>2231</v>
      </c>
      <c r="L1059" t="s">
        <v>2295</v>
      </c>
    </row>
    <row r="1060" spans="1:12" hidden="1" x14ac:dyDescent="0.25">
      <c r="A1060" s="516">
        <v>1035</v>
      </c>
      <c r="B1060" t="s">
        <v>441</v>
      </c>
      <c r="C1060" t="s">
        <v>432</v>
      </c>
      <c r="D1060" t="s">
        <v>2285</v>
      </c>
      <c r="E1060">
        <v>4</v>
      </c>
      <c r="F1060">
        <v>1.447154117137582E-8</v>
      </c>
      <c r="G1060">
        <v>8.2101937467536225E-19</v>
      </c>
      <c r="H1060">
        <v>-1.858040544559376E-9</v>
      </c>
      <c r="I1060" t="s">
        <v>2231</v>
      </c>
      <c r="L1060" t="s">
        <v>2295</v>
      </c>
    </row>
    <row r="1061" spans="1:12" hidden="1" x14ac:dyDescent="0.25">
      <c r="A1061" s="516">
        <v>1036</v>
      </c>
      <c r="B1061" t="s">
        <v>441</v>
      </c>
      <c r="C1061" t="s">
        <v>432</v>
      </c>
      <c r="D1061" t="s">
        <v>2285</v>
      </c>
      <c r="E1061">
        <v>4</v>
      </c>
      <c r="F1061">
        <v>5.2826934452935648E-7</v>
      </c>
      <c r="G1061">
        <v>2.9970502918067682E-17</v>
      </c>
      <c r="H1061">
        <v>-7.5054082959405696E-8</v>
      </c>
      <c r="I1061" t="s">
        <v>2231</v>
      </c>
      <c r="L1061" t="s">
        <v>2295</v>
      </c>
    </row>
    <row r="1062" spans="1:12" hidden="1" x14ac:dyDescent="0.25">
      <c r="A1062" s="516">
        <v>1037</v>
      </c>
      <c r="B1062" t="s">
        <v>441</v>
      </c>
      <c r="C1062" t="s">
        <v>432</v>
      </c>
      <c r="D1062" t="s">
        <v>2285</v>
      </c>
      <c r="E1062">
        <v>4</v>
      </c>
      <c r="F1062">
        <v>3.140235832937024E-5</v>
      </c>
      <c r="G1062">
        <v>1.7815617765650939E-15</v>
      </c>
      <c r="H1062">
        <v>1.1650781536370321E-5</v>
      </c>
      <c r="I1062" t="s">
        <v>2231</v>
      </c>
      <c r="L1062" t="s">
        <v>2295</v>
      </c>
    </row>
    <row r="1063" spans="1:12" hidden="1" x14ac:dyDescent="0.25">
      <c r="A1063" s="516">
        <v>1038</v>
      </c>
      <c r="B1063" t="s">
        <v>441</v>
      </c>
      <c r="C1063" t="s">
        <v>432</v>
      </c>
      <c r="D1063" t="s">
        <v>2285</v>
      </c>
      <c r="E1063">
        <v>4</v>
      </c>
      <c r="F1063">
        <v>1.124804187838775E-7</v>
      </c>
      <c r="G1063">
        <v>6.3813937990118227E-18</v>
      </c>
      <c r="H1063">
        <v>4.193994227302119E-8</v>
      </c>
      <c r="I1063" t="s">
        <v>2231</v>
      </c>
      <c r="L1063" t="s">
        <v>2295</v>
      </c>
    </row>
    <row r="1064" spans="1:12" x14ac:dyDescent="0.25">
      <c r="A1064" s="516">
        <v>1039</v>
      </c>
      <c r="B1064" t="s">
        <v>441</v>
      </c>
      <c r="C1064" t="s">
        <v>432</v>
      </c>
      <c r="D1064" t="s">
        <v>2285</v>
      </c>
      <c r="E1064">
        <v>3</v>
      </c>
      <c r="F1064">
        <v>6.2614911252954341E-4</v>
      </c>
      <c r="G1064">
        <v>3.5523552518329641E-14</v>
      </c>
      <c r="H1064">
        <v>1.0215863020277181E-6</v>
      </c>
      <c r="I1064" t="s">
        <v>460</v>
      </c>
      <c r="J1064" t="s">
        <v>462</v>
      </c>
      <c r="K1064" t="s">
        <v>417</v>
      </c>
    </row>
    <row r="1065" spans="1:12" hidden="1" x14ac:dyDescent="0.25">
      <c r="A1065" s="516">
        <v>1040</v>
      </c>
      <c r="B1065" t="s">
        <v>441</v>
      </c>
      <c r="C1065" t="s">
        <v>432</v>
      </c>
      <c r="D1065" t="s">
        <v>2285</v>
      </c>
      <c r="E1065">
        <v>4</v>
      </c>
      <c r="F1065">
        <v>8.27213242308486E-5</v>
      </c>
      <c r="G1065">
        <v>4.6930599227858463E-15</v>
      </c>
      <c r="H1065">
        <v>1.3313215338194921E-7</v>
      </c>
      <c r="I1065" t="s">
        <v>2231</v>
      </c>
      <c r="L1065" t="s">
        <v>2295</v>
      </c>
    </row>
    <row r="1066" spans="1:12" hidden="1" x14ac:dyDescent="0.25">
      <c r="A1066" s="516">
        <v>1041</v>
      </c>
      <c r="B1066" t="s">
        <v>441</v>
      </c>
      <c r="C1066" t="s">
        <v>432</v>
      </c>
      <c r="D1066" t="s">
        <v>2285</v>
      </c>
      <c r="E1066">
        <v>4</v>
      </c>
      <c r="F1066">
        <v>5.3097315584573726E-4</v>
      </c>
      <c r="G1066">
        <v>3.0123899259889658E-14</v>
      </c>
      <c r="H1066">
        <v>8.8845414864576876E-7</v>
      </c>
      <c r="I1066" t="s">
        <v>580</v>
      </c>
      <c r="J1066" t="s">
        <v>1992</v>
      </c>
      <c r="K1066" t="s">
        <v>417</v>
      </c>
      <c r="L1066" t="s">
        <v>2295</v>
      </c>
    </row>
    <row r="1067" spans="1:12" hidden="1" x14ac:dyDescent="0.25">
      <c r="A1067" s="516">
        <v>1042</v>
      </c>
      <c r="B1067" t="s">
        <v>441</v>
      </c>
      <c r="C1067" t="s">
        <v>432</v>
      </c>
      <c r="D1067" t="s">
        <v>2285</v>
      </c>
      <c r="E1067">
        <v>4</v>
      </c>
      <c r="F1067">
        <v>1.9075972160736781E-6</v>
      </c>
      <c r="G1067">
        <v>1.082244285474658E-16</v>
      </c>
      <c r="H1067">
        <v>1.9440787327587471E-7</v>
      </c>
      <c r="I1067" t="s">
        <v>2231</v>
      </c>
      <c r="L1067" t="s">
        <v>2295</v>
      </c>
    </row>
    <row r="1068" spans="1:12" hidden="1" x14ac:dyDescent="0.25">
      <c r="A1068" s="516">
        <v>1043</v>
      </c>
      <c r="B1068" t="s">
        <v>441</v>
      </c>
      <c r="C1068" t="s">
        <v>432</v>
      </c>
      <c r="D1068" t="s">
        <v>2285</v>
      </c>
      <c r="E1068">
        <v>4</v>
      </c>
      <c r="F1068">
        <v>2.5846376965693918E-7</v>
      </c>
      <c r="G1068">
        <v>1.4663522013792719E-17</v>
      </c>
      <c r="H1068">
        <v>2.0533884670757129E-8</v>
      </c>
      <c r="I1068" t="s">
        <v>2231</v>
      </c>
      <c r="L1068" t="s">
        <v>2295</v>
      </c>
    </row>
    <row r="1069" spans="1:12" hidden="1" x14ac:dyDescent="0.25">
      <c r="A1069" s="516">
        <v>1044</v>
      </c>
      <c r="B1069" t="s">
        <v>441</v>
      </c>
      <c r="C1069" t="s">
        <v>432</v>
      </c>
      <c r="D1069" t="s">
        <v>2285</v>
      </c>
      <c r="E1069">
        <v>4</v>
      </c>
      <c r="F1069">
        <v>9.4815099634104921E-6</v>
      </c>
      <c r="G1069">
        <v>5.3791806200537645E-16</v>
      </c>
      <c r="H1069">
        <v>2.109575713687238E-7</v>
      </c>
      <c r="I1069" t="s">
        <v>2231</v>
      </c>
      <c r="L1069" t="s">
        <v>2295</v>
      </c>
    </row>
    <row r="1070" spans="1:12" hidden="1" x14ac:dyDescent="0.25">
      <c r="A1070" s="516">
        <v>1045</v>
      </c>
      <c r="B1070" t="s">
        <v>441</v>
      </c>
      <c r="C1070" t="s">
        <v>432</v>
      </c>
      <c r="D1070" t="s">
        <v>2285</v>
      </c>
      <c r="E1070">
        <v>4</v>
      </c>
      <c r="F1070">
        <v>8.0707094498155091E-7</v>
      </c>
      <c r="G1070">
        <v>4.5787858716668431E-17</v>
      </c>
      <c r="H1070">
        <v>4.5041740056402089E-7</v>
      </c>
      <c r="I1070" t="s">
        <v>2231</v>
      </c>
      <c r="L1070" t="s">
        <v>2295</v>
      </c>
    </row>
    <row r="1071" spans="1:12" x14ac:dyDescent="0.25">
      <c r="A1071" s="516">
        <v>1046</v>
      </c>
      <c r="B1071" t="s">
        <v>441</v>
      </c>
      <c r="C1071" t="s">
        <v>432</v>
      </c>
      <c r="D1071" t="s">
        <v>2285</v>
      </c>
      <c r="E1071">
        <v>3</v>
      </c>
      <c r="F1071">
        <v>1.54201103809588E-2</v>
      </c>
      <c r="G1071">
        <v>8.7483490752465849E-13</v>
      </c>
      <c r="H1071">
        <v>8.661275169365436E-5</v>
      </c>
      <c r="I1071" t="s">
        <v>2250</v>
      </c>
      <c r="J1071" t="s">
        <v>462</v>
      </c>
      <c r="K1071" t="s">
        <v>417</v>
      </c>
    </row>
    <row r="1072" spans="1:12" hidden="1" x14ac:dyDescent="0.25">
      <c r="A1072" s="516">
        <v>1047</v>
      </c>
      <c r="B1072" t="s">
        <v>441</v>
      </c>
      <c r="C1072" t="s">
        <v>432</v>
      </c>
      <c r="D1072" t="s">
        <v>2285</v>
      </c>
      <c r="E1072">
        <v>4</v>
      </c>
      <c r="F1072">
        <v>8.4963191070045324E-3</v>
      </c>
      <c r="G1072">
        <v>4.8202485952724635E-13</v>
      </c>
      <c r="H1072">
        <v>5.1118942784407733E-5</v>
      </c>
      <c r="I1072" t="s">
        <v>2251</v>
      </c>
      <c r="J1072" t="s">
        <v>1992</v>
      </c>
      <c r="K1072" t="s">
        <v>417</v>
      </c>
      <c r="L1072" t="s">
        <v>2295</v>
      </c>
    </row>
    <row r="1073" spans="1:12" hidden="1" x14ac:dyDescent="0.25">
      <c r="A1073" s="516">
        <v>1048</v>
      </c>
      <c r="B1073" t="s">
        <v>441</v>
      </c>
      <c r="C1073" t="s">
        <v>432</v>
      </c>
      <c r="D1073" t="s">
        <v>2285</v>
      </c>
      <c r="E1073">
        <v>4</v>
      </c>
      <c r="F1073">
        <v>8.5093632832711522E-8</v>
      </c>
      <c r="G1073">
        <v>4.8276489967326464E-18</v>
      </c>
      <c r="H1073">
        <v>9.8650667878707843E-10</v>
      </c>
      <c r="I1073" t="s">
        <v>2231</v>
      </c>
      <c r="L1073" t="s">
        <v>2295</v>
      </c>
    </row>
    <row r="1074" spans="1:12" hidden="1" x14ac:dyDescent="0.25">
      <c r="A1074" s="516">
        <v>1049</v>
      </c>
      <c r="B1074" t="s">
        <v>441</v>
      </c>
      <c r="C1074" t="s">
        <v>432</v>
      </c>
      <c r="D1074" t="s">
        <v>2285</v>
      </c>
      <c r="E1074">
        <v>4</v>
      </c>
      <c r="F1074">
        <v>2.2023424957532591E-3</v>
      </c>
      <c r="G1074">
        <v>1.2494632308138699E-13</v>
      </c>
      <c r="H1074">
        <v>1.082371738256408E-5</v>
      </c>
      <c r="I1074" t="s">
        <v>2251</v>
      </c>
      <c r="J1074" t="s">
        <v>419</v>
      </c>
      <c r="K1074" t="s">
        <v>417</v>
      </c>
      <c r="L1074" t="s">
        <v>2295</v>
      </c>
    </row>
    <row r="1075" spans="1:12" hidden="1" x14ac:dyDescent="0.25">
      <c r="A1075" s="516">
        <v>1050</v>
      </c>
      <c r="B1075" t="s">
        <v>441</v>
      </c>
      <c r="C1075" t="s">
        <v>432</v>
      </c>
      <c r="D1075" t="s">
        <v>2285</v>
      </c>
      <c r="E1075">
        <v>4</v>
      </c>
      <c r="F1075">
        <v>7.577612745934069E-5</v>
      </c>
      <c r="G1075">
        <v>4.2990354686648566E-15</v>
      </c>
      <c r="H1075">
        <v>8.5097238472389624E-7</v>
      </c>
      <c r="I1075" t="s">
        <v>2231</v>
      </c>
      <c r="L1075" t="s">
        <v>2295</v>
      </c>
    </row>
    <row r="1076" spans="1:12" hidden="1" x14ac:dyDescent="0.25">
      <c r="A1076" s="516">
        <v>1051</v>
      </c>
      <c r="B1076" t="s">
        <v>441</v>
      </c>
      <c r="C1076" t="s">
        <v>432</v>
      </c>
      <c r="D1076" t="s">
        <v>2285</v>
      </c>
      <c r="E1076">
        <v>4</v>
      </c>
      <c r="F1076">
        <v>1.749706869561103E-3</v>
      </c>
      <c r="G1076">
        <v>9.9266776281829081E-14</v>
      </c>
      <c r="H1076">
        <v>1.2277194154703439E-5</v>
      </c>
      <c r="I1076" t="s">
        <v>1454</v>
      </c>
      <c r="J1076" t="s">
        <v>1992</v>
      </c>
      <c r="K1076" t="s">
        <v>417</v>
      </c>
      <c r="L1076" t="s">
        <v>2295</v>
      </c>
    </row>
    <row r="1077" spans="1:12" hidden="1" x14ac:dyDescent="0.25">
      <c r="A1077" s="516">
        <v>1052</v>
      </c>
      <c r="B1077" t="s">
        <v>441</v>
      </c>
      <c r="C1077" t="s">
        <v>432</v>
      </c>
      <c r="D1077" t="s">
        <v>2285</v>
      </c>
      <c r="E1077">
        <v>4</v>
      </c>
      <c r="F1077">
        <v>4.0537015235249542E-4</v>
      </c>
      <c r="G1077">
        <v>2.2998016939260159E-14</v>
      </c>
      <c r="H1077">
        <v>2.3333258765765228E-6</v>
      </c>
      <c r="I1077" t="s">
        <v>2251</v>
      </c>
      <c r="J1077" t="s">
        <v>2252</v>
      </c>
      <c r="K1077" t="s">
        <v>417</v>
      </c>
      <c r="L1077" t="s">
        <v>2295</v>
      </c>
    </row>
    <row r="1078" spans="1:12" hidden="1" x14ac:dyDescent="0.25">
      <c r="A1078" s="516">
        <v>1053</v>
      </c>
      <c r="B1078" t="s">
        <v>441</v>
      </c>
      <c r="C1078" t="s">
        <v>432</v>
      </c>
      <c r="D1078" t="s">
        <v>2285</v>
      </c>
      <c r="E1078">
        <v>4</v>
      </c>
      <c r="F1078">
        <v>7.214772389426597E-4</v>
      </c>
      <c r="G1078">
        <v>4.0931838879113269E-14</v>
      </c>
      <c r="H1078">
        <v>2.8157606536467428E-6</v>
      </c>
      <c r="I1078" t="s">
        <v>1454</v>
      </c>
      <c r="J1078" t="s">
        <v>2252</v>
      </c>
      <c r="K1078" t="s">
        <v>417</v>
      </c>
      <c r="L1078" t="s">
        <v>2295</v>
      </c>
    </row>
    <row r="1079" spans="1:12" hidden="1" x14ac:dyDescent="0.25">
      <c r="A1079" s="516">
        <v>1054</v>
      </c>
      <c r="B1079" t="s">
        <v>441</v>
      </c>
      <c r="C1079" t="s">
        <v>432</v>
      </c>
      <c r="D1079" t="s">
        <v>2285</v>
      </c>
      <c r="E1079">
        <v>4</v>
      </c>
      <c r="F1079">
        <v>7.0772065518827159E-4</v>
      </c>
      <c r="G1079">
        <v>4.0151381451811957E-14</v>
      </c>
      <c r="H1079">
        <v>6.3431531194027866E-6</v>
      </c>
      <c r="I1079" t="s">
        <v>1454</v>
      </c>
      <c r="J1079" t="s">
        <v>2253</v>
      </c>
      <c r="K1079" t="s">
        <v>417</v>
      </c>
      <c r="L1079" t="s">
        <v>2295</v>
      </c>
    </row>
    <row r="1080" spans="1:12" hidden="1" x14ac:dyDescent="0.25">
      <c r="A1080" s="516">
        <v>1055</v>
      </c>
      <c r="B1080" t="s">
        <v>441</v>
      </c>
      <c r="C1080" t="s">
        <v>432</v>
      </c>
      <c r="D1080" t="s">
        <v>2285</v>
      </c>
      <c r="E1080">
        <v>4</v>
      </c>
      <c r="F1080">
        <v>5.3753441780220076E-6</v>
      </c>
      <c r="G1080">
        <v>3.0496141796104938E-16</v>
      </c>
      <c r="H1080">
        <v>4.8698830950311433E-8</v>
      </c>
      <c r="I1080" t="s">
        <v>2231</v>
      </c>
      <c r="L1080" t="s">
        <v>2295</v>
      </c>
    </row>
    <row r="1081" spans="1:12" hidden="1" x14ac:dyDescent="0.25">
      <c r="A1081" s="516">
        <v>1056</v>
      </c>
      <c r="B1081" t="s">
        <v>441</v>
      </c>
      <c r="C1081" t="s">
        <v>432</v>
      </c>
      <c r="D1081" t="s">
        <v>2285</v>
      </c>
      <c r="E1081">
        <v>4</v>
      </c>
      <c r="F1081">
        <v>1.617310683192948E-4</v>
      </c>
      <c r="G1081">
        <v>9.1755493768506337E-15</v>
      </c>
      <c r="H1081">
        <v>1.6482406647302429E-5</v>
      </c>
      <c r="I1081" t="s">
        <v>2254</v>
      </c>
      <c r="J1081" t="s">
        <v>462</v>
      </c>
      <c r="K1081" t="s">
        <v>925</v>
      </c>
      <c r="L1081" t="s">
        <v>2295</v>
      </c>
    </row>
    <row r="1082" spans="1:12" hidden="1" x14ac:dyDescent="0.25">
      <c r="A1082" s="516">
        <v>1057</v>
      </c>
      <c r="B1082" t="s">
        <v>441</v>
      </c>
      <c r="C1082" t="s">
        <v>432</v>
      </c>
      <c r="D1082" t="s">
        <v>2285</v>
      </c>
      <c r="E1082">
        <v>4</v>
      </c>
      <c r="F1082">
        <v>2.1913232644827419E-5</v>
      </c>
      <c r="G1082">
        <v>1.2432116489954679E-15</v>
      </c>
      <c r="H1082">
        <v>1.740916309042453E-6</v>
      </c>
      <c r="I1082" t="s">
        <v>2231</v>
      </c>
      <c r="L1082" t="s">
        <v>2295</v>
      </c>
    </row>
    <row r="1083" spans="1:12" hidden="1" x14ac:dyDescent="0.25">
      <c r="A1083" s="516">
        <v>1058</v>
      </c>
      <c r="B1083" t="s">
        <v>441</v>
      </c>
      <c r="C1083" t="s">
        <v>432</v>
      </c>
      <c r="D1083" t="s">
        <v>2285</v>
      </c>
      <c r="E1083">
        <v>4</v>
      </c>
      <c r="F1083">
        <v>8.0386714907176578E-4</v>
      </c>
      <c r="G1083">
        <v>4.5606096561325782E-14</v>
      </c>
      <c r="H1083">
        <v>1.788553322473962E-5</v>
      </c>
      <c r="I1083" t="s">
        <v>2255</v>
      </c>
      <c r="J1083" t="s">
        <v>462</v>
      </c>
      <c r="K1083" t="s">
        <v>925</v>
      </c>
      <c r="L1083" t="s">
        <v>2295</v>
      </c>
    </row>
    <row r="1084" spans="1:12" hidden="1" x14ac:dyDescent="0.25">
      <c r="A1084" s="516">
        <v>1059</v>
      </c>
      <c r="B1084" t="s">
        <v>441</v>
      </c>
      <c r="C1084" t="s">
        <v>432</v>
      </c>
      <c r="D1084" t="s">
        <v>2285</v>
      </c>
      <c r="E1084">
        <v>4</v>
      </c>
      <c r="F1084">
        <v>6.8425580117991781E-5</v>
      </c>
      <c r="G1084">
        <v>3.88201410858658E-15</v>
      </c>
      <c r="H1084">
        <v>3.8187562221732208E-5</v>
      </c>
      <c r="I1084" t="s">
        <v>2231</v>
      </c>
      <c r="L1084" t="s">
        <v>2295</v>
      </c>
    </row>
    <row r="1085" spans="1:12" x14ac:dyDescent="0.25">
      <c r="A1085" s="516">
        <v>1060</v>
      </c>
      <c r="B1085" t="s">
        <v>441</v>
      </c>
      <c r="C1085" t="s">
        <v>432</v>
      </c>
      <c r="D1085" t="s">
        <v>2285</v>
      </c>
      <c r="E1085">
        <v>3</v>
      </c>
      <c r="F1085">
        <v>3.9226515952664423E-5</v>
      </c>
      <c r="G1085">
        <v>2.225452646456994E-15</v>
      </c>
      <c r="H1085">
        <v>1.9987558083151011E-7</v>
      </c>
      <c r="I1085" t="s">
        <v>2231</v>
      </c>
    </row>
    <row r="1086" spans="1:12" x14ac:dyDescent="0.25">
      <c r="A1086" s="516">
        <v>1061</v>
      </c>
      <c r="B1086" t="s">
        <v>441</v>
      </c>
      <c r="C1086" t="s">
        <v>432</v>
      </c>
      <c r="D1086" t="s">
        <v>2285</v>
      </c>
      <c r="E1086">
        <v>3</v>
      </c>
      <c r="F1086">
        <v>1.64054325126299E-7</v>
      </c>
      <c r="G1086">
        <v>9.307355576916571E-18</v>
      </c>
      <c r="H1086">
        <v>-3.1091757018234902E-8</v>
      </c>
      <c r="I1086" t="s">
        <v>2231</v>
      </c>
    </row>
    <row r="1087" spans="1:12" x14ac:dyDescent="0.25">
      <c r="A1087" s="516">
        <v>1062</v>
      </c>
      <c r="B1087" t="s">
        <v>441</v>
      </c>
      <c r="C1087" t="s">
        <v>432</v>
      </c>
      <c r="D1087" t="s">
        <v>2285</v>
      </c>
      <c r="E1087">
        <v>3</v>
      </c>
      <c r="F1087">
        <v>2.814089378928446E-7</v>
      </c>
      <c r="G1087">
        <v>1.5965278851836039E-17</v>
      </c>
      <c r="H1087">
        <v>-1.9987558083151011E-7</v>
      </c>
      <c r="I1087" t="s">
        <v>2231</v>
      </c>
    </row>
    <row r="1088" spans="1:12" x14ac:dyDescent="0.25">
      <c r="A1088" s="516">
        <v>1063</v>
      </c>
      <c r="B1088" t="s">
        <v>441</v>
      </c>
      <c r="C1088" t="s">
        <v>432</v>
      </c>
      <c r="D1088" t="s">
        <v>2285</v>
      </c>
      <c r="E1088">
        <v>3</v>
      </c>
      <c r="F1088">
        <v>6.9076749474536393E-6</v>
      </c>
      <c r="G1088">
        <v>3.9189571439956538E-16</v>
      </c>
      <c r="H1088">
        <v>-7.5508552758570464E-7</v>
      </c>
      <c r="I1088" t="s">
        <v>2231</v>
      </c>
    </row>
    <row r="1089" spans="1:12" x14ac:dyDescent="0.25">
      <c r="A1089" s="516">
        <v>1064</v>
      </c>
      <c r="B1089" t="s">
        <v>441</v>
      </c>
      <c r="C1089" t="s">
        <v>432</v>
      </c>
      <c r="D1089" t="s">
        <v>2285</v>
      </c>
      <c r="E1089">
        <v>3</v>
      </c>
      <c r="F1089">
        <v>9.8116829427255021E-5</v>
      </c>
      <c r="G1089">
        <v>5.5664988951439768E-15</v>
      </c>
      <c r="H1089">
        <v>7.1066873184536906E-7</v>
      </c>
      <c r="I1089" t="s">
        <v>2231</v>
      </c>
    </row>
    <row r="1090" spans="1:12" x14ac:dyDescent="0.25">
      <c r="A1090" s="516">
        <v>1065</v>
      </c>
      <c r="B1090" t="s">
        <v>441</v>
      </c>
      <c r="C1090" t="s">
        <v>432</v>
      </c>
      <c r="D1090" t="s">
        <v>2285</v>
      </c>
      <c r="E1090">
        <v>2</v>
      </c>
      <c r="F1090">
        <v>0</v>
      </c>
      <c r="G1090">
        <v>0</v>
      </c>
      <c r="H1090">
        <v>0</v>
      </c>
      <c r="I1090" t="s">
        <v>2231</v>
      </c>
    </row>
    <row r="1091" spans="1:12" x14ac:dyDescent="0.25">
      <c r="A1091" s="568">
        <v>1066</v>
      </c>
      <c r="B1091" s="417" t="s">
        <v>441</v>
      </c>
      <c r="C1091" s="417" t="s">
        <v>432</v>
      </c>
      <c r="D1091" s="417" t="s">
        <v>2285</v>
      </c>
      <c r="E1091" s="417">
        <v>2</v>
      </c>
      <c r="F1091" s="417">
        <v>2.349325279270743E-2</v>
      </c>
      <c r="G1091" s="417">
        <v>1.3328515248334871E-12</v>
      </c>
      <c r="H1091" s="417">
        <v>6.0980602046066296E-4</v>
      </c>
      <c r="I1091" s="417" t="s">
        <v>1003</v>
      </c>
      <c r="J1091" s="417" t="s">
        <v>432</v>
      </c>
      <c r="K1091" s="417" t="s">
        <v>417</v>
      </c>
      <c r="L1091" s="417" t="s">
        <v>155</v>
      </c>
    </row>
    <row r="1092" spans="1:12" x14ac:dyDescent="0.25">
      <c r="A1092" s="516">
        <v>1067</v>
      </c>
      <c r="B1092" t="s">
        <v>441</v>
      </c>
      <c r="C1092" t="s">
        <v>432</v>
      </c>
      <c r="D1092" t="s">
        <v>2285</v>
      </c>
      <c r="E1092">
        <v>3</v>
      </c>
      <c r="F1092">
        <v>2.210922600752032E-2</v>
      </c>
      <c r="G1092">
        <v>1.2543310139734659E-12</v>
      </c>
      <c r="H1092">
        <v>6.0980602046066296E-4</v>
      </c>
      <c r="I1092" t="s">
        <v>1000</v>
      </c>
      <c r="J1092" t="s">
        <v>432</v>
      </c>
      <c r="K1092" t="s">
        <v>417</v>
      </c>
    </row>
    <row r="1093" spans="1:12" hidden="1" x14ac:dyDescent="0.25">
      <c r="A1093" s="516">
        <v>1068</v>
      </c>
      <c r="B1093" t="s">
        <v>441</v>
      </c>
      <c r="C1093" t="s">
        <v>432</v>
      </c>
      <c r="D1093" t="s">
        <v>2285</v>
      </c>
      <c r="E1093">
        <v>4</v>
      </c>
      <c r="F1093">
        <v>2.072519922233089E-2</v>
      </c>
      <c r="G1093">
        <v>1.175810503113311E-12</v>
      </c>
      <c r="H1093">
        <v>6.0980602046066296E-4</v>
      </c>
      <c r="I1093" t="s">
        <v>998</v>
      </c>
      <c r="J1093" t="s">
        <v>432</v>
      </c>
      <c r="K1093" t="s">
        <v>417</v>
      </c>
      <c r="L1093" t="s">
        <v>2295</v>
      </c>
    </row>
    <row r="1094" spans="1:12" hidden="1" x14ac:dyDescent="0.25">
      <c r="A1094" s="516">
        <v>1069</v>
      </c>
      <c r="B1094" t="s">
        <v>441</v>
      </c>
      <c r="C1094" t="s">
        <v>432</v>
      </c>
      <c r="D1094" t="s">
        <v>2285</v>
      </c>
      <c r="E1094">
        <v>4</v>
      </c>
      <c r="F1094">
        <v>1.3840267645640501E-3</v>
      </c>
      <c r="G1094">
        <v>7.8520509690006353E-14</v>
      </c>
      <c r="H1094">
        <v>6.0980602046066303E-5</v>
      </c>
      <c r="I1094" t="s">
        <v>506</v>
      </c>
      <c r="J1094" t="s">
        <v>432</v>
      </c>
      <c r="K1094" t="s">
        <v>433</v>
      </c>
      <c r="L1094" t="s">
        <v>2295</v>
      </c>
    </row>
    <row r="1095" spans="1:12" x14ac:dyDescent="0.25">
      <c r="A1095" s="516">
        <v>1070</v>
      </c>
      <c r="B1095" t="s">
        <v>441</v>
      </c>
      <c r="C1095" t="s">
        <v>432</v>
      </c>
      <c r="D1095" t="s">
        <v>2285</v>
      </c>
      <c r="E1095">
        <v>3</v>
      </c>
      <c r="F1095">
        <v>1.3840267645640501E-3</v>
      </c>
      <c r="G1095">
        <v>7.8520509690006353E-14</v>
      </c>
      <c r="H1095">
        <v>6.0980602046066303E-5</v>
      </c>
      <c r="I1095" t="s">
        <v>506</v>
      </c>
      <c r="J1095" t="s">
        <v>432</v>
      </c>
      <c r="K1095" t="s">
        <v>433</v>
      </c>
    </row>
    <row r="1096" spans="1:12" hidden="1" x14ac:dyDescent="0.25">
      <c r="A1096" s="516">
        <v>1071</v>
      </c>
      <c r="B1096" t="s">
        <v>441</v>
      </c>
      <c r="C1096" t="s">
        <v>432</v>
      </c>
      <c r="D1096" t="s">
        <v>2285</v>
      </c>
      <c r="E1096">
        <v>4</v>
      </c>
      <c r="F1096">
        <v>1.28275052912518E-4</v>
      </c>
      <c r="G1096">
        <v>7.2774767028266699E-15</v>
      </c>
      <c r="H1096">
        <v>5.3300022630301139E-12</v>
      </c>
      <c r="I1096" t="s">
        <v>2277</v>
      </c>
      <c r="J1096" t="s">
        <v>462</v>
      </c>
      <c r="K1096" t="s">
        <v>1995</v>
      </c>
      <c r="L1096" t="s">
        <v>2295</v>
      </c>
    </row>
    <row r="1097" spans="1:12" hidden="1" x14ac:dyDescent="0.25">
      <c r="A1097" s="516">
        <v>1072</v>
      </c>
      <c r="B1097" t="s">
        <v>441</v>
      </c>
      <c r="C1097" t="s">
        <v>432</v>
      </c>
      <c r="D1097" t="s">
        <v>2285</v>
      </c>
      <c r="E1097">
        <v>4</v>
      </c>
      <c r="F1097">
        <v>2.4547641873596199E-5</v>
      </c>
      <c r="G1097">
        <v>1.392670576142832E-15</v>
      </c>
      <c r="H1097">
        <v>2.0371767410342151E-7</v>
      </c>
      <c r="I1097" t="s">
        <v>2231</v>
      </c>
      <c r="L1097" t="s">
        <v>2295</v>
      </c>
    </row>
    <row r="1098" spans="1:12" hidden="1" x14ac:dyDescent="0.25">
      <c r="A1098" s="516">
        <v>1073</v>
      </c>
      <c r="B1098" t="s">
        <v>441</v>
      </c>
      <c r="C1098" t="s">
        <v>432</v>
      </c>
      <c r="D1098" t="s">
        <v>2285</v>
      </c>
      <c r="E1098">
        <v>4</v>
      </c>
      <c r="F1098">
        <v>1.5511007840284931E-5</v>
      </c>
      <c r="G1098">
        <v>8.7999182718730855E-16</v>
      </c>
      <c r="H1098">
        <v>1.044214083571819E-7</v>
      </c>
      <c r="I1098" t="s">
        <v>2231</v>
      </c>
      <c r="L1098" t="s">
        <v>2295</v>
      </c>
    </row>
    <row r="1099" spans="1:12" hidden="1" x14ac:dyDescent="0.25">
      <c r="A1099" s="516">
        <v>1074</v>
      </c>
      <c r="B1099" t="s">
        <v>441</v>
      </c>
      <c r="C1099" t="s">
        <v>432</v>
      </c>
      <c r="D1099" t="s">
        <v>2285</v>
      </c>
      <c r="E1099">
        <v>4</v>
      </c>
      <c r="F1099">
        <v>3.2084228625832601E-5</v>
      </c>
      <c r="G1099">
        <v>1.8202465799168302E-15</v>
      </c>
      <c r="H1099">
        <v>3.1728043308528322E-7</v>
      </c>
      <c r="I1099" t="s">
        <v>2231</v>
      </c>
      <c r="L1099" t="s">
        <v>2295</v>
      </c>
    </row>
    <row r="1100" spans="1:12" hidden="1" x14ac:dyDescent="0.25">
      <c r="A1100" s="516">
        <v>1075</v>
      </c>
      <c r="B1100" t="s">
        <v>441</v>
      </c>
      <c r="C1100" t="s">
        <v>432</v>
      </c>
      <c r="D1100" t="s">
        <v>2285</v>
      </c>
      <c r="E1100">
        <v>4</v>
      </c>
      <c r="F1100">
        <v>2.3429044214551729E-6</v>
      </c>
      <c r="G1100">
        <v>1.329208755479353E-16</v>
      </c>
      <c r="H1100">
        <v>1.7671315260446161E-7</v>
      </c>
      <c r="I1100" t="s">
        <v>2231</v>
      </c>
      <c r="L1100" t="s">
        <v>2295</v>
      </c>
    </row>
    <row r="1101" spans="1:12" hidden="1" x14ac:dyDescent="0.25">
      <c r="A1101" s="516">
        <v>1076</v>
      </c>
      <c r="B1101" t="s">
        <v>441</v>
      </c>
      <c r="C1101" t="s">
        <v>432</v>
      </c>
      <c r="D1101" t="s">
        <v>2285</v>
      </c>
      <c r="E1101">
        <v>4</v>
      </c>
      <c r="F1101">
        <v>6.5447913670234612E-6</v>
      </c>
      <c r="G1101">
        <v>3.7130810408518888E-16</v>
      </c>
      <c r="H1101">
        <v>6.8275536233541985E-8</v>
      </c>
      <c r="I1101" t="s">
        <v>2231</v>
      </c>
      <c r="L1101" t="s">
        <v>2295</v>
      </c>
    </row>
    <row r="1102" spans="1:12" hidden="1" x14ac:dyDescent="0.25">
      <c r="A1102" s="516">
        <v>1077</v>
      </c>
      <c r="B1102" t="s">
        <v>441</v>
      </c>
      <c r="C1102" t="s">
        <v>432</v>
      </c>
      <c r="D1102" t="s">
        <v>2285</v>
      </c>
      <c r="E1102">
        <v>4</v>
      </c>
      <c r="F1102">
        <v>7.8292289236599097E-5</v>
      </c>
      <c r="G1102">
        <v>4.4417858187818756E-15</v>
      </c>
      <c r="H1102">
        <v>8.1067158757296726E-7</v>
      </c>
      <c r="I1102" t="s">
        <v>2231</v>
      </c>
      <c r="L1102" t="s">
        <v>2295</v>
      </c>
    </row>
    <row r="1103" spans="1:12" hidden="1" x14ac:dyDescent="0.25">
      <c r="A1103" s="516">
        <v>1078</v>
      </c>
      <c r="B1103" t="s">
        <v>441</v>
      </c>
      <c r="C1103" t="s">
        <v>432</v>
      </c>
      <c r="D1103" t="s">
        <v>2285</v>
      </c>
      <c r="E1103">
        <v>4</v>
      </c>
      <c r="F1103">
        <v>1.17313678823641E-5</v>
      </c>
      <c r="G1103">
        <v>6.6556009541791681E-16</v>
      </c>
      <c r="H1103">
        <v>1.124538243846574E-7</v>
      </c>
      <c r="I1103" t="s">
        <v>2231</v>
      </c>
      <c r="L1103" t="s">
        <v>2295</v>
      </c>
    </row>
    <row r="1104" spans="1:12" hidden="1" x14ac:dyDescent="0.25">
      <c r="A1104" s="516">
        <v>1079</v>
      </c>
      <c r="B1104" t="s">
        <v>441</v>
      </c>
      <c r="C1104" t="s">
        <v>432</v>
      </c>
      <c r="D1104" t="s">
        <v>2285</v>
      </c>
      <c r="E1104">
        <v>4</v>
      </c>
      <c r="F1104">
        <v>2.0223263129263061E-5</v>
      </c>
      <c r="G1104">
        <v>1.14733397443006E-15</v>
      </c>
      <c r="H1104">
        <v>2.0884281671436361E-7</v>
      </c>
      <c r="I1104" t="s">
        <v>2231</v>
      </c>
      <c r="L1104" t="s">
        <v>2295</v>
      </c>
    </row>
    <row r="1105" spans="1:12" hidden="1" x14ac:dyDescent="0.25">
      <c r="A1105" s="516">
        <v>1080</v>
      </c>
      <c r="B1105" t="s">
        <v>441</v>
      </c>
      <c r="C1105" t="s">
        <v>432</v>
      </c>
      <c r="D1105" t="s">
        <v>2285</v>
      </c>
      <c r="E1105">
        <v>4</v>
      </c>
      <c r="F1105">
        <v>1.0450938406421451E-5</v>
      </c>
      <c r="G1105">
        <v>5.9291700957066188E-16</v>
      </c>
      <c r="H1105">
        <v>1.044214083571819E-7</v>
      </c>
      <c r="I1105" t="s">
        <v>2231</v>
      </c>
      <c r="L1105" t="s">
        <v>2295</v>
      </c>
    </row>
    <row r="1106" spans="1:12" hidden="1" x14ac:dyDescent="0.25">
      <c r="A1106" s="516">
        <v>1081</v>
      </c>
      <c r="B1106" t="s">
        <v>441</v>
      </c>
      <c r="C1106" t="s">
        <v>432</v>
      </c>
      <c r="D1106" t="s">
        <v>2285</v>
      </c>
      <c r="E1106">
        <v>4</v>
      </c>
      <c r="F1106">
        <v>1.559402884122409E-5</v>
      </c>
      <c r="G1106">
        <v>8.8470188878121899E-16</v>
      </c>
      <c r="H1106">
        <v>1.044214083571819E-7</v>
      </c>
      <c r="I1106" t="s">
        <v>2231</v>
      </c>
      <c r="L1106" t="s">
        <v>2295</v>
      </c>
    </row>
    <row r="1107" spans="1:12" hidden="1" x14ac:dyDescent="0.25">
      <c r="A1107" s="516">
        <v>1082</v>
      </c>
      <c r="B1107" t="s">
        <v>441</v>
      </c>
      <c r="C1107" t="s">
        <v>432</v>
      </c>
      <c r="D1107" t="s">
        <v>2285</v>
      </c>
      <c r="E1107">
        <v>4</v>
      </c>
      <c r="F1107">
        <v>9.3258430496948692E-4</v>
      </c>
      <c r="G1107">
        <v>5.2908655258679161E-14</v>
      </c>
      <c r="H1107">
        <v>5.798008747587617E-5</v>
      </c>
      <c r="I1107" t="s">
        <v>2258</v>
      </c>
      <c r="J1107" t="s">
        <v>432</v>
      </c>
      <c r="K1107" t="s">
        <v>433</v>
      </c>
      <c r="L1107" t="s">
        <v>2295</v>
      </c>
    </row>
    <row r="1108" spans="1:12" hidden="1" x14ac:dyDescent="0.25">
      <c r="A1108" s="516">
        <v>1083</v>
      </c>
      <c r="B1108" t="s">
        <v>441</v>
      </c>
      <c r="C1108" t="s">
        <v>432</v>
      </c>
      <c r="D1108" t="s">
        <v>2285</v>
      </c>
      <c r="E1108">
        <v>4</v>
      </c>
      <c r="F1108">
        <v>3.7958283404742407E-5</v>
      </c>
      <c r="G1108">
        <v>2.1535015335031492E-15</v>
      </c>
      <c r="H1108">
        <v>1.6724524654590221E-6</v>
      </c>
      <c r="I1108" t="s">
        <v>2231</v>
      </c>
      <c r="L1108" t="s">
        <v>2295</v>
      </c>
    </row>
    <row r="1109" spans="1:12" hidden="1" x14ac:dyDescent="0.25">
      <c r="A1109" s="516">
        <v>1084</v>
      </c>
      <c r="B1109" t="s">
        <v>441</v>
      </c>
      <c r="C1109" t="s">
        <v>432</v>
      </c>
      <c r="D1109" t="s">
        <v>2285</v>
      </c>
      <c r="E1109">
        <v>4</v>
      </c>
      <c r="F1109">
        <v>3.0025087784910872E-7</v>
      </c>
      <c r="G1109">
        <v>1.703424570045069E-17</v>
      </c>
      <c r="H1109">
        <v>2.409724808242658E-8</v>
      </c>
      <c r="I1109" t="s">
        <v>2231</v>
      </c>
      <c r="L1109" t="s">
        <v>2295</v>
      </c>
    </row>
    <row r="1110" spans="1:12" hidden="1" x14ac:dyDescent="0.25">
      <c r="A1110" s="516">
        <v>1085</v>
      </c>
      <c r="B1110" t="s">
        <v>441</v>
      </c>
      <c r="C1110" t="s">
        <v>432</v>
      </c>
      <c r="D1110" t="s">
        <v>2285</v>
      </c>
      <c r="E1110">
        <v>4</v>
      </c>
      <c r="F1110">
        <v>9.8568086124751894E-6</v>
      </c>
      <c r="G1110">
        <v>5.5921002106645225E-16</v>
      </c>
      <c r="H1110">
        <v>6.927958823697639E-8</v>
      </c>
      <c r="I1110" t="s">
        <v>2231</v>
      </c>
      <c r="L1110" t="s">
        <v>2295</v>
      </c>
    </row>
    <row r="1111" spans="1:12" hidden="1" x14ac:dyDescent="0.25">
      <c r="A1111" s="516">
        <v>1086</v>
      </c>
      <c r="B1111" t="s">
        <v>441</v>
      </c>
      <c r="C1111" t="s">
        <v>432</v>
      </c>
      <c r="D1111" t="s">
        <v>2285</v>
      </c>
      <c r="E1111">
        <v>4</v>
      </c>
      <c r="F1111">
        <v>2.0937126819431002E-6</v>
      </c>
      <c r="G1111">
        <v>1.187833870990103E-16</v>
      </c>
      <c r="H1111">
        <v>1.9277798465941261E-7</v>
      </c>
      <c r="I1111" t="s">
        <v>2231</v>
      </c>
      <c r="L1111" t="s">
        <v>2295</v>
      </c>
    </row>
    <row r="1112" spans="1:12" hidden="1" x14ac:dyDescent="0.25">
      <c r="A1112" s="516">
        <v>1087</v>
      </c>
      <c r="B1112" t="s">
        <v>441</v>
      </c>
      <c r="C1112" t="s">
        <v>432</v>
      </c>
      <c r="D1112" t="s">
        <v>2285</v>
      </c>
      <c r="E1112">
        <v>4</v>
      </c>
      <c r="F1112">
        <v>4.4750104224127257E-5</v>
      </c>
      <c r="G1112">
        <v>2.5388244521891009E-15</v>
      </c>
      <c r="H1112">
        <v>4.137798711353674E-7</v>
      </c>
      <c r="I1112" t="s">
        <v>2231</v>
      </c>
      <c r="L1112" t="s">
        <v>2295</v>
      </c>
    </row>
    <row r="1113" spans="1:12" hidden="1" x14ac:dyDescent="0.25">
      <c r="A1113" s="516">
        <v>1088</v>
      </c>
      <c r="B1113" t="s">
        <v>441</v>
      </c>
      <c r="C1113" t="s">
        <v>432</v>
      </c>
      <c r="D1113" t="s">
        <v>2285</v>
      </c>
      <c r="E1113">
        <v>4</v>
      </c>
      <c r="F1113">
        <v>8.3419823261957827E-7</v>
      </c>
      <c r="G1113">
        <v>4.7326881303790327E-17</v>
      </c>
      <c r="H1113">
        <v>8.032416027475526E-9</v>
      </c>
      <c r="I1113" t="s">
        <v>2231</v>
      </c>
      <c r="L1113" t="s">
        <v>2295</v>
      </c>
    </row>
    <row r="1114" spans="1:12" hidden="1" x14ac:dyDescent="0.25">
      <c r="A1114" s="516">
        <v>1089</v>
      </c>
      <c r="B1114" t="s">
        <v>441</v>
      </c>
      <c r="C1114" t="s">
        <v>432</v>
      </c>
      <c r="D1114" t="s">
        <v>2285</v>
      </c>
      <c r="E1114">
        <v>4</v>
      </c>
      <c r="F1114">
        <v>9.9085970487617323E-6</v>
      </c>
      <c r="G1114">
        <v>5.6214815385216361E-16</v>
      </c>
      <c r="H1114">
        <v>6.927958823697639E-8</v>
      </c>
      <c r="I1114" t="s">
        <v>2231</v>
      </c>
      <c r="L1114" t="s">
        <v>2295</v>
      </c>
    </row>
    <row r="1115" spans="1:12" hidden="1" x14ac:dyDescent="0.25">
      <c r="A1115" s="516">
        <v>1090</v>
      </c>
      <c r="B1115" t="s">
        <v>441</v>
      </c>
      <c r="C1115" t="s">
        <v>432</v>
      </c>
      <c r="D1115" t="s">
        <v>2285</v>
      </c>
      <c r="E1115">
        <v>4</v>
      </c>
      <c r="F1115">
        <v>1.4268783478824131E-7</v>
      </c>
      <c r="G1115">
        <v>8.095162464336602E-18</v>
      </c>
      <c r="H1115">
        <v>1.204862404121329E-8</v>
      </c>
      <c r="I1115" t="s">
        <v>2231</v>
      </c>
      <c r="L1115" t="s">
        <v>2295</v>
      </c>
    </row>
    <row r="1116" spans="1:12" hidden="1" x14ac:dyDescent="0.25">
      <c r="A1116" s="516">
        <v>1091</v>
      </c>
      <c r="B1116" t="s">
        <v>441</v>
      </c>
      <c r="C1116" t="s">
        <v>432</v>
      </c>
      <c r="D1116" t="s">
        <v>2285</v>
      </c>
      <c r="E1116">
        <v>4</v>
      </c>
      <c r="F1116">
        <v>3.0471543779248781E-10</v>
      </c>
      <c r="G1116">
        <v>1.7287535254721799E-20</v>
      </c>
      <c r="H1116">
        <v>1.8233200011773819E-13</v>
      </c>
      <c r="I1116" t="s">
        <v>2231</v>
      </c>
      <c r="L1116" t="s">
        <v>2295</v>
      </c>
    </row>
    <row r="1117" spans="1:12" x14ac:dyDescent="0.25">
      <c r="A1117" s="568">
        <v>1092</v>
      </c>
      <c r="B1117" s="417" t="s">
        <v>441</v>
      </c>
      <c r="C1117" s="417" t="s">
        <v>432</v>
      </c>
      <c r="D1117" s="417" t="s">
        <v>2285</v>
      </c>
      <c r="E1117" s="417">
        <v>2</v>
      </c>
      <c r="F1117" s="417">
        <v>0.71576133235848882</v>
      </c>
      <c r="G1117" s="417">
        <v>4.0607556206392762E-11</v>
      </c>
      <c r="H1117" s="417">
        <v>1.345215447737791E-5</v>
      </c>
      <c r="I1117" s="417" t="s">
        <v>2090</v>
      </c>
      <c r="J1117" s="417" t="s">
        <v>432</v>
      </c>
      <c r="K1117" s="417" t="s">
        <v>1047</v>
      </c>
    </row>
    <row r="1118" spans="1:12" x14ac:dyDescent="0.25">
      <c r="A1118" s="516">
        <v>1093</v>
      </c>
      <c r="B1118" t="s">
        <v>441</v>
      </c>
      <c r="C1118" t="s">
        <v>432</v>
      </c>
      <c r="D1118" t="s">
        <v>2285</v>
      </c>
      <c r="E1118">
        <v>3</v>
      </c>
      <c r="F1118">
        <v>2.781749248880136E-2</v>
      </c>
      <c r="G1118">
        <v>1.578180237870338E-12</v>
      </c>
      <c r="H1118">
        <v>1.775618624925329E-3</v>
      </c>
      <c r="I1118" t="s">
        <v>1034</v>
      </c>
      <c r="J1118" t="s">
        <v>432</v>
      </c>
      <c r="K1118" t="s">
        <v>433</v>
      </c>
      <c r="L1118" t="str">
        <f>O9</f>
        <v>Energy use, vertical</v>
      </c>
    </row>
    <row r="1119" spans="1:12" hidden="1" x14ac:dyDescent="0.25">
      <c r="A1119" s="516">
        <v>1094</v>
      </c>
      <c r="B1119" t="s">
        <v>441</v>
      </c>
      <c r="C1119" t="s">
        <v>432</v>
      </c>
      <c r="D1119" t="s">
        <v>2285</v>
      </c>
      <c r="E1119">
        <v>4</v>
      </c>
      <c r="F1119">
        <v>1.046065922652378E-4</v>
      </c>
      <c r="G1119">
        <v>5.9346850450456209E-15</v>
      </c>
      <c r="H1119">
        <v>6.6771443756444723E-6</v>
      </c>
      <c r="I1119" t="s">
        <v>2270</v>
      </c>
      <c r="L1119" t="s">
        <v>2295</v>
      </c>
    </row>
    <row r="1120" spans="1:12" hidden="1" x14ac:dyDescent="0.25">
      <c r="A1120" s="516">
        <v>1095</v>
      </c>
      <c r="B1120" t="s">
        <v>441</v>
      </c>
      <c r="C1120" t="s">
        <v>432</v>
      </c>
      <c r="D1120" t="s">
        <v>2285</v>
      </c>
      <c r="E1120">
        <v>4</v>
      </c>
      <c r="F1120">
        <v>1.358331825666275E-5</v>
      </c>
      <c r="G1120">
        <v>7.7062749081350474E-16</v>
      </c>
      <c r="H1120">
        <v>1.2685391188773391E-5</v>
      </c>
      <c r="I1120" t="s">
        <v>2231</v>
      </c>
      <c r="L1120" t="s">
        <v>2295</v>
      </c>
    </row>
    <row r="1121" spans="1:12" hidden="1" x14ac:dyDescent="0.25">
      <c r="A1121" s="516">
        <v>1096</v>
      </c>
      <c r="B1121" t="s">
        <v>441</v>
      </c>
      <c r="C1121" t="s">
        <v>432</v>
      </c>
      <c r="D1121" t="s">
        <v>2285</v>
      </c>
      <c r="E1121">
        <v>4</v>
      </c>
      <c r="F1121">
        <v>1.533615884103974E-2</v>
      </c>
      <c r="G1121">
        <v>8.7007205331368363E-13</v>
      </c>
      <c r="H1121">
        <v>1.762933233736555E-3</v>
      </c>
      <c r="I1121" t="s">
        <v>2259</v>
      </c>
      <c r="J1121" t="s">
        <v>432</v>
      </c>
      <c r="K1121" t="s">
        <v>433</v>
      </c>
      <c r="L1121" t="s">
        <v>2295</v>
      </c>
    </row>
    <row r="1122" spans="1:12" hidden="1" x14ac:dyDescent="0.25">
      <c r="A1122" s="516">
        <v>1097</v>
      </c>
      <c r="B1122" t="s">
        <v>441</v>
      </c>
      <c r="C1122" t="s">
        <v>432</v>
      </c>
      <c r="D1122" t="s">
        <v>2285</v>
      </c>
      <c r="E1122">
        <v>4</v>
      </c>
      <c r="F1122">
        <v>1.602415041794648E-7</v>
      </c>
      <c r="G1122">
        <v>9.0910413756543894E-18</v>
      </c>
      <c r="H1122">
        <v>9.5883405745967752E-11</v>
      </c>
      <c r="I1122" t="s">
        <v>2231</v>
      </c>
      <c r="L1122" t="s">
        <v>2295</v>
      </c>
    </row>
    <row r="1123" spans="1:12" hidden="1" x14ac:dyDescent="0.25">
      <c r="A1123" s="516">
        <v>1098</v>
      </c>
      <c r="B1123" t="s">
        <v>441</v>
      </c>
      <c r="C1123" t="s">
        <v>432</v>
      </c>
      <c r="D1123" t="s">
        <v>2285</v>
      </c>
      <c r="E1123">
        <v>4</v>
      </c>
      <c r="F1123">
        <v>1.236298349504281E-2</v>
      </c>
      <c r="G1123">
        <v>7.0139378094011793E-13</v>
      </c>
      <c r="H1123">
        <v>3.3075811248947343E-11</v>
      </c>
      <c r="I1123" t="s">
        <v>2260</v>
      </c>
      <c r="J1123" t="s">
        <v>462</v>
      </c>
      <c r="K1123" t="s">
        <v>1995</v>
      </c>
      <c r="L1123" t="s">
        <v>2295</v>
      </c>
    </row>
    <row r="1124" spans="1:12" x14ac:dyDescent="0.25">
      <c r="A1124" s="516">
        <v>1099</v>
      </c>
      <c r="B1124" t="s">
        <v>441</v>
      </c>
      <c r="C1124" t="s">
        <v>432</v>
      </c>
      <c r="D1124" t="s">
        <v>2285</v>
      </c>
      <c r="E1124">
        <v>3</v>
      </c>
      <c r="F1124">
        <v>0.55129372633971718</v>
      </c>
      <c r="G1124">
        <v>3.1276753809549749E-11</v>
      </c>
      <c r="H1124">
        <v>8.9945686730693111E-4</v>
      </c>
      <c r="I1124" t="s">
        <v>460</v>
      </c>
      <c r="J1124" t="s">
        <v>462</v>
      </c>
      <c r="K1124" t="s">
        <v>417</v>
      </c>
      <c r="L1124" t="str">
        <f>O12</f>
        <v>Casing, steel</v>
      </c>
    </row>
    <row r="1125" spans="1:12" hidden="1" x14ac:dyDescent="0.25">
      <c r="A1125" s="516">
        <v>1100</v>
      </c>
      <c r="B1125" t="s">
        <v>441</v>
      </c>
      <c r="C1125" t="s">
        <v>432</v>
      </c>
      <c r="D1125" t="s">
        <v>2285</v>
      </c>
      <c r="E1125">
        <v>4</v>
      </c>
      <c r="F1125">
        <v>7.2832087709589724E-2</v>
      </c>
      <c r="G1125">
        <v>4.1320101570041397E-12</v>
      </c>
      <c r="H1125">
        <v>1.172163618297076E-4</v>
      </c>
      <c r="I1125" t="s">
        <v>580</v>
      </c>
      <c r="J1125" t="s">
        <v>419</v>
      </c>
      <c r="K1125" t="s">
        <v>417</v>
      </c>
      <c r="L1125" t="s">
        <v>2295</v>
      </c>
    </row>
    <row r="1126" spans="1:12" hidden="1" x14ac:dyDescent="0.25">
      <c r="A1126" s="516">
        <v>1101</v>
      </c>
      <c r="B1126" t="s">
        <v>441</v>
      </c>
      <c r="C1126" t="s">
        <v>432</v>
      </c>
      <c r="D1126" t="s">
        <v>2285</v>
      </c>
      <c r="E1126">
        <v>4</v>
      </c>
      <c r="F1126">
        <v>0.46749594276368223</v>
      </c>
      <c r="G1126">
        <v>2.6522622714869891E-11</v>
      </c>
      <c r="H1126">
        <v>7.8224050547722357E-4</v>
      </c>
      <c r="I1126" t="s">
        <v>580</v>
      </c>
      <c r="J1126" t="s">
        <v>1992</v>
      </c>
      <c r="K1126" t="s">
        <v>417</v>
      </c>
      <c r="L1126" t="s">
        <v>2295</v>
      </c>
    </row>
    <row r="1127" spans="1:12" hidden="1" x14ac:dyDescent="0.25">
      <c r="A1127" s="516">
        <v>1102</v>
      </c>
      <c r="B1127" t="s">
        <v>441</v>
      </c>
      <c r="C1127" t="s">
        <v>432</v>
      </c>
      <c r="D1127" t="s">
        <v>2285</v>
      </c>
      <c r="E1127">
        <v>4</v>
      </c>
      <c r="F1127">
        <v>1.6795462239924349E-3</v>
      </c>
      <c r="G1127">
        <v>9.52863260540714E-14</v>
      </c>
      <c r="H1127">
        <v>1.7116664184850899E-4</v>
      </c>
      <c r="I1127" t="s">
        <v>2254</v>
      </c>
      <c r="J1127" t="s">
        <v>462</v>
      </c>
      <c r="K1127" t="s">
        <v>925</v>
      </c>
      <c r="L1127" t="s">
        <v>2295</v>
      </c>
    </row>
    <row r="1128" spans="1:12" hidden="1" x14ac:dyDescent="0.25">
      <c r="A1128" s="516">
        <v>1103</v>
      </c>
      <c r="B1128" t="s">
        <v>441</v>
      </c>
      <c r="C1128" t="s">
        <v>432</v>
      </c>
      <c r="D1128" t="s">
        <v>2285</v>
      </c>
      <c r="E1128">
        <v>4</v>
      </c>
      <c r="F1128">
        <v>2.2756473154206521E-4</v>
      </c>
      <c r="G1128">
        <v>1.2910515291791169E-14</v>
      </c>
      <c r="H1128">
        <v>1.8079083032869311E-5</v>
      </c>
      <c r="I1128" t="s">
        <v>2261</v>
      </c>
      <c r="J1128" t="s">
        <v>462</v>
      </c>
      <c r="K1128" t="s">
        <v>925</v>
      </c>
      <c r="L1128" t="s">
        <v>2295</v>
      </c>
    </row>
    <row r="1129" spans="1:12" hidden="1" x14ac:dyDescent="0.25">
      <c r="A1129" s="516">
        <v>1104</v>
      </c>
      <c r="B1129" t="s">
        <v>441</v>
      </c>
      <c r="C1129" t="s">
        <v>432</v>
      </c>
      <c r="D1129" t="s">
        <v>2285</v>
      </c>
      <c r="E1129">
        <v>4</v>
      </c>
      <c r="F1129">
        <v>8.3480066560219848E-3</v>
      </c>
      <c r="G1129">
        <v>4.7361059360212751E-13</v>
      </c>
      <c r="H1129">
        <v>1.8573784309888129E-4</v>
      </c>
      <c r="I1129" t="s">
        <v>2255</v>
      </c>
      <c r="J1129" t="s">
        <v>462</v>
      </c>
      <c r="K1129" t="s">
        <v>925</v>
      </c>
      <c r="L1129" t="s">
        <v>2295</v>
      </c>
    </row>
    <row r="1130" spans="1:12" hidden="1" x14ac:dyDescent="0.25">
      <c r="A1130" s="516">
        <v>1105</v>
      </c>
      <c r="B1130" t="s">
        <v>441</v>
      </c>
      <c r="C1130" t="s">
        <v>432</v>
      </c>
      <c r="D1130" t="s">
        <v>2285</v>
      </c>
      <c r="E1130">
        <v>4</v>
      </c>
      <c r="F1130">
        <v>7.105865676023935E-4</v>
      </c>
      <c r="G1130">
        <v>4.03139743360288E-14</v>
      </c>
      <c r="H1130">
        <v>3.9657053279562588E-4</v>
      </c>
      <c r="I1130" t="s">
        <v>2262</v>
      </c>
      <c r="J1130" t="s">
        <v>462</v>
      </c>
      <c r="K1130" t="s">
        <v>925</v>
      </c>
      <c r="L1130" t="s">
        <v>2295</v>
      </c>
    </row>
    <row r="1131" spans="1:12" x14ac:dyDescent="0.25">
      <c r="A1131" s="516">
        <v>1106</v>
      </c>
      <c r="B1131" t="s">
        <v>441</v>
      </c>
      <c r="C1131" t="s">
        <v>432</v>
      </c>
      <c r="D1131" t="s">
        <v>2285</v>
      </c>
      <c r="E1131">
        <v>3</v>
      </c>
      <c r="F1131">
        <v>5.7310295086567528E-2</v>
      </c>
      <c r="G1131">
        <v>3.2514064726915879E-12</v>
      </c>
      <c r="H1131">
        <v>9.4973176160183628E-4</v>
      </c>
      <c r="I1131" t="s">
        <v>1060</v>
      </c>
      <c r="J1131" t="s">
        <v>459</v>
      </c>
      <c r="K1131" t="s">
        <v>417</v>
      </c>
      <c r="L1131" t="str">
        <f>O11</f>
        <v>Casing, cement</v>
      </c>
    </row>
    <row r="1132" spans="1:12" hidden="1" x14ac:dyDescent="0.25">
      <c r="A1132" s="516">
        <v>1107</v>
      </c>
      <c r="B1132" t="s">
        <v>441</v>
      </c>
      <c r="C1132" t="s">
        <v>432</v>
      </c>
      <c r="D1132" t="s">
        <v>2285</v>
      </c>
      <c r="E1132">
        <v>4</v>
      </c>
      <c r="F1132">
        <v>4.9323645744739783E-2</v>
      </c>
      <c r="G1132">
        <v>2.798296899168852E-12</v>
      </c>
      <c r="H1132">
        <v>9.4973176160183628E-4</v>
      </c>
      <c r="I1132" t="s">
        <v>2263</v>
      </c>
      <c r="J1132" t="s">
        <v>459</v>
      </c>
      <c r="K1132" t="s">
        <v>417</v>
      </c>
      <c r="L1132" t="s">
        <v>2295</v>
      </c>
    </row>
    <row r="1133" spans="1:12" hidden="1" x14ac:dyDescent="0.25">
      <c r="A1133" s="516">
        <v>1108</v>
      </c>
      <c r="B1133" t="s">
        <v>441</v>
      </c>
      <c r="C1133" t="s">
        <v>432</v>
      </c>
      <c r="D1133" t="s">
        <v>2285</v>
      </c>
      <c r="E1133">
        <v>4</v>
      </c>
      <c r="F1133">
        <v>2.82450910086215E-4</v>
      </c>
      <c r="G1133">
        <v>1.6024393451207279E-14</v>
      </c>
      <c r="H1133">
        <v>2.3743294040045909E-5</v>
      </c>
      <c r="I1133" t="s">
        <v>2264</v>
      </c>
      <c r="J1133" t="s">
        <v>459</v>
      </c>
      <c r="K1133" t="s">
        <v>925</v>
      </c>
      <c r="L1133" t="s">
        <v>2295</v>
      </c>
    </row>
    <row r="1134" spans="1:12" hidden="1" x14ac:dyDescent="0.25">
      <c r="A1134" s="516">
        <v>1109</v>
      </c>
      <c r="B1134" t="s">
        <v>441</v>
      </c>
      <c r="C1134" t="s">
        <v>432</v>
      </c>
      <c r="D1134" t="s">
        <v>2285</v>
      </c>
      <c r="E1134">
        <v>4</v>
      </c>
      <c r="F1134">
        <v>2.20334309177135E-3</v>
      </c>
      <c r="G1134">
        <v>1.250030902706827E-13</v>
      </c>
      <c r="H1134">
        <v>3.13411481328606E-6</v>
      </c>
      <c r="I1134" t="s">
        <v>2265</v>
      </c>
      <c r="J1134" t="s">
        <v>459</v>
      </c>
      <c r="K1134" t="s">
        <v>925</v>
      </c>
      <c r="L1134" t="s">
        <v>2295</v>
      </c>
    </row>
    <row r="1135" spans="1:12" hidden="1" x14ac:dyDescent="0.25">
      <c r="A1135" s="516">
        <v>1110</v>
      </c>
      <c r="B1135" t="s">
        <v>441</v>
      </c>
      <c r="C1135" t="s">
        <v>432</v>
      </c>
      <c r="D1135" t="s">
        <v>2285</v>
      </c>
      <c r="E1135">
        <v>4</v>
      </c>
      <c r="F1135">
        <v>5.5008553949369172E-3</v>
      </c>
      <c r="G1135">
        <v>3.1208209291929409E-13</v>
      </c>
      <c r="H1135">
        <v>1.015263253152363E-4</v>
      </c>
      <c r="I1135" t="s">
        <v>2266</v>
      </c>
      <c r="J1135" t="s">
        <v>419</v>
      </c>
      <c r="K1135" t="s">
        <v>925</v>
      </c>
      <c r="L1135" t="s">
        <v>2295</v>
      </c>
    </row>
    <row r="1136" spans="1:12" x14ac:dyDescent="0.25">
      <c r="A1136" s="516">
        <v>1111</v>
      </c>
      <c r="B1136" t="s">
        <v>441</v>
      </c>
      <c r="C1136" t="s">
        <v>432</v>
      </c>
      <c r="D1136" t="s">
        <v>2285</v>
      </c>
      <c r="E1136">
        <v>3</v>
      </c>
      <c r="F1136">
        <v>9.4526358570343657E-6</v>
      </c>
      <c r="G1136">
        <v>5.3627993649541849E-16</v>
      </c>
      <c r="H1136">
        <v>3.7989270464073449E-4</v>
      </c>
      <c r="I1136" t="s">
        <v>2231</v>
      </c>
    </row>
    <row r="1137" spans="1:12" x14ac:dyDescent="0.25">
      <c r="A1137" s="516">
        <v>1112</v>
      </c>
      <c r="B1137" t="s">
        <v>441</v>
      </c>
      <c r="C1137" t="s">
        <v>432</v>
      </c>
      <c r="D1137" t="s">
        <v>2285</v>
      </c>
      <c r="E1137">
        <v>3</v>
      </c>
      <c r="F1137">
        <v>0</v>
      </c>
      <c r="G1137">
        <v>0</v>
      </c>
      <c r="H1137">
        <v>0</v>
      </c>
      <c r="I1137" t="s">
        <v>2231</v>
      </c>
    </row>
    <row r="1138" spans="1:12" x14ac:dyDescent="0.25">
      <c r="A1138" s="516">
        <v>1113</v>
      </c>
      <c r="B1138" t="s">
        <v>441</v>
      </c>
      <c r="C1138" t="s">
        <v>432</v>
      </c>
      <c r="D1138" t="s">
        <v>2285</v>
      </c>
      <c r="E1138">
        <v>3</v>
      </c>
      <c r="F1138">
        <v>0</v>
      </c>
      <c r="G1138">
        <v>0</v>
      </c>
      <c r="H1138">
        <v>0</v>
      </c>
      <c r="I1138" t="s">
        <v>2231</v>
      </c>
    </row>
    <row r="1139" spans="1:12" x14ac:dyDescent="0.25">
      <c r="A1139" s="516">
        <v>1114</v>
      </c>
      <c r="B1139" t="s">
        <v>441</v>
      </c>
      <c r="C1139" t="s">
        <v>432</v>
      </c>
      <c r="D1139" t="s">
        <v>2285</v>
      </c>
      <c r="E1139">
        <v>3</v>
      </c>
      <c r="F1139">
        <v>0</v>
      </c>
      <c r="G1139">
        <v>0</v>
      </c>
      <c r="H1139">
        <v>0</v>
      </c>
      <c r="I1139" t="s">
        <v>2231</v>
      </c>
    </row>
    <row r="1140" spans="1:12" x14ac:dyDescent="0.25">
      <c r="A1140" s="516">
        <v>1115</v>
      </c>
      <c r="B1140" t="s">
        <v>441</v>
      </c>
      <c r="C1140" t="s">
        <v>432</v>
      </c>
      <c r="D1140" t="s">
        <v>2285</v>
      </c>
      <c r="E1140">
        <v>3</v>
      </c>
      <c r="F1140">
        <v>8.4203411864166994E-3</v>
      </c>
      <c r="G1140">
        <v>4.7771437565331445E-13</v>
      </c>
      <c r="H1140">
        <v>3.2613403314955022E-4</v>
      </c>
      <c r="I1140" t="s">
        <v>1069</v>
      </c>
      <c r="J1140" t="s">
        <v>462</v>
      </c>
      <c r="K1140" t="s">
        <v>434</v>
      </c>
      <c r="L1140" t="str">
        <f>O10</f>
        <v>Energy use, vertical</v>
      </c>
    </row>
    <row r="1141" spans="1:12" hidden="1" x14ac:dyDescent="0.25">
      <c r="A1141" s="516">
        <v>1116</v>
      </c>
      <c r="B1141" t="s">
        <v>441</v>
      </c>
      <c r="C1141" t="s">
        <v>432</v>
      </c>
      <c r="D1141" t="s">
        <v>2285</v>
      </c>
      <c r="E1141">
        <v>4</v>
      </c>
      <c r="F1141">
        <v>8.3885742213976201E-3</v>
      </c>
      <c r="G1141">
        <v>4.759121285086298E-13</v>
      </c>
      <c r="H1141">
        <v>7.6315364083128775E-6</v>
      </c>
      <c r="I1141" t="s">
        <v>2267</v>
      </c>
      <c r="J1141" t="s">
        <v>462</v>
      </c>
      <c r="K1141" t="s">
        <v>417</v>
      </c>
      <c r="L1141" t="s">
        <v>2295</v>
      </c>
    </row>
    <row r="1142" spans="1:12" hidden="1" x14ac:dyDescent="0.25">
      <c r="A1142" s="516">
        <v>1117</v>
      </c>
      <c r="B1142" t="s">
        <v>441</v>
      </c>
      <c r="C1142" t="s">
        <v>432</v>
      </c>
      <c r="D1142" t="s">
        <v>2285</v>
      </c>
      <c r="E1142">
        <v>4</v>
      </c>
      <c r="F1142">
        <v>3.9416943293474486E-6</v>
      </c>
      <c r="G1142">
        <v>2.236256232227265E-16</v>
      </c>
      <c r="H1142">
        <v>6.033479645880081E-14</v>
      </c>
      <c r="I1142" t="s">
        <v>2231</v>
      </c>
      <c r="L1142" t="s">
        <v>2295</v>
      </c>
    </row>
    <row r="1143" spans="1:12" hidden="1" x14ac:dyDescent="0.25">
      <c r="A1143" s="516">
        <v>1118</v>
      </c>
      <c r="B1143" t="s">
        <v>441</v>
      </c>
      <c r="C1143" t="s">
        <v>432</v>
      </c>
      <c r="D1143" t="s">
        <v>2285</v>
      </c>
      <c r="E1143">
        <v>4</v>
      </c>
      <c r="F1143">
        <v>6.0627586142636227E-6</v>
      </c>
      <c r="G1143">
        <v>3.4396075907492001E-16</v>
      </c>
      <c r="H1143">
        <v>3.8020705641319267E-9</v>
      </c>
      <c r="I1143" t="s">
        <v>2231</v>
      </c>
      <c r="L1143" t="s">
        <v>2295</v>
      </c>
    </row>
    <row r="1144" spans="1:12" hidden="1" x14ac:dyDescent="0.25">
      <c r="A1144" s="516">
        <v>1119</v>
      </c>
      <c r="B1144" t="s">
        <v>441</v>
      </c>
      <c r="C1144" t="s">
        <v>432</v>
      </c>
      <c r="D1144" t="s">
        <v>2285</v>
      </c>
      <c r="E1144">
        <v>4</v>
      </c>
      <c r="F1144">
        <v>2.160199793112573E-5</v>
      </c>
      <c r="G1144">
        <v>1.2255542532147021E-15</v>
      </c>
      <c r="H1144">
        <v>1.8048909689501339E-8</v>
      </c>
      <c r="I1144" t="s">
        <v>2231</v>
      </c>
      <c r="L1144" t="s">
        <v>2295</v>
      </c>
    </row>
    <row r="1145" spans="1:12" hidden="1" x14ac:dyDescent="0.25">
      <c r="A1145" s="516">
        <v>1120</v>
      </c>
      <c r="B1145" t="s">
        <v>441</v>
      </c>
      <c r="C1145" t="s">
        <v>432</v>
      </c>
      <c r="D1145" t="s">
        <v>2285</v>
      </c>
      <c r="E1145">
        <v>4</v>
      </c>
      <c r="F1145">
        <v>1.156484619509156E-9</v>
      </c>
      <c r="G1145">
        <v>6.5611275805865798E-20</v>
      </c>
      <c r="H1145">
        <v>-1.4848420681396731E-10</v>
      </c>
      <c r="I1145" t="s">
        <v>2231</v>
      </c>
      <c r="L1145" t="s">
        <v>2295</v>
      </c>
    </row>
    <row r="1146" spans="1:12" hidden="1" x14ac:dyDescent="0.25">
      <c r="A1146" s="516">
        <v>1121</v>
      </c>
      <c r="B1146" t="s">
        <v>441</v>
      </c>
      <c r="C1146" t="s">
        <v>432</v>
      </c>
      <c r="D1146" t="s">
        <v>2285</v>
      </c>
      <c r="E1146">
        <v>4</v>
      </c>
      <c r="F1146">
        <v>1.174047442020254E-7</v>
      </c>
      <c r="G1146">
        <v>6.6607674004567482E-18</v>
      </c>
      <c r="H1146">
        <v>-1.5704593544881591E-8</v>
      </c>
      <c r="I1146" t="s">
        <v>2231</v>
      </c>
      <c r="L1146" t="s">
        <v>2295</v>
      </c>
    </row>
    <row r="1147" spans="1:12" hidden="1" x14ac:dyDescent="0.25">
      <c r="A1147" s="516">
        <v>1122</v>
      </c>
      <c r="B1147" t="s">
        <v>441</v>
      </c>
      <c r="C1147" t="s">
        <v>432</v>
      </c>
      <c r="D1147" t="s">
        <v>2285</v>
      </c>
      <c r="E1147">
        <v>4</v>
      </c>
      <c r="F1147">
        <v>4.2216330981670798E-8</v>
      </c>
      <c r="G1147">
        <v>2.395074944209572E-18</v>
      </c>
      <c r="H1147">
        <v>-5.9979024725856444E-9</v>
      </c>
      <c r="I1147" t="s">
        <v>2231</v>
      </c>
      <c r="L1147" t="s">
        <v>2295</v>
      </c>
    </row>
    <row r="1148" spans="1:12" x14ac:dyDescent="0.25">
      <c r="A1148" s="516">
        <v>1123</v>
      </c>
      <c r="B1148" t="s">
        <v>441</v>
      </c>
      <c r="C1148" t="s">
        <v>432</v>
      </c>
      <c r="D1148" t="s">
        <v>2285</v>
      </c>
      <c r="E1148">
        <v>3</v>
      </c>
      <c r="F1148">
        <v>1.0432046148172711E-2</v>
      </c>
      <c r="G1148">
        <v>5.9184518799548179E-13</v>
      </c>
      <c r="H1148">
        <v>-3.4494136018575578E-3</v>
      </c>
      <c r="I1148" t="s">
        <v>1073</v>
      </c>
      <c r="J1148" t="s">
        <v>432</v>
      </c>
      <c r="K1148" t="s">
        <v>417</v>
      </c>
      <c r="L1148" t="str">
        <f>O13</f>
        <v>Drilling waste</v>
      </c>
    </row>
    <row r="1149" spans="1:12" hidden="1" x14ac:dyDescent="0.25">
      <c r="A1149" s="516">
        <v>1124</v>
      </c>
      <c r="B1149" t="s">
        <v>441</v>
      </c>
      <c r="C1149" t="s">
        <v>432</v>
      </c>
      <c r="D1149" t="s">
        <v>2285</v>
      </c>
      <c r="E1149">
        <v>4</v>
      </c>
      <c r="F1149">
        <v>-8.1007290927790081E-4</v>
      </c>
      <c r="G1149">
        <v>-4.5958170283363339E-14</v>
      </c>
      <c r="H1149">
        <v>2.0696481611145348E-3</v>
      </c>
      <c r="I1149" t="s">
        <v>2268</v>
      </c>
      <c r="J1149" t="s">
        <v>432</v>
      </c>
      <c r="K1149" t="s">
        <v>417</v>
      </c>
      <c r="L1149" t="s">
        <v>2295</v>
      </c>
    </row>
    <row r="1150" spans="1:12" hidden="1" x14ac:dyDescent="0.25">
      <c r="A1150" s="516">
        <v>1125</v>
      </c>
      <c r="B1150" t="s">
        <v>441</v>
      </c>
      <c r="C1150" t="s">
        <v>432</v>
      </c>
      <c r="D1150" t="s">
        <v>2285</v>
      </c>
      <c r="E1150">
        <v>4</v>
      </c>
      <c r="F1150">
        <v>-4.7654728367900268E-3</v>
      </c>
      <c r="G1150">
        <v>-2.7036135834880142E-13</v>
      </c>
      <c r="H1150">
        <v>1.3797654407430231E-3</v>
      </c>
      <c r="I1150" t="s">
        <v>2269</v>
      </c>
      <c r="J1150" t="s">
        <v>432</v>
      </c>
      <c r="K1150" t="s">
        <v>417</v>
      </c>
      <c r="L1150" t="s">
        <v>2295</v>
      </c>
    </row>
    <row r="1151" spans="1:12" hidden="1" x14ac:dyDescent="0.25">
      <c r="A1151" s="516">
        <v>1126</v>
      </c>
      <c r="B1151" t="s">
        <v>441</v>
      </c>
      <c r="C1151" t="s">
        <v>432</v>
      </c>
      <c r="D1151" t="s">
        <v>2285</v>
      </c>
      <c r="E1151">
        <v>4</v>
      </c>
      <c r="F1151">
        <v>-4.0225717094390943E-5</v>
      </c>
      <c r="G1151">
        <v>-2.282140699708562E-15</v>
      </c>
      <c r="H1151">
        <v>-1.227991242261291E-5</v>
      </c>
      <c r="I1151" t="s">
        <v>2231</v>
      </c>
      <c r="L1151" t="s">
        <v>2295</v>
      </c>
    </row>
    <row r="1152" spans="1:12" hidden="1" x14ac:dyDescent="0.25">
      <c r="A1152" s="516">
        <v>1127</v>
      </c>
      <c r="B1152" t="s">
        <v>441</v>
      </c>
      <c r="C1152" t="s">
        <v>432</v>
      </c>
      <c r="D1152" t="s">
        <v>2285</v>
      </c>
      <c r="E1152">
        <v>4</v>
      </c>
      <c r="F1152">
        <v>-4.8162747207165018E-3</v>
      </c>
      <c r="G1152">
        <v>-2.7324352068933668E-13</v>
      </c>
      <c r="H1152">
        <v>-8.8891388519869285E-5</v>
      </c>
      <c r="I1152" t="s">
        <v>2266</v>
      </c>
      <c r="J1152" t="s">
        <v>419</v>
      </c>
      <c r="K1152" t="s">
        <v>925</v>
      </c>
      <c r="L1152" t="s">
        <v>2295</v>
      </c>
    </row>
    <row r="1153" spans="1:12" x14ac:dyDescent="0.25">
      <c r="A1153" s="516">
        <v>1128</v>
      </c>
      <c r="B1153" t="s">
        <v>441</v>
      </c>
      <c r="C1153" t="s">
        <v>432</v>
      </c>
      <c r="D1153" t="s">
        <v>2285</v>
      </c>
      <c r="E1153">
        <v>3</v>
      </c>
      <c r="F1153">
        <v>6.0478003256085752E-2</v>
      </c>
      <c r="G1153">
        <v>3.431121248726366E-12</v>
      </c>
      <c r="H1153">
        <v>2.4911397180329472E-10</v>
      </c>
      <c r="I1153" t="s">
        <v>1038</v>
      </c>
      <c r="J1153" t="s">
        <v>432</v>
      </c>
      <c r="K1153" t="s">
        <v>416</v>
      </c>
      <c r="L1153" t="str">
        <f>O22</f>
        <v>Drilling equipment</v>
      </c>
    </row>
    <row r="1154" spans="1:12" hidden="1" x14ac:dyDescent="0.25">
      <c r="A1154" s="516">
        <v>1129</v>
      </c>
      <c r="B1154" t="s">
        <v>441</v>
      </c>
      <c r="C1154" t="s">
        <v>432</v>
      </c>
      <c r="D1154" t="s">
        <v>2285</v>
      </c>
      <c r="E1154">
        <v>4</v>
      </c>
      <c r="F1154">
        <v>1.0688058800077281E-3</v>
      </c>
      <c r="G1154">
        <v>6.0636964982622484E-14</v>
      </c>
      <c r="H1154">
        <v>1.743797802623063E-6</v>
      </c>
      <c r="I1154" t="s">
        <v>460</v>
      </c>
      <c r="J1154" t="s">
        <v>462</v>
      </c>
      <c r="K1154" t="s">
        <v>417</v>
      </c>
      <c r="L1154" t="s">
        <v>2295</v>
      </c>
    </row>
    <row r="1155" spans="1:12" hidden="1" x14ac:dyDescent="0.25">
      <c r="A1155" s="516">
        <v>1130</v>
      </c>
      <c r="B1155" t="s">
        <v>441</v>
      </c>
      <c r="C1155" t="s">
        <v>432</v>
      </c>
      <c r="D1155" t="s">
        <v>2285</v>
      </c>
      <c r="E1155">
        <v>4</v>
      </c>
      <c r="F1155">
        <v>1.9805308211792001E-2</v>
      </c>
      <c r="G1155">
        <v>1.123621981289805E-12</v>
      </c>
      <c r="H1155">
        <v>7.4734191540988415E-7</v>
      </c>
      <c r="I1155" t="s">
        <v>1494</v>
      </c>
      <c r="J1155" t="s">
        <v>462</v>
      </c>
      <c r="K1155" t="s">
        <v>417</v>
      </c>
      <c r="L1155" t="s">
        <v>2295</v>
      </c>
    </row>
    <row r="1156" spans="1:12" hidden="1" x14ac:dyDescent="0.25">
      <c r="A1156" s="516">
        <v>1131</v>
      </c>
      <c r="B1156" t="s">
        <v>441</v>
      </c>
      <c r="C1156" t="s">
        <v>432</v>
      </c>
      <c r="D1156" t="s">
        <v>2285</v>
      </c>
      <c r="E1156">
        <v>4</v>
      </c>
      <c r="F1156">
        <v>1.503245001531207E-2</v>
      </c>
      <c r="G1156">
        <v>8.5284162655889382E-13</v>
      </c>
      <c r="H1156">
        <v>2.4911397180329471E-4</v>
      </c>
      <c r="I1156" t="s">
        <v>1060</v>
      </c>
      <c r="J1156" t="s">
        <v>459</v>
      </c>
      <c r="K1156" t="s">
        <v>417</v>
      </c>
      <c r="L1156" t="s">
        <v>2295</v>
      </c>
    </row>
    <row r="1157" spans="1:12" hidden="1" x14ac:dyDescent="0.25">
      <c r="A1157" s="516">
        <v>1132</v>
      </c>
      <c r="B1157" t="s">
        <v>441</v>
      </c>
      <c r="C1157" t="s">
        <v>432</v>
      </c>
      <c r="D1157" t="s">
        <v>2285</v>
      </c>
      <c r="E1157">
        <v>4</v>
      </c>
      <c r="F1157">
        <v>1.5200197145884119E-2</v>
      </c>
      <c r="G1157">
        <v>8.6235848745262221E-13</v>
      </c>
      <c r="H1157">
        <v>7.4734191540988412E-5</v>
      </c>
      <c r="I1157" t="s">
        <v>1105</v>
      </c>
      <c r="J1157" t="s">
        <v>462</v>
      </c>
      <c r="K1157" t="s">
        <v>417</v>
      </c>
      <c r="L1157" t="s">
        <v>2295</v>
      </c>
    </row>
    <row r="1158" spans="1:12" hidden="1" x14ac:dyDescent="0.25">
      <c r="A1158" s="516">
        <v>1133</v>
      </c>
      <c r="B1158" t="s">
        <v>441</v>
      </c>
      <c r="C1158" t="s">
        <v>432</v>
      </c>
      <c r="D1158" t="s">
        <v>2285</v>
      </c>
      <c r="E1158">
        <v>4</v>
      </c>
      <c r="F1158">
        <v>3.099274655172767E-6</v>
      </c>
      <c r="G1158">
        <v>1.7583231179068881E-16</v>
      </c>
      <c r="H1158">
        <v>1.2455698590164741E-4</v>
      </c>
      <c r="I1158" t="s">
        <v>2231</v>
      </c>
      <c r="L1158" t="s">
        <v>2295</v>
      </c>
    </row>
    <row r="1159" spans="1:12" hidden="1" x14ac:dyDescent="0.25">
      <c r="A1159" s="516">
        <v>1134</v>
      </c>
      <c r="B1159" t="s">
        <v>441</v>
      </c>
      <c r="C1159" t="s">
        <v>432</v>
      </c>
      <c r="D1159" t="s">
        <v>2285</v>
      </c>
      <c r="E1159">
        <v>4</v>
      </c>
      <c r="F1159">
        <v>1.8796882730619849E-3</v>
      </c>
      <c r="G1159">
        <v>1.066410600127701E-13</v>
      </c>
      <c r="H1159">
        <v>1.1210128731148261E-3</v>
      </c>
      <c r="I1159" t="s">
        <v>1107</v>
      </c>
      <c r="J1159" t="s">
        <v>432</v>
      </c>
      <c r="K1159" t="s">
        <v>417</v>
      </c>
      <c r="L1159" t="s">
        <v>2295</v>
      </c>
    </row>
    <row r="1160" spans="1:12" hidden="1" x14ac:dyDescent="0.25">
      <c r="A1160" s="516">
        <v>1135</v>
      </c>
      <c r="B1160" t="s">
        <v>441</v>
      </c>
      <c r="C1160" t="s">
        <v>432</v>
      </c>
      <c r="D1160" t="s">
        <v>2285</v>
      </c>
      <c r="E1160">
        <v>4</v>
      </c>
      <c r="F1160">
        <v>3.7206437630239199E-4</v>
      </c>
      <c r="G1160">
        <v>2.110846785102481E-14</v>
      </c>
      <c r="H1160">
        <v>-6.7260772386889571E-5</v>
      </c>
      <c r="I1160" t="s">
        <v>533</v>
      </c>
      <c r="J1160" t="s">
        <v>432</v>
      </c>
      <c r="K1160" t="s">
        <v>417</v>
      </c>
      <c r="L1160" t="s">
        <v>2295</v>
      </c>
    </row>
    <row r="1161" spans="1:12" hidden="1" x14ac:dyDescent="0.25">
      <c r="A1161" s="516">
        <v>1136</v>
      </c>
      <c r="B1161" t="s">
        <v>441</v>
      </c>
      <c r="C1161" t="s">
        <v>432</v>
      </c>
      <c r="D1161" t="s">
        <v>2285</v>
      </c>
      <c r="E1161">
        <v>4</v>
      </c>
      <c r="F1161">
        <v>7.0979717324654084E-3</v>
      </c>
      <c r="G1161">
        <v>4.0269189329875041E-13</v>
      </c>
      <c r="H1161">
        <v>-1.3452154477377909E-3</v>
      </c>
      <c r="I1161" t="s">
        <v>1448</v>
      </c>
      <c r="J1161" t="s">
        <v>432</v>
      </c>
      <c r="K1161" t="s">
        <v>417</v>
      </c>
      <c r="L1161" t="s">
        <v>2295</v>
      </c>
    </row>
    <row r="1162" spans="1:12" hidden="1" x14ac:dyDescent="0.25">
      <c r="A1162" s="516">
        <v>1137</v>
      </c>
      <c r="B1162" t="s">
        <v>441</v>
      </c>
      <c r="C1162" t="s">
        <v>432</v>
      </c>
      <c r="D1162" t="s">
        <v>2285</v>
      </c>
      <c r="E1162">
        <v>4</v>
      </c>
      <c r="F1162">
        <v>1.8418346591383329E-5</v>
      </c>
      <c r="G1162">
        <v>1.0449349673220729E-15</v>
      </c>
      <c r="H1162">
        <v>-7.4734191540988415E-7</v>
      </c>
      <c r="I1162" t="s">
        <v>2231</v>
      </c>
      <c r="L1162" t="s">
        <v>2295</v>
      </c>
    </row>
    <row r="1163" spans="1:12" x14ac:dyDescent="0.25">
      <c r="A1163" s="568">
        <v>1138</v>
      </c>
      <c r="B1163" s="417" t="s">
        <v>441</v>
      </c>
      <c r="C1163" s="417" t="s">
        <v>432</v>
      </c>
      <c r="D1163" s="417" t="s">
        <v>2285</v>
      </c>
      <c r="E1163" s="417">
        <v>2</v>
      </c>
      <c r="F1163" s="417">
        <v>0.19656450647664289</v>
      </c>
      <c r="G1163" s="417">
        <v>1.115176789256107E-11</v>
      </c>
      <c r="H1163" s="417">
        <v>4.7082540670822703E-5</v>
      </c>
      <c r="I1163" s="417" t="s">
        <v>2091</v>
      </c>
      <c r="J1163" s="417" t="s">
        <v>432</v>
      </c>
      <c r="K1163" s="417" t="s">
        <v>1047</v>
      </c>
    </row>
    <row r="1164" spans="1:12" x14ac:dyDescent="0.25">
      <c r="A1164" s="516">
        <v>1139</v>
      </c>
      <c r="B1164" t="s">
        <v>441</v>
      </c>
      <c r="C1164" t="s">
        <v>432</v>
      </c>
      <c r="D1164" t="s">
        <v>2285</v>
      </c>
      <c r="E1164">
        <v>3</v>
      </c>
      <c r="F1164">
        <v>0.14457202002923869</v>
      </c>
      <c r="G1164">
        <v>8.2020586525184119E-12</v>
      </c>
      <c r="H1164">
        <v>9.2281779714812485E-3</v>
      </c>
      <c r="I1164" t="s">
        <v>1034</v>
      </c>
      <c r="J1164" t="s">
        <v>432</v>
      </c>
      <c r="K1164" t="s">
        <v>433</v>
      </c>
      <c r="L1164" t="str">
        <f>O15</f>
        <v>Energy use, horizontal</v>
      </c>
    </row>
    <row r="1165" spans="1:12" hidden="1" x14ac:dyDescent="0.25">
      <c r="A1165" s="516">
        <v>1140</v>
      </c>
      <c r="B1165" t="s">
        <v>441</v>
      </c>
      <c r="C1165" t="s">
        <v>432</v>
      </c>
      <c r="D1165" t="s">
        <v>2285</v>
      </c>
      <c r="E1165">
        <v>4</v>
      </c>
      <c r="F1165">
        <v>5.4365742556592355E-4</v>
      </c>
      <c r="G1165">
        <v>3.0843520692780267E-14</v>
      </c>
      <c r="H1165">
        <v>3.4702202249265933E-5</v>
      </c>
      <c r="I1165" t="s">
        <v>2270</v>
      </c>
      <c r="L1165" t="s">
        <v>2295</v>
      </c>
    </row>
    <row r="1166" spans="1:12" hidden="1" x14ac:dyDescent="0.25">
      <c r="A1166" s="516">
        <v>1141</v>
      </c>
      <c r="B1166" t="s">
        <v>441</v>
      </c>
      <c r="C1166" t="s">
        <v>432</v>
      </c>
      <c r="D1166" t="s">
        <v>2285</v>
      </c>
      <c r="E1166">
        <v>4</v>
      </c>
      <c r="F1166">
        <v>7.0594707982989653E-5</v>
      </c>
      <c r="G1166">
        <v>4.0050760535599328E-15</v>
      </c>
      <c r="H1166">
        <v>6.5928035381349892E-5</v>
      </c>
      <c r="I1166" t="s">
        <v>2231</v>
      </c>
      <c r="L1166" t="s">
        <v>2295</v>
      </c>
    </row>
    <row r="1167" spans="1:12" hidden="1" x14ac:dyDescent="0.25">
      <c r="A1167" s="516">
        <v>1142</v>
      </c>
      <c r="B1167" t="s">
        <v>441</v>
      </c>
      <c r="C1167" t="s">
        <v>432</v>
      </c>
      <c r="D1167" t="s">
        <v>2285</v>
      </c>
      <c r="E1167">
        <v>4</v>
      </c>
      <c r="F1167">
        <v>7.9704504783480193E-2</v>
      </c>
      <c r="G1167">
        <v>4.5219055732348773E-12</v>
      </c>
      <c r="H1167">
        <v>9.162249936099898E-3</v>
      </c>
      <c r="I1167" t="s">
        <v>2259</v>
      </c>
      <c r="J1167" t="s">
        <v>432</v>
      </c>
      <c r="K1167" t="s">
        <v>433</v>
      </c>
      <c r="L1167" t="s">
        <v>2295</v>
      </c>
    </row>
    <row r="1168" spans="1:12" hidden="1" x14ac:dyDescent="0.25">
      <c r="A1168" s="516">
        <v>1143</v>
      </c>
      <c r="B1168" t="s">
        <v>441</v>
      </c>
      <c r="C1168" t="s">
        <v>432</v>
      </c>
      <c r="D1168" t="s">
        <v>2285</v>
      </c>
      <c r="E1168">
        <v>4</v>
      </c>
      <c r="F1168">
        <v>8.3280108590221366E-7</v>
      </c>
      <c r="G1168">
        <v>4.7247616454895768E-17</v>
      </c>
      <c r="H1168">
        <v>4.9832161045998741E-10</v>
      </c>
      <c r="I1168" t="s">
        <v>2231</v>
      </c>
      <c r="L1168" t="s">
        <v>2295</v>
      </c>
    </row>
    <row r="1169" spans="1:12" hidden="1" x14ac:dyDescent="0.25">
      <c r="A1169" s="516">
        <v>1144</v>
      </c>
      <c r="B1169" t="s">
        <v>441</v>
      </c>
      <c r="C1169" t="s">
        <v>432</v>
      </c>
      <c r="D1169" t="s">
        <v>2285</v>
      </c>
      <c r="E1169">
        <v>4</v>
      </c>
      <c r="F1169">
        <v>6.4252430307514999E-2</v>
      </c>
      <c r="G1169">
        <v>3.6452572347160051E-12</v>
      </c>
      <c r="H1169">
        <v>1.719003554433E-10</v>
      </c>
      <c r="I1169" t="s">
        <v>2260</v>
      </c>
      <c r="J1169" t="s">
        <v>462</v>
      </c>
      <c r="K1169" t="s">
        <v>1995</v>
      </c>
      <c r="L1169" t="s">
        <v>2295</v>
      </c>
    </row>
    <row r="1170" spans="1:12" x14ac:dyDescent="0.25">
      <c r="A1170" s="516">
        <v>1145</v>
      </c>
      <c r="B1170" t="s">
        <v>441</v>
      </c>
      <c r="C1170" t="s">
        <v>432</v>
      </c>
      <c r="D1170" t="s">
        <v>2285</v>
      </c>
      <c r="E1170">
        <v>3</v>
      </c>
      <c r="F1170">
        <v>4.3761878794279223E-2</v>
      </c>
      <c r="G1170">
        <v>2.4827590881173769E-12</v>
      </c>
      <c r="H1170">
        <v>1.6949714641496169E-3</v>
      </c>
      <c r="I1170" t="s">
        <v>1069</v>
      </c>
      <c r="J1170" t="s">
        <v>462</v>
      </c>
      <c r="K1170" t="s">
        <v>434</v>
      </c>
      <c r="L1170" t="str">
        <f>O16</f>
        <v>Energy use, horizontal</v>
      </c>
    </row>
    <row r="1171" spans="1:12" hidden="1" x14ac:dyDescent="0.25">
      <c r="A1171" s="516">
        <v>1146</v>
      </c>
      <c r="B1171" t="s">
        <v>441</v>
      </c>
      <c r="C1171" t="s">
        <v>432</v>
      </c>
      <c r="D1171" t="s">
        <v>2285</v>
      </c>
      <c r="E1171">
        <v>4</v>
      </c>
      <c r="F1171">
        <v>4.3596780724967192E-2</v>
      </c>
      <c r="G1171">
        <v>2.4733925174099818E-12</v>
      </c>
      <c r="H1171">
        <v>3.9662332430598193E-5</v>
      </c>
      <c r="I1171" t="s">
        <v>2267</v>
      </c>
      <c r="J1171" t="s">
        <v>462</v>
      </c>
      <c r="K1171" t="s">
        <v>417</v>
      </c>
      <c r="L1171" t="s">
        <v>2295</v>
      </c>
    </row>
    <row r="1172" spans="1:12" hidden="1" x14ac:dyDescent="0.25">
      <c r="A1172" s="516">
        <v>1147</v>
      </c>
      <c r="B1172" t="s">
        <v>441</v>
      </c>
      <c r="C1172" t="s">
        <v>432</v>
      </c>
      <c r="D1172" t="s">
        <v>2285</v>
      </c>
      <c r="E1172">
        <v>4</v>
      </c>
      <c r="F1172">
        <v>2.048562471117027E-5</v>
      </c>
      <c r="G1172">
        <v>1.1622186324886189E-15</v>
      </c>
      <c r="H1172">
        <v>3.1356972256265062E-13</v>
      </c>
      <c r="I1172" t="s">
        <v>2231</v>
      </c>
      <c r="L1172" t="s">
        <v>2295</v>
      </c>
    </row>
    <row r="1173" spans="1:12" hidden="1" x14ac:dyDescent="0.25">
      <c r="A1173" s="516">
        <v>1148</v>
      </c>
      <c r="B1173" t="s">
        <v>441</v>
      </c>
      <c r="C1173" t="s">
        <v>432</v>
      </c>
      <c r="D1173" t="s">
        <v>2285</v>
      </c>
      <c r="E1173">
        <v>4</v>
      </c>
      <c r="F1173">
        <v>3.1509139803544703E-5</v>
      </c>
      <c r="G1173">
        <v>1.7876198500014618E-15</v>
      </c>
      <c r="H1173">
        <v>1.9759977358547381E-8</v>
      </c>
      <c r="I1173" t="s">
        <v>2231</v>
      </c>
      <c r="L1173" t="s">
        <v>2295</v>
      </c>
    </row>
    <row r="1174" spans="1:12" hidden="1" x14ac:dyDescent="0.25">
      <c r="A1174" s="516">
        <v>1149</v>
      </c>
      <c r="B1174" t="s">
        <v>441</v>
      </c>
      <c r="C1174" t="s">
        <v>432</v>
      </c>
      <c r="D1174" t="s">
        <v>2285</v>
      </c>
      <c r="E1174">
        <v>4</v>
      </c>
      <c r="F1174">
        <v>1.1226908675642451E-4</v>
      </c>
      <c r="G1174">
        <v>6.3694042198112632E-15</v>
      </c>
      <c r="H1174">
        <v>9.3803110908974122E-8</v>
      </c>
      <c r="I1174" t="s">
        <v>502</v>
      </c>
      <c r="J1174" t="s">
        <v>1992</v>
      </c>
      <c r="K1174" t="s">
        <v>417</v>
      </c>
      <c r="L1174" t="s">
        <v>2295</v>
      </c>
    </row>
    <row r="1175" spans="1:12" hidden="1" x14ac:dyDescent="0.25">
      <c r="A1175" s="516">
        <v>1150</v>
      </c>
      <c r="B1175" t="s">
        <v>441</v>
      </c>
      <c r="C1175" t="s">
        <v>432</v>
      </c>
      <c r="D1175" t="s">
        <v>2285</v>
      </c>
      <c r="E1175">
        <v>4</v>
      </c>
      <c r="F1175">
        <v>6.0104381314205569E-9</v>
      </c>
      <c r="G1175">
        <v>3.4099244149230529E-19</v>
      </c>
      <c r="H1175">
        <v>-7.716965046427933E-10</v>
      </c>
      <c r="I1175" t="s">
        <v>2231</v>
      </c>
      <c r="L1175" t="s">
        <v>2295</v>
      </c>
    </row>
    <row r="1176" spans="1:12" hidden="1" x14ac:dyDescent="0.25">
      <c r="A1176" s="516">
        <v>1151</v>
      </c>
      <c r="B1176" t="s">
        <v>441</v>
      </c>
      <c r="C1176" t="s">
        <v>432</v>
      </c>
      <c r="D1176" t="s">
        <v>2285</v>
      </c>
      <c r="E1176">
        <v>4</v>
      </c>
      <c r="F1176">
        <v>6.1017149684462572E-7</v>
      </c>
      <c r="G1176">
        <v>3.4617088453231923E-17</v>
      </c>
      <c r="H1176">
        <v>-8.1619319693741971E-8</v>
      </c>
      <c r="I1176" t="s">
        <v>2231</v>
      </c>
      <c r="L1176" t="s">
        <v>2295</v>
      </c>
    </row>
    <row r="1177" spans="1:12" hidden="1" x14ac:dyDescent="0.25">
      <c r="A1177" s="516">
        <v>1152</v>
      </c>
      <c r="B1177" t="s">
        <v>441</v>
      </c>
      <c r="C1177" t="s">
        <v>432</v>
      </c>
      <c r="D1177" t="s">
        <v>2285</v>
      </c>
      <c r="E1177">
        <v>4</v>
      </c>
      <c r="F1177">
        <v>2.1940511894465731E-7</v>
      </c>
      <c r="G1177">
        <v>1.2447592928997639E-17</v>
      </c>
      <c r="H1177">
        <v>-3.1172071916589303E-8</v>
      </c>
      <c r="I1177" t="s">
        <v>2231</v>
      </c>
      <c r="L1177" t="s">
        <v>2295</v>
      </c>
    </row>
    <row r="1178" spans="1:12" x14ac:dyDescent="0.25">
      <c r="A1178" s="516">
        <v>1153</v>
      </c>
      <c r="B1178" t="s">
        <v>441</v>
      </c>
      <c r="C1178" t="s">
        <v>432</v>
      </c>
      <c r="D1178" t="s">
        <v>2285</v>
      </c>
      <c r="E1178">
        <v>3</v>
      </c>
      <c r="F1178">
        <v>8.2306078541361186E-3</v>
      </c>
      <c r="G1178">
        <v>4.6695016332932282E-13</v>
      </c>
      <c r="H1178">
        <v>-2.7214958868432108E-3</v>
      </c>
      <c r="I1178" t="s">
        <v>1073</v>
      </c>
      <c r="J1178" t="s">
        <v>432</v>
      </c>
      <c r="K1178" t="s">
        <v>417</v>
      </c>
      <c r="L1178" t="str">
        <f>O17</f>
        <v>Drilling waste</v>
      </c>
    </row>
    <row r="1179" spans="1:12" hidden="1" x14ac:dyDescent="0.25">
      <c r="A1179" s="516">
        <v>1154</v>
      </c>
      <c r="B1179" t="s">
        <v>441</v>
      </c>
      <c r="C1179" t="s">
        <v>432</v>
      </c>
      <c r="D1179" t="s">
        <v>2285</v>
      </c>
      <c r="E1179">
        <v>4</v>
      </c>
      <c r="F1179">
        <v>-6.3912605013673792E-4</v>
      </c>
      <c r="G1179">
        <v>-3.6259777988256358E-14</v>
      </c>
      <c r="H1179">
        <v>1.6328975321059269E-3</v>
      </c>
      <c r="I1179" t="s">
        <v>2268</v>
      </c>
      <c r="J1179" t="s">
        <v>432</v>
      </c>
      <c r="K1179" t="s">
        <v>417</v>
      </c>
      <c r="L1179" t="s">
        <v>2295</v>
      </c>
    </row>
    <row r="1180" spans="1:12" hidden="1" x14ac:dyDescent="0.25">
      <c r="A1180" s="516">
        <v>1155</v>
      </c>
      <c r="B1180" t="s">
        <v>441</v>
      </c>
      <c r="C1180" t="s">
        <v>432</v>
      </c>
      <c r="D1180" t="s">
        <v>2285</v>
      </c>
      <c r="E1180">
        <v>4</v>
      </c>
      <c r="F1180">
        <v>-3.7598317340671811E-3</v>
      </c>
      <c r="G1180">
        <v>-2.1330794437389881E-13</v>
      </c>
      <c r="H1180">
        <v>1.088598354737285E-3</v>
      </c>
      <c r="I1180" t="s">
        <v>2269</v>
      </c>
      <c r="J1180" t="s">
        <v>432</v>
      </c>
      <c r="K1180" t="s">
        <v>417</v>
      </c>
      <c r="L1180" t="s">
        <v>2295</v>
      </c>
    </row>
    <row r="1181" spans="1:12" hidden="1" x14ac:dyDescent="0.25">
      <c r="A1181" s="516">
        <v>1156</v>
      </c>
      <c r="B1181" t="s">
        <v>441</v>
      </c>
      <c r="C1181" t="s">
        <v>432</v>
      </c>
      <c r="D1181" t="s">
        <v>2285</v>
      </c>
      <c r="E1181">
        <v>4</v>
      </c>
      <c r="F1181">
        <v>-3.1737024391268103E-5</v>
      </c>
      <c r="G1181">
        <v>-1.8005485118139919E-15</v>
      </c>
      <c r="H1181">
        <v>-9.6885253571618308E-6</v>
      </c>
      <c r="I1181" t="s">
        <v>2231</v>
      </c>
      <c r="L1181" t="s">
        <v>2295</v>
      </c>
    </row>
    <row r="1182" spans="1:12" hidden="1" x14ac:dyDescent="0.25">
      <c r="A1182" s="516">
        <v>1157</v>
      </c>
      <c r="B1182" t="s">
        <v>441</v>
      </c>
      <c r="C1182" t="s">
        <v>432</v>
      </c>
      <c r="D1182" t="s">
        <v>2285</v>
      </c>
      <c r="E1182">
        <v>4</v>
      </c>
      <c r="F1182">
        <v>-3.7999130737115441E-3</v>
      </c>
      <c r="G1182">
        <v>-2.155818940535677E-13</v>
      </c>
      <c r="H1182">
        <v>-7.013294900394956E-5</v>
      </c>
      <c r="I1182" t="s">
        <v>2266</v>
      </c>
      <c r="J1182" t="s">
        <v>419</v>
      </c>
      <c r="K1182" t="s">
        <v>925</v>
      </c>
      <c r="L1182" t="s">
        <v>2295</v>
      </c>
    </row>
    <row r="1183" spans="1:12" x14ac:dyDescent="0.25">
      <c r="A1183" s="568">
        <v>1158</v>
      </c>
      <c r="B1183" s="417" t="s">
        <v>441</v>
      </c>
      <c r="C1183" s="417" t="s">
        <v>432</v>
      </c>
      <c r="D1183" s="417" t="s">
        <v>2285</v>
      </c>
      <c r="E1183" s="417">
        <v>2</v>
      </c>
      <c r="F1183" s="417">
        <v>3.489217381520231E-3</v>
      </c>
      <c r="G1183" s="417">
        <v>1.9795507878237921E-13</v>
      </c>
      <c r="H1183" s="417">
        <v>1.1210128731148259E-9</v>
      </c>
      <c r="I1183" s="417" t="s">
        <v>1517</v>
      </c>
      <c r="J1183" s="417" t="s">
        <v>432</v>
      </c>
      <c r="K1183" s="417" t="s">
        <v>416</v>
      </c>
      <c r="L1183" s="417" t="s">
        <v>829</v>
      </c>
    </row>
    <row r="1184" spans="1:12" x14ac:dyDescent="0.25">
      <c r="A1184" s="516">
        <v>1159</v>
      </c>
      <c r="B1184" t="s">
        <v>441</v>
      </c>
      <c r="C1184" t="s">
        <v>432</v>
      </c>
      <c r="D1184" t="s">
        <v>2285</v>
      </c>
      <c r="E1184">
        <v>3</v>
      </c>
      <c r="F1184">
        <v>3.489217511154379E-3</v>
      </c>
      <c r="G1184">
        <v>1.9795508613696189E-13</v>
      </c>
      <c r="H1184">
        <v>5.7822432923703427E-5</v>
      </c>
      <c r="I1184" t="s">
        <v>1060</v>
      </c>
      <c r="J1184" t="s">
        <v>459</v>
      </c>
      <c r="K1184" t="s">
        <v>417</v>
      </c>
    </row>
    <row r="1185" spans="1:12" hidden="1" x14ac:dyDescent="0.25">
      <c r="A1185" s="516">
        <v>1160</v>
      </c>
      <c r="B1185" t="s">
        <v>441</v>
      </c>
      <c r="C1185" t="s">
        <v>432</v>
      </c>
      <c r="D1185" t="s">
        <v>2285</v>
      </c>
      <c r="E1185">
        <v>4</v>
      </c>
      <c r="F1185">
        <v>3.0029670617916261E-3</v>
      </c>
      <c r="G1185">
        <v>1.7036845696293409E-13</v>
      </c>
      <c r="H1185">
        <v>5.7822432923703427E-5</v>
      </c>
      <c r="I1185" t="s">
        <v>2263</v>
      </c>
      <c r="J1185" t="s">
        <v>459</v>
      </c>
      <c r="K1185" t="s">
        <v>417</v>
      </c>
      <c r="L1185" t="s">
        <v>2295</v>
      </c>
    </row>
    <row r="1186" spans="1:12" hidden="1" x14ac:dyDescent="0.25">
      <c r="A1186" s="516">
        <v>1161</v>
      </c>
      <c r="B1186" t="s">
        <v>441</v>
      </c>
      <c r="C1186" t="s">
        <v>432</v>
      </c>
      <c r="D1186" t="s">
        <v>2285</v>
      </c>
      <c r="E1186">
        <v>4</v>
      </c>
      <c r="F1186">
        <v>1.7196433206732191E-5</v>
      </c>
      <c r="G1186">
        <v>9.7561169683599268E-16</v>
      </c>
      <c r="H1186">
        <v>1.4455608230925861E-6</v>
      </c>
      <c r="I1186" t="s">
        <v>2231</v>
      </c>
      <c r="L1186" t="s">
        <v>2295</v>
      </c>
    </row>
    <row r="1187" spans="1:12" hidden="1" x14ac:dyDescent="0.25">
      <c r="A1187" s="516">
        <v>1162</v>
      </c>
      <c r="B1187" t="s">
        <v>441</v>
      </c>
      <c r="C1187" t="s">
        <v>432</v>
      </c>
      <c r="D1187" t="s">
        <v>2285</v>
      </c>
      <c r="E1187">
        <v>4</v>
      </c>
      <c r="F1187">
        <v>1.3414593812991011E-4</v>
      </c>
      <c r="G1187">
        <v>7.6105518364902524E-15</v>
      </c>
      <c r="H1187">
        <v>1.9081402864822129E-7</v>
      </c>
      <c r="I1187" t="s">
        <v>2265</v>
      </c>
      <c r="J1187" t="s">
        <v>459</v>
      </c>
      <c r="K1187" t="s">
        <v>925</v>
      </c>
      <c r="L1187" t="s">
        <v>2295</v>
      </c>
    </row>
    <row r="1188" spans="1:12" hidden="1" x14ac:dyDescent="0.25">
      <c r="A1188" s="516">
        <v>1163</v>
      </c>
      <c r="B1188" t="s">
        <v>441</v>
      </c>
      <c r="C1188" t="s">
        <v>432</v>
      </c>
      <c r="D1188" t="s">
        <v>2285</v>
      </c>
      <c r="E1188">
        <v>4</v>
      </c>
      <c r="F1188">
        <v>3.3490808137261988E-4</v>
      </c>
      <c r="G1188">
        <v>1.9000465830560351E-14</v>
      </c>
      <c r="H1188">
        <v>6.1812180795438962E-6</v>
      </c>
      <c r="I1188" t="s">
        <v>2266</v>
      </c>
      <c r="J1188" t="s">
        <v>419</v>
      </c>
      <c r="K1188" t="s">
        <v>925</v>
      </c>
      <c r="L1188" t="s">
        <v>2295</v>
      </c>
    </row>
    <row r="1189" spans="1:12" hidden="1" x14ac:dyDescent="0.25">
      <c r="A1189" s="516">
        <v>1164</v>
      </c>
      <c r="B1189" t="s">
        <v>441</v>
      </c>
      <c r="C1189" t="s">
        <v>432</v>
      </c>
      <c r="D1189" t="s">
        <v>2285</v>
      </c>
      <c r="E1189">
        <v>1</v>
      </c>
      <c r="F1189">
        <v>1.1746626396352581E-3</v>
      </c>
      <c r="G1189">
        <v>6.664257624166794E-14</v>
      </c>
      <c r="H1189">
        <v>3.0490301023033151E-5</v>
      </c>
      <c r="I1189" t="s">
        <v>1003</v>
      </c>
      <c r="J1189" t="s">
        <v>432</v>
      </c>
      <c r="K1189" t="s">
        <v>417</v>
      </c>
      <c r="L1189" t="s">
        <v>823</v>
      </c>
    </row>
    <row r="1190" spans="1:12" x14ac:dyDescent="0.25">
      <c r="A1190" s="568">
        <v>1165</v>
      </c>
      <c r="B1190" s="417" t="s">
        <v>441</v>
      </c>
      <c r="C1190" s="417" t="s">
        <v>432</v>
      </c>
      <c r="D1190" s="417" t="s">
        <v>2285</v>
      </c>
      <c r="E1190" s="417">
        <v>2</v>
      </c>
      <c r="F1190" s="417">
        <v>1.1054613003759651E-3</v>
      </c>
      <c r="G1190" s="417">
        <v>6.2716550698670362E-14</v>
      </c>
      <c r="H1190" s="417">
        <v>3.0490301023033151E-5</v>
      </c>
      <c r="I1190" s="417" t="s">
        <v>1000</v>
      </c>
      <c r="J1190" s="417" t="s">
        <v>432</v>
      </c>
      <c r="K1190" s="417" t="s">
        <v>417</v>
      </c>
    </row>
    <row r="1191" spans="1:12" x14ac:dyDescent="0.25">
      <c r="A1191" s="516">
        <v>1166</v>
      </c>
      <c r="B1191" t="s">
        <v>441</v>
      </c>
      <c r="C1191" t="s">
        <v>432</v>
      </c>
      <c r="D1191" t="s">
        <v>2285</v>
      </c>
      <c r="E1191">
        <v>3</v>
      </c>
      <c r="F1191">
        <v>1.0362599611166939E-3</v>
      </c>
      <c r="G1191">
        <v>5.8790525155674084E-14</v>
      </c>
      <c r="H1191">
        <v>3.0490301023033151E-5</v>
      </c>
      <c r="I1191" t="s">
        <v>998</v>
      </c>
      <c r="J1191" t="s">
        <v>432</v>
      </c>
      <c r="K1191" t="s">
        <v>417</v>
      </c>
    </row>
    <row r="1192" spans="1:12" hidden="1" x14ac:dyDescent="0.25">
      <c r="A1192" s="516">
        <v>1167</v>
      </c>
      <c r="B1192" t="s">
        <v>441</v>
      </c>
      <c r="C1192" t="s">
        <v>432</v>
      </c>
      <c r="D1192" t="s">
        <v>2285</v>
      </c>
      <c r="E1192">
        <v>4</v>
      </c>
      <c r="F1192">
        <v>8.4424803465056901E-4</v>
      </c>
      <c r="G1192">
        <v>4.7897040492876248E-14</v>
      </c>
      <c r="H1192">
        <v>3.1760730232326302E-5</v>
      </c>
      <c r="I1192" t="s">
        <v>996</v>
      </c>
      <c r="J1192" t="s">
        <v>432</v>
      </c>
      <c r="K1192" t="s">
        <v>417</v>
      </c>
      <c r="L1192" t="s">
        <v>2295</v>
      </c>
    </row>
    <row r="1193" spans="1:12" hidden="1" x14ac:dyDescent="0.25">
      <c r="A1193" s="516">
        <v>1168</v>
      </c>
      <c r="B1193" t="s">
        <v>441</v>
      </c>
      <c r="C1193" t="s">
        <v>432</v>
      </c>
      <c r="D1193" t="s">
        <v>2285</v>
      </c>
      <c r="E1193">
        <v>4</v>
      </c>
      <c r="F1193">
        <v>1.453495314052051E-4</v>
      </c>
      <c r="G1193">
        <v>8.2461694971160536E-15</v>
      </c>
      <c r="H1193">
        <v>3.8213860155779714E-6</v>
      </c>
      <c r="I1193" t="s">
        <v>924</v>
      </c>
      <c r="J1193" t="s">
        <v>419</v>
      </c>
      <c r="K1193" t="s">
        <v>925</v>
      </c>
      <c r="L1193" t="s">
        <v>2295</v>
      </c>
    </row>
    <row r="1194" spans="1:12" hidden="1" x14ac:dyDescent="0.25">
      <c r="A1194" s="516">
        <v>1169</v>
      </c>
      <c r="B1194" t="s">
        <v>441</v>
      </c>
      <c r="C1194" t="s">
        <v>432</v>
      </c>
      <c r="D1194" t="s">
        <v>2285</v>
      </c>
      <c r="E1194">
        <v>4</v>
      </c>
      <c r="F1194">
        <v>2.5789534712868611E-5</v>
      </c>
      <c r="G1194">
        <v>1.4631273485237881E-15</v>
      </c>
      <c r="H1194">
        <v>4.2076615411785742E-8</v>
      </c>
      <c r="I1194" t="s">
        <v>2231</v>
      </c>
      <c r="L1194" t="s">
        <v>2295</v>
      </c>
    </row>
    <row r="1195" spans="1:12" hidden="1" x14ac:dyDescent="0.25">
      <c r="A1195" s="516">
        <v>1170</v>
      </c>
      <c r="B1195" t="s">
        <v>441</v>
      </c>
      <c r="C1195" t="s">
        <v>432</v>
      </c>
      <c r="D1195" t="s">
        <v>2285</v>
      </c>
      <c r="E1195">
        <v>4</v>
      </c>
      <c r="F1195">
        <v>2.0872899394043409E-5</v>
      </c>
      <c r="G1195">
        <v>1.18419003236889E-15</v>
      </c>
      <c r="H1195">
        <v>4.2076615411785742E-8</v>
      </c>
      <c r="I1195" t="s">
        <v>2231</v>
      </c>
      <c r="L1195" t="s">
        <v>2295</v>
      </c>
    </row>
    <row r="1196" spans="1:12" x14ac:dyDescent="0.25">
      <c r="A1196" s="516">
        <v>1171</v>
      </c>
      <c r="B1196" t="s">
        <v>441</v>
      </c>
      <c r="C1196" t="s">
        <v>432</v>
      </c>
      <c r="D1196" t="s">
        <v>2285</v>
      </c>
      <c r="E1196">
        <v>3</v>
      </c>
      <c r="F1196">
        <v>6.9201338228196363E-5</v>
      </c>
      <c r="G1196">
        <v>3.9260254844999691E-15</v>
      </c>
      <c r="H1196">
        <v>3.049030102303315E-6</v>
      </c>
      <c r="I1196" t="s">
        <v>2231</v>
      </c>
    </row>
    <row r="1197" spans="1:12" x14ac:dyDescent="0.25">
      <c r="A1197" s="516">
        <v>1172</v>
      </c>
      <c r="B1197" t="s">
        <v>441</v>
      </c>
      <c r="C1197" t="s">
        <v>432</v>
      </c>
      <c r="D1197" t="s">
        <v>2285</v>
      </c>
      <c r="E1197">
        <v>2</v>
      </c>
      <c r="F1197">
        <v>6.9201338228196363E-5</v>
      </c>
      <c r="G1197">
        <v>3.9260254844999691E-15</v>
      </c>
      <c r="H1197">
        <v>3.049030102303315E-6</v>
      </c>
      <c r="I1197" t="s">
        <v>2231</v>
      </c>
    </row>
    <row r="1198" spans="1:12" hidden="1" x14ac:dyDescent="0.25">
      <c r="A1198" s="516">
        <v>1173</v>
      </c>
      <c r="B1198" t="s">
        <v>441</v>
      </c>
      <c r="C1198" t="s">
        <v>432</v>
      </c>
      <c r="D1198" t="s">
        <v>2291</v>
      </c>
      <c r="E1198">
        <v>0</v>
      </c>
      <c r="F1198">
        <v>1</v>
      </c>
      <c r="G1198">
        <v>4.9041053065256408E-10</v>
      </c>
      <c r="H1198">
        <v>1</v>
      </c>
      <c r="I1198" t="s">
        <v>441</v>
      </c>
      <c r="J1198" t="s">
        <v>432</v>
      </c>
      <c r="K1198" t="s">
        <v>433</v>
      </c>
      <c r="L1198" t="s">
        <v>1205</v>
      </c>
    </row>
    <row r="1199" spans="1:12" hidden="1" x14ac:dyDescent="0.25">
      <c r="A1199" s="516">
        <v>1174</v>
      </c>
      <c r="B1199" t="s">
        <v>441</v>
      </c>
      <c r="C1199" t="s">
        <v>432</v>
      </c>
      <c r="D1199" t="s">
        <v>2291</v>
      </c>
      <c r="E1199">
        <v>1</v>
      </c>
      <c r="F1199">
        <v>0.99968914559438393</v>
      </c>
      <c r="G1199">
        <v>4.9025808437855024E-10</v>
      </c>
      <c r="H1199">
        <v>1.1210128731148259E-9</v>
      </c>
      <c r="I1199" t="s">
        <v>2099</v>
      </c>
      <c r="J1199" t="s">
        <v>432</v>
      </c>
      <c r="K1199" t="s">
        <v>416</v>
      </c>
    </row>
    <row r="1200" spans="1:12" x14ac:dyDescent="0.25">
      <c r="A1200" s="568">
        <v>1175</v>
      </c>
      <c r="B1200" s="417" t="s">
        <v>441</v>
      </c>
      <c r="C1200" s="417" t="s">
        <v>432</v>
      </c>
      <c r="D1200" s="417" t="s">
        <v>2291</v>
      </c>
      <c r="E1200" s="417">
        <v>2</v>
      </c>
      <c r="F1200" s="417">
        <v>9.9855565946833105E-2</v>
      </c>
      <c r="G1200" s="417">
        <v>4.8970221084598532E-11</v>
      </c>
      <c r="H1200" s="417">
        <v>2.2420257462296519E-9</v>
      </c>
      <c r="I1200" s="417" t="s">
        <v>1122</v>
      </c>
      <c r="J1200" s="417" t="s">
        <v>432</v>
      </c>
      <c r="K1200" s="417" t="s">
        <v>416</v>
      </c>
      <c r="L1200" t="str">
        <f>$B$18</f>
        <v>Surface plant</v>
      </c>
    </row>
    <row r="1201" spans="1:12" x14ac:dyDescent="0.25">
      <c r="A1201" s="516">
        <v>1176</v>
      </c>
      <c r="B1201" t="s">
        <v>441</v>
      </c>
      <c r="C1201" t="s">
        <v>432</v>
      </c>
      <c r="D1201" t="s">
        <v>2291</v>
      </c>
      <c r="E1201">
        <v>3</v>
      </c>
      <c r="F1201">
        <v>6.6392767126215884E-4</v>
      </c>
      <c r="G1201">
        <v>3.2559712157859651E-13</v>
      </c>
      <c r="H1201">
        <v>7.1066873184536906E-7</v>
      </c>
      <c r="I1201" t="s">
        <v>2230</v>
      </c>
      <c r="J1201" t="s">
        <v>462</v>
      </c>
      <c r="K1201" t="s">
        <v>417</v>
      </c>
    </row>
    <row r="1202" spans="1:12" hidden="1" x14ac:dyDescent="0.25">
      <c r="A1202" s="516">
        <v>1177</v>
      </c>
      <c r="B1202" t="s">
        <v>441</v>
      </c>
      <c r="C1202" t="s">
        <v>432</v>
      </c>
      <c r="D1202" t="s">
        <v>2291</v>
      </c>
      <c r="E1202">
        <v>4</v>
      </c>
      <c r="F1202">
        <v>1.4879520001334091E-5</v>
      </c>
      <c r="G1202">
        <v>7.2970732997096923E-15</v>
      </c>
      <c r="H1202">
        <v>1.7496624768159701E-7</v>
      </c>
      <c r="I1202" t="s">
        <v>2231</v>
      </c>
      <c r="L1202" t="s">
        <v>2295</v>
      </c>
    </row>
    <row r="1203" spans="1:12" hidden="1" x14ac:dyDescent="0.25">
      <c r="A1203" s="516">
        <v>1178</v>
      </c>
      <c r="B1203" t="s">
        <v>441</v>
      </c>
      <c r="C1203" t="s">
        <v>432</v>
      </c>
      <c r="D1203" t="s">
        <v>2291</v>
      </c>
      <c r="E1203">
        <v>4</v>
      </c>
      <c r="F1203">
        <v>1.65751955650601E-5</v>
      </c>
      <c r="G1203">
        <v>8.1286504527311508E-15</v>
      </c>
      <c r="H1203">
        <v>3.0368190207504018E-7</v>
      </c>
      <c r="I1203" t="s">
        <v>2231</v>
      </c>
      <c r="L1203" t="s">
        <v>2295</v>
      </c>
    </row>
    <row r="1204" spans="1:12" hidden="1" x14ac:dyDescent="0.25">
      <c r="A1204" s="516">
        <v>1179</v>
      </c>
      <c r="B1204" t="s">
        <v>441</v>
      </c>
      <c r="C1204" t="s">
        <v>432</v>
      </c>
      <c r="D1204" t="s">
        <v>2291</v>
      </c>
      <c r="E1204">
        <v>4</v>
      </c>
      <c r="F1204">
        <v>6.1873960738886055E-4</v>
      </c>
      <c r="G1204">
        <v>3.034364191953303E-13</v>
      </c>
      <c r="H1204">
        <v>1.857699888005772E-7</v>
      </c>
      <c r="I1204" t="s">
        <v>2232</v>
      </c>
      <c r="J1204" t="s">
        <v>462</v>
      </c>
      <c r="K1204" t="s">
        <v>417</v>
      </c>
      <c r="L1204" t="s">
        <v>2295</v>
      </c>
    </row>
    <row r="1205" spans="1:12" hidden="1" x14ac:dyDescent="0.25">
      <c r="A1205" s="516">
        <v>1180</v>
      </c>
      <c r="B1205" t="s">
        <v>441</v>
      </c>
      <c r="C1205" t="s">
        <v>432</v>
      </c>
      <c r="D1205" t="s">
        <v>2291</v>
      </c>
      <c r="E1205">
        <v>4</v>
      </c>
      <c r="F1205">
        <v>2.1656113933000451E-6</v>
      </c>
      <c r="G1205">
        <v>1.062038632575514E-15</v>
      </c>
      <c r="H1205">
        <v>4.6250593288154462E-8</v>
      </c>
      <c r="I1205" t="s">
        <v>2231</v>
      </c>
      <c r="L1205" t="s">
        <v>2295</v>
      </c>
    </row>
    <row r="1206" spans="1:12" hidden="1" x14ac:dyDescent="0.25">
      <c r="A1206" s="516">
        <v>1181</v>
      </c>
      <c r="B1206" t="s">
        <v>441</v>
      </c>
      <c r="C1206" t="s">
        <v>432</v>
      </c>
      <c r="D1206" t="s">
        <v>2291</v>
      </c>
      <c r="E1206">
        <v>4</v>
      </c>
      <c r="F1206">
        <v>3.5535037854030318E-6</v>
      </c>
      <c r="G1206">
        <v>1.742675677075396E-15</v>
      </c>
      <c r="H1206">
        <v>2.4503857874028319E-7</v>
      </c>
      <c r="I1206" t="s">
        <v>2231</v>
      </c>
      <c r="L1206" t="s">
        <v>2295</v>
      </c>
    </row>
    <row r="1207" spans="1:12" hidden="1" x14ac:dyDescent="0.25">
      <c r="A1207" s="516">
        <v>1182</v>
      </c>
      <c r="B1207" t="s">
        <v>441</v>
      </c>
      <c r="C1207" t="s">
        <v>432</v>
      </c>
      <c r="D1207" t="s">
        <v>2291</v>
      </c>
      <c r="E1207">
        <v>4</v>
      </c>
      <c r="F1207">
        <v>6.2834269802913253E-8</v>
      </c>
      <c r="G1207">
        <v>3.0814587597213069E-17</v>
      </c>
      <c r="H1207">
        <v>2.57972749659869E-8</v>
      </c>
      <c r="I1207" t="s">
        <v>2231</v>
      </c>
      <c r="L1207" t="s">
        <v>2295</v>
      </c>
    </row>
    <row r="1208" spans="1:12" hidden="1" x14ac:dyDescent="0.25">
      <c r="A1208" s="516">
        <v>1183</v>
      </c>
      <c r="B1208" t="s">
        <v>441</v>
      </c>
      <c r="C1208" t="s">
        <v>432</v>
      </c>
      <c r="D1208" t="s">
        <v>2291</v>
      </c>
      <c r="E1208">
        <v>4</v>
      </c>
      <c r="F1208">
        <v>7.7923187625221958E-6</v>
      </c>
      <c r="G1208">
        <v>3.8214351793424412E-15</v>
      </c>
      <c r="H1208">
        <v>2.5683567968891642E-7</v>
      </c>
      <c r="I1208" t="s">
        <v>2231</v>
      </c>
      <c r="L1208" t="s">
        <v>2295</v>
      </c>
    </row>
    <row r="1209" spans="1:12" hidden="1" x14ac:dyDescent="0.25">
      <c r="A1209" s="516">
        <v>1184</v>
      </c>
      <c r="B1209" t="s">
        <v>441</v>
      </c>
      <c r="C1209" t="s">
        <v>432</v>
      </c>
      <c r="D1209" t="s">
        <v>2291</v>
      </c>
      <c r="E1209">
        <v>4</v>
      </c>
      <c r="F1209">
        <v>1.591043792837312E-7</v>
      </c>
      <c r="G1209">
        <v>7.8026463073681446E-17</v>
      </c>
      <c r="H1209">
        <v>2.581859502794226E-7</v>
      </c>
      <c r="I1209" t="s">
        <v>2231</v>
      </c>
      <c r="L1209" t="s">
        <v>2295</v>
      </c>
    </row>
    <row r="1210" spans="1:12" x14ac:dyDescent="0.25">
      <c r="A1210" s="516">
        <v>1185</v>
      </c>
      <c r="B1210" t="s">
        <v>441</v>
      </c>
      <c r="C1210" t="s">
        <v>432</v>
      </c>
      <c r="D1210" t="s">
        <v>2291</v>
      </c>
      <c r="E1210">
        <v>3</v>
      </c>
      <c r="F1210">
        <v>1.304556758845115E-4</v>
      </c>
      <c r="G1210">
        <v>6.3976837237162174E-14</v>
      </c>
      <c r="H1210">
        <v>9.6828614713931526E-7</v>
      </c>
      <c r="I1210" t="s">
        <v>2233</v>
      </c>
      <c r="J1210" t="s">
        <v>419</v>
      </c>
      <c r="K1210" t="s">
        <v>417</v>
      </c>
    </row>
    <row r="1211" spans="1:12" hidden="1" x14ac:dyDescent="0.25">
      <c r="A1211" s="516">
        <v>1186</v>
      </c>
      <c r="B1211" t="s">
        <v>441</v>
      </c>
      <c r="C1211" t="s">
        <v>432</v>
      </c>
      <c r="D1211" t="s">
        <v>2291</v>
      </c>
      <c r="E1211">
        <v>4</v>
      </c>
      <c r="F1211">
        <v>7.5903081022168028E-5</v>
      </c>
      <c r="G1211">
        <v>3.7223670242245988E-14</v>
      </c>
      <c r="H1211">
        <v>6.1534207375399252E-7</v>
      </c>
      <c r="I1211" t="s">
        <v>2231</v>
      </c>
      <c r="L1211" t="s">
        <v>2295</v>
      </c>
    </row>
    <row r="1212" spans="1:12" hidden="1" x14ac:dyDescent="0.25">
      <c r="A1212" s="516">
        <v>1187</v>
      </c>
      <c r="B1212" t="s">
        <v>441</v>
      </c>
      <c r="C1212" t="s">
        <v>432</v>
      </c>
      <c r="D1212" t="s">
        <v>2291</v>
      </c>
      <c r="E1212">
        <v>4</v>
      </c>
      <c r="F1212">
        <v>4.7933662798088518E-5</v>
      </c>
      <c r="G1212">
        <v>2.350717300893166E-14</v>
      </c>
      <c r="H1212">
        <v>3.42977549305504E-7</v>
      </c>
      <c r="I1212" t="s">
        <v>2231</v>
      </c>
      <c r="L1212" t="s">
        <v>2295</v>
      </c>
    </row>
    <row r="1213" spans="1:12" hidden="1" x14ac:dyDescent="0.25">
      <c r="A1213" s="516">
        <v>1188</v>
      </c>
      <c r="B1213" t="s">
        <v>441</v>
      </c>
      <c r="C1213" t="s">
        <v>432</v>
      </c>
      <c r="D1213" t="s">
        <v>2291</v>
      </c>
      <c r="E1213">
        <v>4</v>
      </c>
      <c r="F1213">
        <v>1.216779562403292E-6</v>
      </c>
      <c r="G1213">
        <v>5.9672151088539321E-16</v>
      </c>
      <c r="H1213">
        <v>9.966524079818768E-9</v>
      </c>
      <c r="I1213" t="s">
        <v>2231</v>
      </c>
      <c r="L1213" t="s">
        <v>2295</v>
      </c>
    </row>
    <row r="1214" spans="1:12" hidden="1" x14ac:dyDescent="0.25">
      <c r="A1214" s="516">
        <v>1189</v>
      </c>
      <c r="B1214" t="s">
        <v>441</v>
      </c>
      <c r="C1214" t="s">
        <v>432</v>
      </c>
      <c r="D1214" t="s">
        <v>2291</v>
      </c>
      <c r="E1214">
        <v>4</v>
      </c>
      <c r="F1214">
        <v>3.3595084352893722E-7</v>
      </c>
      <c r="G1214">
        <v>1.647538314482026E-16</v>
      </c>
      <c r="H1214">
        <v>4.2410933244702012E-8</v>
      </c>
      <c r="I1214" t="s">
        <v>2231</v>
      </c>
      <c r="L1214" t="s">
        <v>2295</v>
      </c>
    </row>
    <row r="1215" spans="1:12" hidden="1" x14ac:dyDescent="0.25">
      <c r="A1215" s="516">
        <v>1190</v>
      </c>
      <c r="B1215" t="s">
        <v>441</v>
      </c>
      <c r="C1215" t="s">
        <v>432</v>
      </c>
      <c r="D1215" t="s">
        <v>2291</v>
      </c>
      <c r="E1215">
        <v>4</v>
      </c>
      <c r="F1215">
        <v>4.8625482921687263E-8</v>
      </c>
      <c r="G1215">
        <v>2.384644888286184E-17</v>
      </c>
      <c r="H1215">
        <v>2.1205466622350999E-8</v>
      </c>
      <c r="I1215" t="s">
        <v>2231</v>
      </c>
      <c r="L1215" t="s">
        <v>2295</v>
      </c>
    </row>
    <row r="1216" spans="1:12" hidden="1" x14ac:dyDescent="0.25">
      <c r="A1216" s="516">
        <v>1191</v>
      </c>
      <c r="B1216" t="s">
        <v>441</v>
      </c>
      <c r="C1216" t="s">
        <v>432</v>
      </c>
      <c r="D1216" t="s">
        <v>2291</v>
      </c>
      <c r="E1216">
        <v>4</v>
      </c>
      <c r="F1216">
        <v>5.0175792429540411E-6</v>
      </c>
      <c r="G1216">
        <v>2.460673699128382E-15</v>
      </c>
      <c r="H1216">
        <v>1.6586741700496469E-7</v>
      </c>
      <c r="I1216" t="s">
        <v>2231</v>
      </c>
      <c r="L1216" t="s">
        <v>2295</v>
      </c>
    </row>
    <row r="1217" spans="1:12" x14ac:dyDescent="0.25">
      <c r="A1217" s="516">
        <v>1192</v>
      </c>
      <c r="B1217" t="s">
        <v>441</v>
      </c>
      <c r="C1217" t="s">
        <v>432</v>
      </c>
      <c r="D1217" t="s">
        <v>2291</v>
      </c>
      <c r="E1217">
        <v>3</v>
      </c>
      <c r="F1217">
        <v>5.7786056027423822E-2</v>
      </c>
      <c r="G1217">
        <v>2.8338890400727711E-11</v>
      </c>
      <c r="H1217">
        <v>5.5520994675419461E-7</v>
      </c>
      <c r="I1217" t="s">
        <v>2235</v>
      </c>
      <c r="J1217" t="s">
        <v>432</v>
      </c>
      <c r="K1217" t="s">
        <v>437</v>
      </c>
    </row>
    <row r="1218" spans="1:12" hidden="1" x14ac:dyDescent="0.25">
      <c r="A1218" s="516">
        <v>1193</v>
      </c>
      <c r="B1218" t="s">
        <v>441</v>
      </c>
      <c r="C1218" t="s">
        <v>432</v>
      </c>
      <c r="D1218" t="s">
        <v>2291</v>
      </c>
      <c r="E1218">
        <v>4</v>
      </c>
      <c r="F1218">
        <v>4.0409690367894532E-2</v>
      </c>
      <c r="G1218">
        <v>1.9817337696824961E-11</v>
      </c>
      <c r="H1218">
        <v>3.8864696272793622E-7</v>
      </c>
      <c r="I1218" t="s">
        <v>2236</v>
      </c>
      <c r="J1218" t="s">
        <v>432</v>
      </c>
      <c r="K1218" t="s">
        <v>437</v>
      </c>
      <c r="L1218" t="s">
        <v>2295</v>
      </c>
    </row>
    <row r="1219" spans="1:12" hidden="1" x14ac:dyDescent="0.25">
      <c r="A1219" s="516">
        <v>1194</v>
      </c>
      <c r="B1219" t="s">
        <v>441</v>
      </c>
      <c r="C1219" t="s">
        <v>432</v>
      </c>
      <c r="D1219" t="s">
        <v>2291</v>
      </c>
      <c r="E1219">
        <v>4</v>
      </c>
      <c r="F1219">
        <v>1.7376365657227479E-2</v>
      </c>
      <c r="G1219">
        <v>8.5215527027739176E-12</v>
      </c>
      <c r="H1219">
        <v>1.6656298402625839E-7</v>
      </c>
      <c r="I1219" t="s">
        <v>2237</v>
      </c>
      <c r="J1219" t="s">
        <v>432</v>
      </c>
      <c r="K1219" t="s">
        <v>437</v>
      </c>
      <c r="L1219" t="s">
        <v>2295</v>
      </c>
    </row>
    <row r="1220" spans="1:12" x14ac:dyDescent="0.25">
      <c r="A1220" s="516">
        <v>1195</v>
      </c>
      <c r="B1220" t="s">
        <v>441</v>
      </c>
      <c r="C1220" t="s">
        <v>432</v>
      </c>
      <c r="D1220" t="s">
        <v>2291</v>
      </c>
      <c r="E1220">
        <v>3</v>
      </c>
      <c r="F1220">
        <v>3.1691024854970068E-4</v>
      </c>
      <c r="G1220">
        <v>1.554161231604947E-13</v>
      </c>
      <c r="H1220">
        <v>3.1091757018234902E-8</v>
      </c>
      <c r="I1220" t="s">
        <v>2238</v>
      </c>
      <c r="J1220" t="s">
        <v>432</v>
      </c>
      <c r="K1220" t="s">
        <v>428</v>
      </c>
    </row>
    <row r="1221" spans="1:12" hidden="1" x14ac:dyDescent="0.25">
      <c r="A1221" s="516">
        <v>1196</v>
      </c>
      <c r="B1221" t="s">
        <v>441</v>
      </c>
      <c r="C1221" t="s">
        <v>432</v>
      </c>
      <c r="D1221" t="s">
        <v>2291</v>
      </c>
      <c r="E1221">
        <v>4</v>
      </c>
      <c r="F1221">
        <v>7.4079752437378551E-5</v>
      </c>
      <c r="G1221">
        <v>3.6329490703425387E-14</v>
      </c>
      <c r="H1221">
        <v>9.3275271054704687E-9</v>
      </c>
      <c r="I1221" t="s">
        <v>2231</v>
      </c>
      <c r="L1221" t="s">
        <v>2295</v>
      </c>
    </row>
    <row r="1222" spans="1:12" hidden="1" x14ac:dyDescent="0.25">
      <c r="A1222" s="516">
        <v>1197</v>
      </c>
      <c r="B1222" t="s">
        <v>441</v>
      </c>
      <c r="C1222" t="s">
        <v>432</v>
      </c>
      <c r="D1222" t="s">
        <v>2291</v>
      </c>
      <c r="E1222">
        <v>4</v>
      </c>
      <c r="F1222">
        <v>2.423631645175388E-5</v>
      </c>
      <c r="G1222">
        <v>1.1885744812168091E-14</v>
      </c>
      <c r="H1222">
        <v>3.10917570182349E-9</v>
      </c>
      <c r="I1222" t="s">
        <v>2231</v>
      </c>
      <c r="L1222" t="s">
        <v>2295</v>
      </c>
    </row>
    <row r="1223" spans="1:12" hidden="1" x14ac:dyDescent="0.25">
      <c r="A1223" s="516">
        <v>1198</v>
      </c>
      <c r="B1223" t="s">
        <v>441</v>
      </c>
      <c r="C1223" t="s">
        <v>432</v>
      </c>
      <c r="D1223" t="s">
        <v>2291</v>
      </c>
      <c r="E1223">
        <v>4</v>
      </c>
      <c r="F1223">
        <v>1.59586264474499E-4</v>
      </c>
      <c r="G1223">
        <v>7.8262784645799468E-14</v>
      </c>
      <c r="H1223">
        <v>1.8655054210940941E-8</v>
      </c>
      <c r="I1223" t="s">
        <v>2241</v>
      </c>
      <c r="J1223" t="s">
        <v>432</v>
      </c>
      <c r="K1223" t="s">
        <v>428</v>
      </c>
      <c r="L1223" t="s">
        <v>2295</v>
      </c>
    </row>
    <row r="1224" spans="1:12" hidden="1" x14ac:dyDescent="0.25">
      <c r="A1224" s="516">
        <v>1199</v>
      </c>
      <c r="B1224" t="s">
        <v>441</v>
      </c>
      <c r="C1224" t="s">
        <v>432</v>
      </c>
      <c r="D1224" t="s">
        <v>2291</v>
      </c>
      <c r="E1224">
        <v>4</v>
      </c>
      <c r="F1224">
        <v>9.0918499210204364E-7</v>
      </c>
      <c r="G1224">
        <v>4.4587389443811052E-16</v>
      </c>
      <c r="H1224">
        <v>2.7436920980741391E-7</v>
      </c>
      <c r="I1224" t="s">
        <v>2231</v>
      </c>
      <c r="L1224" t="s">
        <v>2295</v>
      </c>
    </row>
    <row r="1225" spans="1:12" hidden="1" x14ac:dyDescent="0.25">
      <c r="A1225" s="516">
        <v>1200</v>
      </c>
      <c r="B1225" t="s">
        <v>441</v>
      </c>
      <c r="C1225" t="s">
        <v>432</v>
      </c>
      <c r="D1225" t="s">
        <v>2291</v>
      </c>
      <c r="E1225">
        <v>4</v>
      </c>
      <c r="F1225">
        <v>5.8098720883555369E-5</v>
      </c>
      <c r="G1225">
        <v>2.8492224538739603E-14</v>
      </c>
      <c r="H1225">
        <v>1.9205844686518972E-6</v>
      </c>
      <c r="I1225" t="s">
        <v>2231</v>
      </c>
      <c r="L1225" t="s">
        <v>2295</v>
      </c>
    </row>
    <row r="1226" spans="1:12" x14ac:dyDescent="0.25">
      <c r="A1226" s="516">
        <v>1201</v>
      </c>
      <c r="B1226" t="s">
        <v>441</v>
      </c>
      <c r="C1226" t="s">
        <v>432</v>
      </c>
      <c r="D1226" t="s">
        <v>2291</v>
      </c>
      <c r="E1226">
        <v>3</v>
      </c>
      <c r="F1226">
        <v>1.8377866727035659E-3</v>
      </c>
      <c r="G1226">
        <v>9.0126993738676594E-13</v>
      </c>
      <c r="H1226">
        <v>7.1066873184536906E-7</v>
      </c>
      <c r="I1226" t="s">
        <v>2242</v>
      </c>
      <c r="J1226" t="s">
        <v>462</v>
      </c>
      <c r="K1226" t="s">
        <v>417</v>
      </c>
    </row>
    <row r="1227" spans="1:12" hidden="1" x14ac:dyDescent="0.25">
      <c r="A1227" s="516">
        <v>1202</v>
      </c>
      <c r="B1227" t="s">
        <v>441</v>
      </c>
      <c r="C1227" t="s">
        <v>432</v>
      </c>
      <c r="D1227" t="s">
        <v>2291</v>
      </c>
      <c r="E1227">
        <v>4</v>
      </c>
      <c r="F1227">
        <v>3.6338049224962659E-4</v>
      </c>
      <c r="G1227">
        <v>1.7820562003292931E-13</v>
      </c>
      <c r="H1227">
        <v>1.211620353323431E-7</v>
      </c>
      <c r="I1227" t="s">
        <v>2243</v>
      </c>
      <c r="J1227" t="s">
        <v>462</v>
      </c>
      <c r="K1227" t="s">
        <v>417</v>
      </c>
      <c r="L1227" t="s">
        <v>2295</v>
      </c>
    </row>
    <row r="1228" spans="1:12" hidden="1" x14ac:dyDescent="0.25">
      <c r="A1228" s="516">
        <v>1203</v>
      </c>
      <c r="B1228" t="s">
        <v>441</v>
      </c>
      <c r="C1228" t="s">
        <v>432</v>
      </c>
      <c r="D1228" t="s">
        <v>2291</v>
      </c>
      <c r="E1228">
        <v>4</v>
      </c>
      <c r="F1228">
        <v>1.6982187991407551E-7</v>
      </c>
      <c r="G1228">
        <v>8.3282438245077793E-17</v>
      </c>
      <c r="H1228">
        <v>1.953079858167785E-10</v>
      </c>
      <c r="I1228" t="s">
        <v>2231</v>
      </c>
      <c r="L1228" t="s">
        <v>2295</v>
      </c>
    </row>
    <row r="1229" spans="1:12" hidden="1" x14ac:dyDescent="0.25">
      <c r="A1229" s="516">
        <v>1204</v>
      </c>
      <c r="B1229" t="s">
        <v>441</v>
      </c>
      <c r="C1229" t="s">
        <v>432</v>
      </c>
      <c r="D1229" t="s">
        <v>2291</v>
      </c>
      <c r="E1229">
        <v>4</v>
      </c>
      <c r="F1229">
        <v>1.8422000250651469E-12</v>
      </c>
      <c r="G1229">
        <v>9.034342918603656E-22</v>
      </c>
      <c r="H1229">
        <v>1.027239778012812E-15</v>
      </c>
      <c r="I1229" t="s">
        <v>2231</v>
      </c>
      <c r="L1229" t="s">
        <v>2295</v>
      </c>
    </row>
    <row r="1230" spans="1:12" hidden="1" x14ac:dyDescent="0.25">
      <c r="A1230" s="516">
        <v>1205</v>
      </c>
      <c r="B1230" t="s">
        <v>441</v>
      </c>
      <c r="C1230" t="s">
        <v>432</v>
      </c>
      <c r="D1230" t="s">
        <v>2291</v>
      </c>
      <c r="E1230">
        <v>4</v>
      </c>
      <c r="F1230">
        <v>2.220083600739412E-13</v>
      </c>
      <c r="G1230">
        <v>1.0887523767316699E-22</v>
      </c>
      <c r="H1230">
        <v>1.2988089147288379E-16</v>
      </c>
      <c r="I1230" t="s">
        <v>2231</v>
      </c>
      <c r="L1230" t="s">
        <v>2295</v>
      </c>
    </row>
    <row r="1231" spans="1:12" hidden="1" x14ac:dyDescent="0.25">
      <c r="A1231" s="516">
        <v>1206</v>
      </c>
      <c r="B1231" t="s">
        <v>441</v>
      </c>
      <c r="C1231" t="s">
        <v>432</v>
      </c>
      <c r="D1231" t="s">
        <v>2291</v>
      </c>
      <c r="E1231">
        <v>4</v>
      </c>
      <c r="F1231">
        <v>0</v>
      </c>
      <c r="G1231">
        <v>0</v>
      </c>
      <c r="H1231">
        <v>6.6293371689284574E-13</v>
      </c>
      <c r="I1231" t="s">
        <v>2231</v>
      </c>
      <c r="L1231" t="s">
        <v>2295</v>
      </c>
    </row>
    <row r="1232" spans="1:12" hidden="1" x14ac:dyDescent="0.25">
      <c r="A1232" s="516">
        <v>1207</v>
      </c>
      <c r="B1232" t="s">
        <v>441</v>
      </c>
      <c r="C1232" t="s">
        <v>432</v>
      </c>
      <c r="D1232" t="s">
        <v>2291</v>
      </c>
      <c r="E1232">
        <v>4</v>
      </c>
      <c r="F1232">
        <v>1.312494781268722E-3</v>
      </c>
      <c r="G1232">
        <v>6.4366126216071502E-13</v>
      </c>
      <c r="H1232">
        <v>4.2992950214197398E-7</v>
      </c>
      <c r="I1232" t="s">
        <v>2244</v>
      </c>
      <c r="J1232" t="s">
        <v>462</v>
      </c>
      <c r="K1232" t="s">
        <v>417</v>
      </c>
      <c r="L1232" t="s">
        <v>2295</v>
      </c>
    </row>
    <row r="1233" spans="1:12" hidden="1" x14ac:dyDescent="0.25">
      <c r="A1233" s="516">
        <v>1208</v>
      </c>
      <c r="B1233" t="s">
        <v>441</v>
      </c>
      <c r="C1233" t="s">
        <v>432</v>
      </c>
      <c r="D1233" t="s">
        <v>2291</v>
      </c>
      <c r="E1233">
        <v>4</v>
      </c>
      <c r="F1233">
        <v>1.087286922947952E-5</v>
      </c>
      <c r="G1233">
        <v>5.3321695685449848E-15</v>
      </c>
      <c r="H1233">
        <v>2.4197016639519881E-8</v>
      </c>
      <c r="I1233" t="s">
        <v>2231</v>
      </c>
      <c r="L1233" t="s">
        <v>2295</v>
      </c>
    </row>
    <row r="1234" spans="1:12" hidden="1" x14ac:dyDescent="0.25">
      <c r="A1234" s="516">
        <v>1209</v>
      </c>
      <c r="B1234" t="s">
        <v>441</v>
      </c>
      <c r="C1234" t="s">
        <v>432</v>
      </c>
      <c r="D1234" t="s">
        <v>2291</v>
      </c>
      <c r="E1234">
        <v>4</v>
      </c>
      <c r="F1234">
        <v>5.03001327319018E-5</v>
      </c>
      <c r="G1234">
        <v>2.4667714784946371E-14</v>
      </c>
      <c r="H1234">
        <v>1.1160135859892259E-8</v>
      </c>
      <c r="I1234" t="s">
        <v>2231</v>
      </c>
      <c r="L1234" t="s">
        <v>2295</v>
      </c>
    </row>
    <row r="1235" spans="1:12" hidden="1" x14ac:dyDescent="0.25">
      <c r="A1235" s="516">
        <v>1210</v>
      </c>
      <c r="B1235" t="s">
        <v>441</v>
      </c>
      <c r="C1235" t="s">
        <v>432</v>
      </c>
      <c r="D1235" t="s">
        <v>2291</v>
      </c>
      <c r="E1235">
        <v>4</v>
      </c>
      <c r="F1235">
        <v>0</v>
      </c>
      <c r="G1235">
        <v>0</v>
      </c>
      <c r="H1235">
        <v>1.515269049822246E-12</v>
      </c>
      <c r="I1235" t="s">
        <v>2231</v>
      </c>
      <c r="L1235" t="s">
        <v>2295</v>
      </c>
    </row>
    <row r="1236" spans="1:12" hidden="1" x14ac:dyDescent="0.25">
      <c r="A1236" s="516">
        <v>1211</v>
      </c>
      <c r="B1236" t="s">
        <v>441</v>
      </c>
      <c r="C1236" t="s">
        <v>432</v>
      </c>
      <c r="D1236" t="s">
        <v>2291</v>
      </c>
      <c r="E1236">
        <v>4</v>
      </c>
      <c r="F1236">
        <v>7.9288708354526049E-9</v>
      </c>
      <c r="G1236">
        <v>3.8884017538899513E-18</v>
      </c>
      <c r="H1236">
        <v>5.9726098922404826E-10</v>
      </c>
      <c r="I1236" t="s">
        <v>2231</v>
      </c>
      <c r="L1236" t="s">
        <v>2295</v>
      </c>
    </row>
    <row r="1237" spans="1:12" hidden="1" x14ac:dyDescent="0.25">
      <c r="A1237" s="516">
        <v>1212</v>
      </c>
      <c r="B1237" t="s">
        <v>441</v>
      </c>
      <c r="C1237" t="s">
        <v>432</v>
      </c>
      <c r="D1237" t="s">
        <v>2291</v>
      </c>
      <c r="E1237">
        <v>4</v>
      </c>
      <c r="F1237">
        <v>1.5461973914783711E-13</v>
      </c>
      <c r="G1237">
        <v>7.5827148324851834E-23</v>
      </c>
      <c r="H1237">
        <v>1.2988089147288379E-16</v>
      </c>
      <c r="I1237" t="s">
        <v>2231</v>
      </c>
      <c r="L1237" t="s">
        <v>2295</v>
      </c>
    </row>
    <row r="1238" spans="1:12" hidden="1" x14ac:dyDescent="0.25">
      <c r="A1238" s="516">
        <v>1213</v>
      </c>
      <c r="B1238" t="s">
        <v>441</v>
      </c>
      <c r="C1238" t="s">
        <v>432</v>
      </c>
      <c r="D1238" t="s">
        <v>2291</v>
      </c>
      <c r="E1238">
        <v>4</v>
      </c>
      <c r="F1238">
        <v>0</v>
      </c>
      <c r="G1238">
        <v>0</v>
      </c>
      <c r="H1238">
        <v>8.4740783159740807E-9</v>
      </c>
      <c r="I1238" t="s">
        <v>2231</v>
      </c>
      <c r="L1238" t="s">
        <v>2295</v>
      </c>
    </row>
    <row r="1239" spans="1:12" hidden="1" x14ac:dyDescent="0.25">
      <c r="A1239" s="516">
        <v>1214</v>
      </c>
      <c r="B1239" t="s">
        <v>441</v>
      </c>
      <c r="C1239" t="s">
        <v>432</v>
      </c>
      <c r="D1239" t="s">
        <v>2291</v>
      </c>
      <c r="E1239">
        <v>4</v>
      </c>
      <c r="F1239">
        <v>1.335665710920439E-6</v>
      </c>
      <c r="G1239">
        <v>6.5502453006692668E-16</v>
      </c>
      <c r="H1239">
        <v>8.7640823681785851E-10</v>
      </c>
      <c r="I1239" t="s">
        <v>2231</v>
      </c>
      <c r="L1239" t="s">
        <v>2295</v>
      </c>
    </row>
    <row r="1240" spans="1:12" hidden="1" x14ac:dyDescent="0.25">
      <c r="A1240" s="516">
        <v>1215</v>
      </c>
      <c r="B1240" t="s">
        <v>441</v>
      </c>
      <c r="C1240" t="s">
        <v>432</v>
      </c>
      <c r="D1240" t="s">
        <v>2291</v>
      </c>
      <c r="E1240">
        <v>4</v>
      </c>
      <c r="F1240">
        <v>6.863798370755114E-13</v>
      </c>
      <c r="G1240">
        <v>3.3660790012942202E-22</v>
      </c>
      <c r="H1240">
        <v>2.6369756756143838E-16</v>
      </c>
      <c r="I1240" t="s">
        <v>2231</v>
      </c>
      <c r="L1240" t="s">
        <v>2295</v>
      </c>
    </row>
    <row r="1241" spans="1:12" hidden="1" x14ac:dyDescent="0.25">
      <c r="A1241" s="516">
        <v>1216</v>
      </c>
      <c r="B1241" t="s">
        <v>441</v>
      </c>
      <c r="C1241" t="s">
        <v>432</v>
      </c>
      <c r="D1241" t="s">
        <v>2291</v>
      </c>
      <c r="E1241">
        <v>4</v>
      </c>
      <c r="F1241">
        <v>4.2943710348425052E-6</v>
      </c>
      <c r="G1241">
        <v>2.1060047780161141E-15</v>
      </c>
      <c r="H1241">
        <v>4.840468409058872E-9</v>
      </c>
      <c r="I1241" t="s">
        <v>2231</v>
      </c>
      <c r="L1241" t="s">
        <v>2295</v>
      </c>
    </row>
    <row r="1242" spans="1:12" hidden="1" x14ac:dyDescent="0.25">
      <c r="A1242" s="516">
        <v>1217</v>
      </c>
      <c r="B1242" t="s">
        <v>441</v>
      </c>
      <c r="C1242" t="s">
        <v>432</v>
      </c>
      <c r="D1242" t="s">
        <v>2291</v>
      </c>
      <c r="E1242">
        <v>4</v>
      </c>
      <c r="F1242">
        <v>1.7671179801324809E-11</v>
      </c>
      <c r="G1242">
        <v>8.6661326636245732E-21</v>
      </c>
      <c r="H1242">
        <v>1.5831594325221111E-12</v>
      </c>
      <c r="I1242" t="s">
        <v>2231</v>
      </c>
      <c r="L1242" t="s">
        <v>2295</v>
      </c>
    </row>
    <row r="1243" spans="1:12" hidden="1" x14ac:dyDescent="0.25">
      <c r="A1243" s="516">
        <v>1218</v>
      </c>
      <c r="B1243" t="s">
        <v>441</v>
      </c>
      <c r="C1243" t="s">
        <v>432</v>
      </c>
      <c r="D1243" t="s">
        <v>2291</v>
      </c>
      <c r="E1243">
        <v>4</v>
      </c>
      <c r="F1243">
        <v>5.5782797345362972E-6</v>
      </c>
      <c r="G1243">
        <v>2.7356471247423899E-15</v>
      </c>
      <c r="H1243">
        <v>1.5637872242419301E-9</v>
      </c>
      <c r="I1243" t="s">
        <v>2231</v>
      </c>
      <c r="L1243" t="s">
        <v>2295</v>
      </c>
    </row>
    <row r="1244" spans="1:12" hidden="1" x14ac:dyDescent="0.25">
      <c r="A1244" s="516">
        <v>1219</v>
      </c>
      <c r="B1244" t="s">
        <v>441</v>
      </c>
      <c r="C1244" t="s">
        <v>432</v>
      </c>
      <c r="D1244" t="s">
        <v>2291</v>
      </c>
      <c r="E1244">
        <v>4</v>
      </c>
      <c r="F1244">
        <v>7.3928258801397523E-5</v>
      </c>
      <c r="G1244">
        <v>3.6255196629013448E-14</v>
      </c>
      <c r="H1244">
        <v>1.068306032931589E-7</v>
      </c>
      <c r="I1244" t="s">
        <v>2231</v>
      </c>
      <c r="L1244" t="s">
        <v>2295</v>
      </c>
    </row>
    <row r="1245" spans="1:12" hidden="1" x14ac:dyDescent="0.25">
      <c r="A1245" s="516">
        <v>1220</v>
      </c>
      <c r="B1245" t="s">
        <v>441</v>
      </c>
      <c r="C1245" t="s">
        <v>432</v>
      </c>
      <c r="D1245" t="s">
        <v>2291</v>
      </c>
      <c r="E1245">
        <v>4</v>
      </c>
      <c r="F1245">
        <v>3.856235131822193E-6</v>
      </c>
      <c r="G1245">
        <v>1.8911383173179819E-15</v>
      </c>
      <c r="H1245">
        <v>8.3836450444873882E-10</v>
      </c>
      <c r="I1245" t="s">
        <v>2231</v>
      </c>
      <c r="L1245" t="s">
        <v>2295</v>
      </c>
    </row>
    <row r="1246" spans="1:12" hidden="1" x14ac:dyDescent="0.25">
      <c r="A1246" s="516">
        <v>1221</v>
      </c>
      <c r="B1246" t="s">
        <v>441</v>
      </c>
      <c r="C1246" t="s">
        <v>432</v>
      </c>
      <c r="D1246" t="s">
        <v>2291</v>
      </c>
      <c r="E1246">
        <v>4</v>
      </c>
      <c r="F1246">
        <v>3.5535037854030318E-6</v>
      </c>
      <c r="G1246">
        <v>1.742675677075396E-15</v>
      </c>
      <c r="H1246">
        <v>2.4503857874028319E-7</v>
      </c>
      <c r="I1246" t="s">
        <v>2231</v>
      </c>
      <c r="L1246" t="s">
        <v>2295</v>
      </c>
    </row>
    <row r="1247" spans="1:12" hidden="1" x14ac:dyDescent="0.25">
      <c r="A1247" s="516">
        <v>1222</v>
      </c>
      <c r="B1247" t="s">
        <v>441</v>
      </c>
      <c r="C1247" t="s">
        <v>432</v>
      </c>
      <c r="D1247" t="s">
        <v>2291</v>
      </c>
      <c r="E1247">
        <v>4</v>
      </c>
      <c r="F1247">
        <v>6.2834269802913253E-8</v>
      </c>
      <c r="G1247">
        <v>3.0814587597213069E-17</v>
      </c>
      <c r="H1247">
        <v>2.57972749659869E-8</v>
      </c>
      <c r="I1247" t="s">
        <v>2231</v>
      </c>
      <c r="L1247" t="s">
        <v>2295</v>
      </c>
    </row>
    <row r="1248" spans="1:12" hidden="1" x14ac:dyDescent="0.25">
      <c r="A1248" s="516">
        <v>1223</v>
      </c>
      <c r="B1248" t="s">
        <v>441</v>
      </c>
      <c r="C1248" t="s">
        <v>432</v>
      </c>
      <c r="D1248" t="s">
        <v>2291</v>
      </c>
      <c r="E1248">
        <v>4</v>
      </c>
      <c r="F1248">
        <v>7.7923187625221958E-6</v>
      </c>
      <c r="G1248">
        <v>3.8214351793424412E-15</v>
      </c>
      <c r="H1248">
        <v>2.5683567968891642E-7</v>
      </c>
      <c r="I1248" t="s">
        <v>2231</v>
      </c>
      <c r="L1248" t="s">
        <v>2295</v>
      </c>
    </row>
    <row r="1249" spans="1:12" hidden="1" x14ac:dyDescent="0.25">
      <c r="A1249" s="516">
        <v>1224</v>
      </c>
      <c r="B1249" t="s">
        <v>441</v>
      </c>
      <c r="C1249" t="s">
        <v>432</v>
      </c>
      <c r="D1249" t="s">
        <v>2291</v>
      </c>
      <c r="E1249">
        <v>4</v>
      </c>
      <c r="F1249">
        <v>1.591043792837312E-7</v>
      </c>
      <c r="G1249">
        <v>7.8026463073681446E-17</v>
      </c>
      <c r="H1249">
        <v>2.581859502794226E-7</v>
      </c>
      <c r="I1249" t="s">
        <v>2231</v>
      </c>
      <c r="L1249" t="s">
        <v>2295</v>
      </c>
    </row>
    <row r="1250" spans="1:12" x14ac:dyDescent="0.25">
      <c r="A1250" s="516">
        <v>1225</v>
      </c>
      <c r="B1250" t="s">
        <v>441</v>
      </c>
      <c r="C1250" t="s">
        <v>432</v>
      </c>
      <c r="D1250" t="s">
        <v>2291</v>
      </c>
      <c r="E1250">
        <v>3</v>
      </c>
      <c r="F1250">
        <v>1.9319869588904999E-5</v>
      </c>
      <c r="G1250">
        <v>9.4746674972332363E-15</v>
      </c>
      <c r="H1250">
        <v>5.3300154888402678E-6</v>
      </c>
      <c r="I1250" t="s">
        <v>2231</v>
      </c>
    </row>
    <row r="1251" spans="1:12" x14ac:dyDescent="0.25">
      <c r="A1251" s="516">
        <v>1226</v>
      </c>
      <c r="B1251" t="s">
        <v>441</v>
      </c>
      <c r="C1251" t="s">
        <v>432</v>
      </c>
      <c r="D1251" t="s">
        <v>2291</v>
      </c>
      <c r="E1251">
        <v>3</v>
      </c>
      <c r="F1251">
        <v>1.8467774792555192E-5</v>
      </c>
      <c r="G1251">
        <v>9.0567912359890383E-15</v>
      </c>
      <c r="H1251">
        <v>6.6625193610503347E-7</v>
      </c>
      <c r="I1251" t="s">
        <v>2231</v>
      </c>
    </row>
    <row r="1252" spans="1:12" x14ac:dyDescent="0.25">
      <c r="A1252" s="516">
        <v>1227</v>
      </c>
      <c r="B1252" t="s">
        <v>441</v>
      </c>
      <c r="C1252" t="s">
        <v>432</v>
      </c>
      <c r="D1252" t="s">
        <v>2291</v>
      </c>
      <c r="E1252">
        <v>3</v>
      </c>
      <c r="F1252">
        <v>1.7893437830214019E-4</v>
      </c>
      <c r="G1252">
        <v>8.7751303415139229E-14</v>
      </c>
      <c r="H1252">
        <v>7.5508552758570464E-7</v>
      </c>
      <c r="I1252" t="s">
        <v>2245</v>
      </c>
      <c r="J1252" t="s">
        <v>462</v>
      </c>
      <c r="K1252" t="s">
        <v>417</v>
      </c>
    </row>
    <row r="1253" spans="1:12" hidden="1" x14ac:dyDescent="0.25">
      <c r="A1253" s="516">
        <v>1228</v>
      </c>
      <c r="B1253" t="s">
        <v>441</v>
      </c>
      <c r="C1253" t="s">
        <v>432</v>
      </c>
      <c r="D1253" t="s">
        <v>2291</v>
      </c>
      <c r="E1253">
        <v>4</v>
      </c>
      <c r="F1253">
        <v>1.4802143163504731E-4</v>
      </c>
      <c r="G1253">
        <v>7.2591268836095784E-14</v>
      </c>
      <c r="H1253">
        <v>6.1113945710942813E-7</v>
      </c>
      <c r="I1253" t="s">
        <v>2246</v>
      </c>
      <c r="J1253" t="s">
        <v>1992</v>
      </c>
      <c r="K1253" t="s">
        <v>417</v>
      </c>
      <c r="L1253" t="s">
        <v>2295</v>
      </c>
    </row>
    <row r="1254" spans="1:12" hidden="1" x14ac:dyDescent="0.25">
      <c r="A1254" s="516">
        <v>1229</v>
      </c>
      <c r="B1254" t="s">
        <v>441</v>
      </c>
      <c r="C1254" t="s">
        <v>432</v>
      </c>
      <c r="D1254" t="s">
        <v>2291</v>
      </c>
      <c r="E1254">
        <v>4</v>
      </c>
      <c r="F1254">
        <v>1.718920519741836E-5</v>
      </c>
      <c r="G1254">
        <v>8.4297672423617496E-15</v>
      </c>
      <c r="H1254">
        <v>1.4394607047618739E-7</v>
      </c>
      <c r="I1254" t="s">
        <v>2231</v>
      </c>
      <c r="L1254" t="s">
        <v>2295</v>
      </c>
    </row>
    <row r="1255" spans="1:12" hidden="1" x14ac:dyDescent="0.25">
      <c r="A1255" s="516">
        <v>1230</v>
      </c>
      <c r="B1255" t="s">
        <v>441</v>
      </c>
      <c r="C1255" t="s">
        <v>432</v>
      </c>
      <c r="D1255" t="s">
        <v>2291</v>
      </c>
      <c r="E1255">
        <v>4</v>
      </c>
      <c r="F1255">
        <v>4.7051315040268573E-18</v>
      </c>
      <c r="G1255">
        <v>2.307446037679908E-27</v>
      </c>
      <c r="H1255">
        <v>2.214554930402883E-20</v>
      </c>
      <c r="I1255" t="s">
        <v>2231</v>
      </c>
      <c r="L1255" t="s">
        <v>2295</v>
      </c>
    </row>
    <row r="1256" spans="1:12" hidden="1" x14ac:dyDescent="0.25">
      <c r="A1256" s="516">
        <v>1231</v>
      </c>
      <c r="B1256" t="s">
        <v>441</v>
      </c>
      <c r="C1256" t="s">
        <v>432</v>
      </c>
      <c r="D1256" t="s">
        <v>2291</v>
      </c>
      <c r="E1256">
        <v>4</v>
      </c>
      <c r="F1256">
        <v>1.7193408704856959E-18</v>
      </c>
      <c r="G1256">
        <v>8.4318286866753176E-28</v>
      </c>
      <c r="H1256">
        <v>2.214554930402883E-20</v>
      </c>
      <c r="I1256" t="s">
        <v>2231</v>
      </c>
      <c r="L1256" t="s">
        <v>2295</v>
      </c>
    </row>
    <row r="1257" spans="1:12" hidden="1" x14ac:dyDescent="0.25">
      <c r="A1257" s="516">
        <v>1232</v>
      </c>
      <c r="B1257" t="s">
        <v>441</v>
      </c>
      <c r="C1257" t="s">
        <v>432</v>
      </c>
      <c r="D1257" t="s">
        <v>2291</v>
      </c>
      <c r="E1257">
        <v>4</v>
      </c>
      <c r="F1257">
        <v>9.3279861314544923E-19</v>
      </c>
      <c r="G1257">
        <v>4.574542628646356E-28</v>
      </c>
      <c r="H1257">
        <v>2.214554930402883E-20</v>
      </c>
      <c r="I1257" t="s">
        <v>2231</v>
      </c>
      <c r="L1257" t="s">
        <v>2295</v>
      </c>
    </row>
    <row r="1258" spans="1:12" hidden="1" x14ac:dyDescent="0.25">
      <c r="A1258" s="516">
        <v>1233</v>
      </c>
      <c r="B1258" t="s">
        <v>441</v>
      </c>
      <c r="C1258" t="s">
        <v>432</v>
      </c>
      <c r="D1258" t="s">
        <v>2291</v>
      </c>
      <c r="E1258">
        <v>4</v>
      </c>
      <c r="F1258">
        <v>3.9711806132948916E-18</v>
      </c>
      <c r="G1258">
        <v>1.9475087918831229E-27</v>
      </c>
      <c r="H1258">
        <v>2.214554930402883E-20</v>
      </c>
      <c r="I1258" t="s">
        <v>2231</v>
      </c>
      <c r="L1258" t="s">
        <v>2295</v>
      </c>
    </row>
    <row r="1259" spans="1:12" hidden="1" x14ac:dyDescent="0.25">
      <c r="A1259" s="516">
        <v>1234</v>
      </c>
      <c r="B1259" t="s">
        <v>441</v>
      </c>
      <c r="C1259" t="s">
        <v>432</v>
      </c>
      <c r="D1259" t="s">
        <v>2291</v>
      </c>
      <c r="E1259">
        <v>4</v>
      </c>
      <c r="F1259">
        <v>3.1612966263739061E-6</v>
      </c>
      <c r="G1259">
        <v>1.5503331560901879E-15</v>
      </c>
      <c r="H1259">
        <v>2.1799319181399291E-7</v>
      </c>
      <c r="I1259" t="s">
        <v>2231</v>
      </c>
      <c r="L1259" t="s">
        <v>2295</v>
      </c>
    </row>
    <row r="1260" spans="1:12" hidden="1" x14ac:dyDescent="0.25">
      <c r="A1260" s="516">
        <v>1235</v>
      </c>
      <c r="B1260" t="s">
        <v>441</v>
      </c>
      <c r="C1260" t="s">
        <v>432</v>
      </c>
      <c r="D1260" t="s">
        <v>2291</v>
      </c>
      <c r="E1260">
        <v>4</v>
      </c>
      <c r="F1260">
        <v>1.0318246109034301E-5</v>
      </c>
      <c r="G1260">
        <v>5.0601765497352661E-15</v>
      </c>
      <c r="H1260">
        <v>3.4009052162460141E-7</v>
      </c>
      <c r="I1260" t="s">
        <v>2231</v>
      </c>
      <c r="L1260" t="s">
        <v>2295</v>
      </c>
    </row>
    <row r="1261" spans="1:12" hidden="1" x14ac:dyDescent="0.25">
      <c r="A1261" s="516">
        <v>1236</v>
      </c>
      <c r="B1261" t="s">
        <v>441</v>
      </c>
      <c r="C1261" t="s">
        <v>432</v>
      </c>
      <c r="D1261" t="s">
        <v>2291</v>
      </c>
      <c r="E1261">
        <v>4</v>
      </c>
      <c r="F1261">
        <v>2.4419653699039408E-7</v>
      </c>
      <c r="G1261">
        <v>1.1975655328897771E-16</v>
      </c>
      <c r="H1261">
        <v>3.9626888487697791E-7</v>
      </c>
      <c r="I1261" t="s">
        <v>2231</v>
      </c>
      <c r="L1261" t="s">
        <v>2295</v>
      </c>
    </row>
    <row r="1262" spans="1:12" x14ac:dyDescent="0.25">
      <c r="A1262" s="516">
        <v>1237</v>
      </c>
      <c r="B1262" t="s">
        <v>441</v>
      </c>
      <c r="C1262" t="s">
        <v>432</v>
      </c>
      <c r="D1262" t="s">
        <v>2291</v>
      </c>
      <c r="E1262">
        <v>3</v>
      </c>
      <c r="F1262">
        <v>4.8714527836101087E-6</v>
      </c>
      <c r="G1262">
        <v>2.3890117446591441E-15</v>
      </c>
      <c r="H1262">
        <v>-7.1066873184536906E-7</v>
      </c>
      <c r="I1262" t="s">
        <v>2231</v>
      </c>
    </row>
    <row r="1263" spans="1:12" x14ac:dyDescent="0.25">
      <c r="A1263" s="516">
        <v>1238</v>
      </c>
      <c r="B1263" t="s">
        <v>441</v>
      </c>
      <c r="C1263" t="s">
        <v>432</v>
      </c>
      <c r="D1263" t="s">
        <v>2291</v>
      </c>
      <c r="E1263">
        <v>3</v>
      </c>
      <c r="F1263">
        <v>4.9513588033785537E-6</v>
      </c>
      <c r="G1263">
        <v>2.428198498216121E-15</v>
      </c>
      <c r="H1263">
        <v>-7.1066873184536906E-7</v>
      </c>
      <c r="I1263" t="s">
        <v>2231</v>
      </c>
    </row>
    <row r="1264" spans="1:12" x14ac:dyDescent="0.25">
      <c r="A1264" s="516">
        <v>1239</v>
      </c>
      <c r="B1264" t="s">
        <v>441</v>
      </c>
      <c r="C1264" t="s">
        <v>432</v>
      </c>
      <c r="D1264" t="s">
        <v>2291</v>
      </c>
      <c r="E1264">
        <v>3</v>
      </c>
      <c r="F1264">
        <v>3.0887481931076441E-4</v>
      </c>
      <c r="G1264">
        <v>1.514754640434068E-13</v>
      </c>
      <c r="H1264">
        <v>-8.7634337995682083E-5</v>
      </c>
      <c r="I1264" t="s">
        <v>533</v>
      </c>
      <c r="J1264" t="s">
        <v>432</v>
      </c>
      <c r="K1264" t="s">
        <v>417</v>
      </c>
    </row>
    <row r="1265" spans="1:12" hidden="1" x14ac:dyDescent="0.25">
      <c r="A1265" s="516">
        <v>1240</v>
      </c>
      <c r="B1265" t="s">
        <v>441</v>
      </c>
      <c r="C1265" t="s">
        <v>432</v>
      </c>
      <c r="D1265" t="s">
        <v>2291</v>
      </c>
      <c r="E1265">
        <v>4</v>
      </c>
      <c r="F1265">
        <v>-1.275480446248607E-4</v>
      </c>
      <c r="G1265">
        <v>-6.2550904248174868E-14</v>
      </c>
      <c r="H1265">
        <v>6.7460078776333243E-5</v>
      </c>
      <c r="I1265" t="s">
        <v>2287</v>
      </c>
      <c r="J1265" t="s">
        <v>432</v>
      </c>
      <c r="K1265" t="s">
        <v>417</v>
      </c>
      <c r="L1265" t="s">
        <v>2295</v>
      </c>
    </row>
    <row r="1266" spans="1:12" hidden="1" x14ac:dyDescent="0.25">
      <c r="A1266" s="516">
        <v>1241</v>
      </c>
      <c r="B1266" t="s">
        <v>441</v>
      </c>
      <c r="C1266" t="s">
        <v>432</v>
      </c>
      <c r="D1266" t="s">
        <v>2291</v>
      </c>
      <c r="E1266">
        <v>4</v>
      </c>
      <c r="F1266">
        <v>-1.119770490912041E-4</v>
      </c>
      <c r="G1266">
        <v>-5.4914724065725642E-14</v>
      </c>
      <c r="H1266">
        <v>2.017425921934883E-5</v>
      </c>
      <c r="I1266" t="s">
        <v>2288</v>
      </c>
      <c r="J1266" t="s">
        <v>432</v>
      </c>
      <c r="K1266" t="s">
        <v>417</v>
      </c>
      <c r="L1266" t="s">
        <v>2295</v>
      </c>
    </row>
    <row r="1267" spans="1:12" hidden="1" x14ac:dyDescent="0.25">
      <c r="A1267" s="516">
        <v>1242</v>
      </c>
      <c r="B1267" t="s">
        <v>441</v>
      </c>
      <c r="C1267" t="s">
        <v>432</v>
      </c>
      <c r="D1267" t="s">
        <v>2291</v>
      </c>
      <c r="E1267">
        <v>4</v>
      </c>
      <c r="F1267">
        <v>-1.033811107440439E-6</v>
      </c>
      <c r="G1267">
        <v>-5.0699185379438086E-16</v>
      </c>
      <c r="H1267">
        <v>-3.1197824326462818E-7</v>
      </c>
      <c r="I1267" t="s">
        <v>2231</v>
      </c>
      <c r="L1267" t="s">
        <v>2295</v>
      </c>
    </row>
    <row r="1268" spans="1:12" hidden="1" x14ac:dyDescent="0.25">
      <c r="A1268" s="516">
        <v>1243</v>
      </c>
      <c r="B1268" t="s">
        <v>441</v>
      </c>
      <c r="C1268" t="s">
        <v>432</v>
      </c>
      <c r="D1268" t="s">
        <v>2291</v>
      </c>
      <c r="E1268">
        <v>4</v>
      </c>
      <c r="F1268">
        <v>-6.8315914651691706E-5</v>
      </c>
      <c r="G1268">
        <v>-3.3502843956351413E-14</v>
      </c>
      <c r="H1268">
        <v>-2.2583368901487269E-6</v>
      </c>
      <c r="I1268" t="s">
        <v>2231</v>
      </c>
      <c r="L1268" t="s">
        <v>2295</v>
      </c>
    </row>
    <row r="1269" spans="1:12" x14ac:dyDescent="0.25">
      <c r="A1269" s="516">
        <v>1244</v>
      </c>
      <c r="B1269" t="s">
        <v>441</v>
      </c>
      <c r="C1269" t="s">
        <v>432</v>
      </c>
      <c r="D1269" t="s">
        <v>2291</v>
      </c>
      <c r="E1269">
        <v>3</v>
      </c>
      <c r="F1269">
        <v>2.6629619674691889E-5</v>
      </c>
      <c r="G1269">
        <v>1.3059445915741609E-14</v>
      </c>
      <c r="H1269">
        <v>7.1066873184536906E-7</v>
      </c>
      <c r="I1269" t="s">
        <v>2231</v>
      </c>
    </row>
    <row r="1270" spans="1:12" x14ac:dyDescent="0.25">
      <c r="A1270" s="516">
        <v>1245</v>
      </c>
      <c r="B1270" t="s">
        <v>441</v>
      </c>
      <c r="C1270" t="s">
        <v>432</v>
      </c>
      <c r="D1270" t="s">
        <v>2291</v>
      </c>
      <c r="E1270">
        <v>3</v>
      </c>
      <c r="F1270">
        <v>6.3651706514547093E-5</v>
      </c>
      <c r="G1270">
        <v>3.1215467168740308E-14</v>
      </c>
      <c r="H1270">
        <v>1.0215863020277181E-6</v>
      </c>
      <c r="I1270" t="s">
        <v>2231</v>
      </c>
    </row>
    <row r="1271" spans="1:12" x14ac:dyDescent="0.25">
      <c r="A1271" s="516">
        <v>1246</v>
      </c>
      <c r="B1271" t="s">
        <v>441</v>
      </c>
      <c r="C1271" t="s">
        <v>432</v>
      </c>
      <c r="D1271" t="s">
        <v>2291</v>
      </c>
      <c r="E1271">
        <v>3</v>
      </c>
      <c r="F1271">
        <v>3.618190205629227E-3</v>
      </c>
      <c r="G1271">
        <v>1.774398578744539E-12</v>
      </c>
      <c r="H1271">
        <v>8.661275169365436E-5</v>
      </c>
      <c r="I1271" t="s">
        <v>2247</v>
      </c>
      <c r="J1271" t="s">
        <v>419</v>
      </c>
      <c r="K1271" t="s">
        <v>417</v>
      </c>
    </row>
    <row r="1272" spans="1:12" hidden="1" x14ac:dyDescent="0.25">
      <c r="A1272" s="516">
        <v>1247</v>
      </c>
      <c r="B1272" t="s">
        <v>441</v>
      </c>
      <c r="C1272" t="s">
        <v>432</v>
      </c>
      <c r="D1272" t="s">
        <v>2291</v>
      </c>
      <c r="E1272">
        <v>4</v>
      </c>
      <c r="F1272">
        <v>3.1295425577857202E-7</v>
      </c>
      <c r="G1272">
        <v>1.534760626463477E-16</v>
      </c>
      <c r="H1272">
        <v>-1.671626107687529E-8</v>
      </c>
      <c r="I1272" t="s">
        <v>2231</v>
      </c>
      <c r="L1272" t="s">
        <v>2295</v>
      </c>
    </row>
    <row r="1273" spans="1:12" hidden="1" x14ac:dyDescent="0.25">
      <c r="A1273" s="516">
        <v>1248</v>
      </c>
      <c r="B1273" t="s">
        <v>441</v>
      </c>
      <c r="C1273" t="s">
        <v>432</v>
      </c>
      <c r="D1273" t="s">
        <v>2291</v>
      </c>
      <c r="E1273">
        <v>4</v>
      </c>
      <c r="F1273">
        <v>3.5195115031310458E-10</v>
      </c>
      <c r="G1273">
        <v>1.7260055038883E-19</v>
      </c>
      <c r="H1273">
        <v>1.368481476759739E-12</v>
      </c>
      <c r="I1273" t="s">
        <v>2231</v>
      </c>
      <c r="L1273" t="s">
        <v>2295</v>
      </c>
    </row>
    <row r="1274" spans="1:12" hidden="1" x14ac:dyDescent="0.25">
      <c r="A1274" s="516">
        <v>1249</v>
      </c>
      <c r="B1274" t="s">
        <v>441</v>
      </c>
      <c r="C1274" t="s">
        <v>432</v>
      </c>
      <c r="D1274" t="s">
        <v>2291</v>
      </c>
      <c r="E1274">
        <v>4</v>
      </c>
      <c r="F1274">
        <v>2.283244828802752E-4</v>
      </c>
      <c r="G1274">
        <v>1.119727308102881E-13</v>
      </c>
      <c r="H1274">
        <v>1.9434314734445009E-5</v>
      </c>
      <c r="I1274" t="s">
        <v>481</v>
      </c>
      <c r="J1274" t="s">
        <v>419</v>
      </c>
      <c r="K1274" t="s">
        <v>433</v>
      </c>
      <c r="L1274" t="s">
        <v>2295</v>
      </c>
    </row>
    <row r="1275" spans="1:12" hidden="1" x14ac:dyDescent="0.25">
      <c r="A1275" s="516">
        <v>1250</v>
      </c>
      <c r="B1275" t="s">
        <v>441</v>
      </c>
      <c r="C1275" t="s">
        <v>432</v>
      </c>
      <c r="D1275" t="s">
        <v>2291</v>
      </c>
      <c r="E1275">
        <v>4</v>
      </c>
      <c r="F1275">
        <v>4.3275505781816868E-5</v>
      </c>
      <c r="G1275">
        <v>2.1222763754718909E-14</v>
      </c>
      <c r="H1275">
        <v>8.6297481277489464E-5</v>
      </c>
      <c r="I1275" t="s">
        <v>2231</v>
      </c>
      <c r="L1275" t="s">
        <v>2295</v>
      </c>
    </row>
    <row r="1276" spans="1:12" hidden="1" x14ac:dyDescent="0.25">
      <c r="A1276" s="516">
        <v>1251</v>
      </c>
      <c r="B1276" t="s">
        <v>441</v>
      </c>
      <c r="C1276" t="s">
        <v>432</v>
      </c>
      <c r="D1276" t="s">
        <v>2291</v>
      </c>
      <c r="E1276">
        <v>4</v>
      </c>
      <c r="F1276">
        <v>7.493096585181319E-5</v>
      </c>
      <c r="G1276">
        <v>3.6746934725696867E-14</v>
      </c>
      <c r="H1276">
        <v>6.2827331049046386E-6</v>
      </c>
      <c r="I1276" t="s">
        <v>2231</v>
      </c>
      <c r="L1276" t="s">
        <v>2295</v>
      </c>
    </row>
    <row r="1277" spans="1:12" hidden="1" x14ac:dyDescent="0.25">
      <c r="A1277" s="516">
        <v>1252</v>
      </c>
      <c r="B1277" t="s">
        <v>441</v>
      </c>
      <c r="C1277" t="s">
        <v>432</v>
      </c>
      <c r="D1277" t="s">
        <v>2291</v>
      </c>
      <c r="E1277">
        <v>4</v>
      </c>
      <c r="F1277">
        <v>2.3158835516891781E-6</v>
      </c>
      <c r="G1277">
        <v>1.1357336815134349E-15</v>
      </c>
      <c r="H1277">
        <v>3.4385262422380778E-8</v>
      </c>
      <c r="I1277" t="s">
        <v>2231</v>
      </c>
      <c r="L1277" t="s">
        <v>2295</v>
      </c>
    </row>
    <row r="1278" spans="1:12" hidden="1" x14ac:dyDescent="0.25">
      <c r="A1278" s="516">
        <v>1253</v>
      </c>
      <c r="B1278" t="s">
        <v>441</v>
      </c>
      <c r="C1278" t="s">
        <v>432</v>
      </c>
      <c r="D1278" t="s">
        <v>2291</v>
      </c>
      <c r="E1278">
        <v>4</v>
      </c>
      <c r="F1278">
        <v>1.9736606150667841E-7</v>
      </c>
      <c r="G1278">
        <v>9.6790394956296767E-17</v>
      </c>
      <c r="H1278">
        <v>2.4598021480997841E-9</v>
      </c>
      <c r="I1278" t="s">
        <v>2231</v>
      </c>
      <c r="L1278" t="s">
        <v>2295</v>
      </c>
    </row>
    <row r="1279" spans="1:12" hidden="1" x14ac:dyDescent="0.25">
      <c r="A1279" s="516">
        <v>1254</v>
      </c>
      <c r="B1279" t="s">
        <v>441</v>
      </c>
      <c r="C1279" t="s">
        <v>432</v>
      </c>
      <c r="D1279" t="s">
        <v>2291</v>
      </c>
      <c r="E1279">
        <v>4</v>
      </c>
      <c r="F1279">
        <v>3.1326030423374703E-8</v>
      </c>
      <c r="G1279">
        <v>1.5362615203165551E-17</v>
      </c>
      <c r="H1279">
        <v>4.6944111417960666E-9</v>
      </c>
      <c r="I1279" t="s">
        <v>2231</v>
      </c>
      <c r="L1279" t="s">
        <v>2295</v>
      </c>
    </row>
    <row r="1280" spans="1:12" hidden="1" x14ac:dyDescent="0.25">
      <c r="A1280" s="516">
        <v>1255</v>
      </c>
      <c r="B1280" t="s">
        <v>441</v>
      </c>
      <c r="C1280" t="s">
        <v>432</v>
      </c>
      <c r="D1280" t="s">
        <v>2291</v>
      </c>
      <c r="E1280">
        <v>4</v>
      </c>
      <c r="F1280">
        <v>5.4601744923903847E-5</v>
      </c>
      <c r="G1280">
        <v>2.6777270702687639E-14</v>
      </c>
      <c r="H1280">
        <v>3.9755253027387352E-7</v>
      </c>
      <c r="I1280" t="s">
        <v>2231</v>
      </c>
      <c r="L1280" t="s">
        <v>2295</v>
      </c>
    </row>
    <row r="1281" spans="1:12" hidden="1" x14ac:dyDescent="0.25">
      <c r="A1281" s="516">
        <v>1256</v>
      </c>
      <c r="B1281" t="s">
        <v>441</v>
      </c>
      <c r="C1281" t="s">
        <v>432</v>
      </c>
      <c r="D1281" t="s">
        <v>2291</v>
      </c>
      <c r="E1281">
        <v>4</v>
      </c>
      <c r="F1281">
        <v>1.0533189084952961E-6</v>
      </c>
      <c r="G1281">
        <v>5.1655868486155777E-16</v>
      </c>
      <c r="H1281">
        <v>-3.1007365106328259E-8</v>
      </c>
      <c r="I1281" t="s">
        <v>2231</v>
      </c>
      <c r="L1281" t="s">
        <v>2295</v>
      </c>
    </row>
    <row r="1282" spans="1:12" hidden="1" x14ac:dyDescent="0.25">
      <c r="A1282" s="516">
        <v>1257</v>
      </c>
      <c r="B1282" t="s">
        <v>441</v>
      </c>
      <c r="C1282" t="s">
        <v>432</v>
      </c>
      <c r="D1282" t="s">
        <v>2291</v>
      </c>
      <c r="E1282">
        <v>4</v>
      </c>
      <c r="F1282">
        <v>2.395000601189853E-6</v>
      </c>
      <c r="G1282">
        <v>1.1745335157427261E-15</v>
      </c>
      <c r="H1282">
        <v>7.3534226187912552E-9</v>
      </c>
      <c r="I1282" t="s">
        <v>2231</v>
      </c>
      <c r="L1282" t="s">
        <v>2295</v>
      </c>
    </row>
    <row r="1283" spans="1:12" hidden="1" x14ac:dyDescent="0.25">
      <c r="A1283" s="516">
        <v>1258</v>
      </c>
      <c r="B1283" t="s">
        <v>441</v>
      </c>
      <c r="C1283" t="s">
        <v>432</v>
      </c>
      <c r="D1283" t="s">
        <v>2291</v>
      </c>
      <c r="E1283">
        <v>4</v>
      </c>
      <c r="F1283">
        <v>4.9241458738337369E-6</v>
      </c>
      <c r="G1283">
        <v>2.4148529909974369E-15</v>
      </c>
      <c r="H1283">
        <v>1.4031265774372009E-13</v>
      </c>
      <c r="I1283" t="s">
        <v>2231</v>
      </c>
      <c r="L1283" t="s">
        <v>2295</v>
      </c>
    </row>
    <row r="1284" spans="1:12" hidden="1" x14ac:dyDescent="0.25">
      <c r="A1284" s="516">
        <v>1259</v>
      </c>
      <c r="B1284" t="s">
        <v>441</v>
      </c>
      <c r="C1284" t="s">
        <v>432</v>
      </c>
      <c r="D1284" t="s">
        <v>2291</v>
      </c>
      <c r="E1284">
        <v>4</v>
      </c>
      <c r="F1284">
        <v>5.4925084639321769E-6</v>
      </c>
      <c r="G1284">
        <v>2.693583990410679E-15</v>
      </c>
      <c r="H1284">
        <v>1.6023359063326059E-10</v>
      </c>
      <c r="I1284" t="s">
        <v>2231</v>
      </c>
      <c r="L1284" t="s">
        <v>2295</v>
      </c>
    </row>
    <row r="1285" spans="1:12" hidden="1" x14ac:dyDescent="0.25">
      <c r="A1285" s="516">
        <v>1260</v>
      </c>
      <c r="B1285" t="s">
        <v>441</v>
      </c>
      <c r="C1285" t="s">
        <v>432</v>
      </c>
      <c r="D1285" t="s">
        <v>2291</v>
      </c>
      <c r="E1285">
        <v>4</v>
      </c>
      <c r="F1285">
        <v>2.399089848850635E-6</v>
      </c>
      <c r="G1285">
        <v>1.1765389258580199E-15</v>
      </c>
      <c r="H1285">
        <v>3.8715900007063501E-9</v>
      </c>
      <c r="I1285" t="s">
        <v>2231</v>
      </c>
      <c r="L1285" t="s">
        <v>2295</v>
      </c>
    </row>
    <row r="1286" spans="1:12" hidden="1" x14ac:dyDescent="0.25">
      <c r="A1286" s="516">
        <v>1261</v>
      </c>
      <c r="B1286" t="s">
        <v>441</v>
      </c>
      <c r="C1286" t="s">
        <v>432</v>
      </c>
      <c r="D1286" t="s">
        <v>2291</v>
      </c>
      <c r="E1286">
        <v>4</v>
      </c>
      <c r="F1286">
        <v>3.2592645290929038E-5</v>
      </c>
      <c r="G1286">
        <v>1.5983776472495301E-14</v>
      </c>
      <c r="H1286">
        <v>-1.740916309042453E-6</v>
      </c>
      <c r="I1286" t="s">
        <v>2231</v>
      </c>
      <c r="L1286" t="s">
        <v>2295</v>
      </c>
    </row>
    <row r="1287" spans="1:12" hidden="1" x14ac:dyDescent="0.25">
      <c r="A1287" s="516">
        <v>1262</v>
      </c>
      <c r="B1287" t="s">
        <v>441</v>
      </c>
      <c r="C1287" t="s">
        <v>432</v>
      </c>
      <c r="D1287" t="s">
        <v>2291</v>
      </c>
      <c r="E1287">
        <v>4</v>
      </c>
      <c r="F1287">
        <v>1.0302495574527571E-5</v>
      </c>
      <c r="G1287">
        <v>5.0524523217497596E-15</v>
      </c>
      <c r="H1287">
        <v>1.299191275404815E-8</v>
      </c>
      <c r="I1287" t="s">
        <v>2231</v>
      </c>
      <c r="L1287" t="s">
        <v>2295</v>
      </c>
    </row>
    <row r="1288" spans="1:12" hidden="1" x14ac:dyDescent="0.25">
      <c r="A1288" s="516">
        <v>1263</v>
      </c>
      <c r="B1288" t="s">
        <v>441</v>
      </c>
      <c r="C1288" t="s">
        <v>432</v>
      </c>
      <c r="D1288" t="s">
        <v>2291</v>
      </c>
      <c r="E1288">
        <v>4</v>
      </c>
      <c r="F1288">
        <v>5.2075196483146209E-6</v>
      </c>
      <c r="G1288">
        <v>2.5538224741136269E-15</v>
      </c>
      <c r="H1288">
        <v>-6.8424073837986952E-7</v>
      </c>
      <c r="I1288" t="s">
        <v>2231</v>
      </c>
      <c r="L1288" t="s">
        <v>2295</v>
      </c>
    </row>
    <row r="1289" spans="1:12" hidden="1" x14ac:dyDescent="0.25">
      <c r="A1289" s="516">
        <v>1264</v>
      </c>
      <c r="B1289" t="s">
        <v>441</v>
      </c>
      <c r="C1289" t="s">
        <v>432</v>
      </c>
      <c r="D1289" t="s">
        <v>2291</v>
      </c>
      <c r="E1289">
        <v>4</v>
      </c>
      <c r="F1289">
        <v>7.9941744786906169E-6</v>
      </c>
      <c r="G1289">
        <v>3.9204273482238499E-15</v>
      </c>
      <c r="H1289">
        <v>2.0440609399702429E-8</v>
      </c>
      <c r="I1289" t="s">
        <v>2231</v>
      </c>
      <c r="L1289" t="s">
        <v>2295</v>
      </c>
    </row>
    <row r="1290" spans="1:12" hidden="1" x14ac:dyDescent="0.25">
      <c r="A1290" s="516">
        <v>1265</v>
      </c>
      <c r="B1290" t="s">
        <v>441</v>
      </c>
      <c r="C1290" t="s">
        <v>432</v>
      </c>
      <c r="D1290" t="s">
        <v>2291</v>
      </c>
      <c r="E1290">
        <v>4</v>
      </c>
      <c r="F1290">
        <v>2.5629932787978611E-3</v>
      </c>
      <c r="G1290">
        <v>1.256918893914214E-12</v>
      </c>
      <c r="H1290">
        <v>7.4053902698074482E-6</v>
      </c>
      <c r="I1290" t="s">
        <v>2249</v>
      </c>
      <c r="J1290" t="s">
        <v>462</v>
      </c>
      <c r="K1290" t="s">
        <v>417</v>
      </c>
      <c r="L1290" t="s">
        <v>2295</v>
      </c>
    </row>
    <row r="1291" spans="1:12" hidden="1" x14ac:dyDescent="0.25">
      <c r="A1291" s="516">
        <v>1266</v>
      </c>
      <c r="B1291" t="s">
        <v>441</v>
      </c>
      <c r="C1291" t="s">
        <v>432</v>
      </c>
      <c r="D1291" t="s">
        <v>2291</v>
      </c>
      <c r="E1291">
        <v>4</v>
      </c>
      <c r="F1291">
        <v>6.2891292219957099E-5</v>
      </c>
      <c r="G1291">
        <v>3.0842551991014627E-14</v>
      </c>
      <c r="H1291">
        <v>3.6204130207947519E-7</v>
      </c>
      <c r="I1291" t="s">
        <v>2231</v>
      </c>
      <c r="L1291" t="s">
        <v>2295</v>
      </c>
    </row>
    <row r="1292" spans="1:12" hidden="1" x14ac:dyDescent="0.25">
      <c r="A1292" s="516">
        <v>1267</v>
      </c>
      <c r="B1292" t="s">
        <v>441</v>
      </c>
      <c r="C1292" t="s">
        <v>432</v>
      </c>
      <c r="D1292" t="s">
        <v>2291</v>
      </c>
      <c r="E1292">
        <v>4</v>
      </c>
      <c r="F1292">
        <v>3.7514827614106017E-8</v>
      </c>
      <c r="G1292">
        <v>1.8397666517573199E-17</v>
      </c>
      <c r="H1292">
        <v>-1.858040544559376E-9</v>
      </c>
      <c r="I1292" t="s">
        <v>2231</v>
      </c>
      <c r="L1292" t="s">
        <v>2295</v>
      </c>
    </row>
    <row r="1293" spans="1:12" hidden="1" x14ac:dyDescent="0.25">
      <c r="A1293" s="516">
        <v>1268</v>
      </c>
      <c r="B1293" t="s">
        <v>441</v>
      </c>
      <c r="C1293" t="s">
        <v>432</v>
      </c>
      <c r="D1293" t="s">
        <v>2291</v>
      </c>
      <c r="E1293">
        <v>4</v>
      </c>
      <c r="F1293">
        <v>1.3944159361176979E-6</v>
      </c>
      <c r="G1293">
        <v>6.8383625918187203E-16</v>
      </c>
      <c r="H1293">
        <v>-7.5054082959405696E-8</v>
      </c>
      <c r="I1293" t="s">
        <v>2231</v>
      </c>
      <c r="L1293" t="s">
        <v>2295</v>
      </c>
    </row>
    <row r="1294" spans="1:12" hidden="1" x14ac:dyDescent="0.25">
      <c r="A1294" s="516">
        <v>1269</v>
      </c>
      <c r="B1294" t="s">
        <v>441</v>
      </c>
      <c r="C1294" t="s">
        <v>432</v>
      </c>
      <c r="D1294" t="s">
        <v>2291</v>
      </c>
      <c r="E1294">
        <v>4</v>
      </c>
      <c r="F1294">
        <v>8.1104311888237357E-7</v>
      </c>
      <c r="G1294">
        <v>3.977440863132155E-16</v>
      </c>
      <c r="H1294">
        <v>1.1650781536370321E-5</v>
      </c>
      <c r="I1294" t="s">
        <v>2231</v>
      </c>
      <c r="L1294" t="s">
        <v>2295</v>
      </c>
    </row>
    <row r="1295" spans="1:12" hidden="1" x14ac:dyDescent="0.25">
      <c r="A1295" s="516">
        <v>1270</v>
      </c>
      <c r="B1295" t="s">
        <v>441</v>
      </c>
      <c r="C1295" t="s">
        <v>432</v>
      </c>
      <c r="D1295" t="s">
        <v>2291</v>
      </c>
      <c r="E1295">
        <v>4</v>
      </c>
      <c r="F1295">
        <v>2.6593045450930562E-9</v>
      </c>
      <c r="G1295">
        <v>1.3041509531258609E-18</v>
      </c>
      <c r="H1295">
        <v>4.193994227302119E-8</v>
      </c>
      <c r="I1295" t="s">
        <v>2231</v>
      </c>
      <c r="L1295" t="s">
        <v>2295</v>
      </c>
    </row>
    <row r="1296" spans="1:12" x14ac:dyDescent="0.25">
      <c r="A1296" s="516">
        <v>1271</v>
      </c>
      <c r="B1296" t="s">
        <v>441</v>
      </c>
      <c r="C1296" t="s">
        <v>432</v>
      </c>
      <c r="D1296" t="s">
        <v>2291</v>
      </c>
      <c r="E1296">
        <v>3</v>
      </c>
      <c r="F1296">
        <v>8.7031640287351395E-4</v>
      </c>
      <c r="G1296">
        <v>4.2681232896883071E-13</v>
      </c>
      <c r="H1296">
        <v>1.0215863020277181E-6</v>
      </c>
      <c r="I1296" t="s">
        <v>460</v>
      </c>
      <c r="J1296" t="s">
        <v>462</v>
      </c>
      <c r="K1296" t="s">
        <v>417</v>
      </c>
    </row>
    <row r="1297" spans="1:12" hidden="1" x14ac:dyDescent="0.25">
      <c r="A1297" s="516">
        <v>1272</v>
      </c>
      <c r="B1297" t="s">
        <v>441</v>
      </c>
      <c r="C1297" t="s">
        <v>432</v>
      </c>
      <c r="D1297" t="s">
        <v>2291</v>
      </c>
      <c r="E1297">
        <v>4</v>
      </c>
      <c r="F1297">
        <v>1.059980226491467E-4</v>
      </c>
      <c r="G1297">
        <v>5.1982546535490551E-14</v>
      </c>
      <c r="H1297">
        <v>1.3313215338194921E-7</v>
      </c>
      <c r="I1297" t="s">
        <v>580</v>
      </c>
      <c r="J1297" t="s">
        <v>419</v>
      </c>
      <c r="K1297" t="s">
        <v>417</v>
      </c>
      <c r="L1297" t="s">
        <v>2295</v>
      </c>
    </row>
    <row r="1298" spans="1:12" hidden="1" x14ac:dyDescent="0.25">
      <c r="A1298" s="516">
        <v>1273</v>
      </c>
      <c r="B1298" t="s">
        <v>441</v>
      </c>
      <c r="C1298" t="s">
        <v>432</v>
      </c>
      <c r="D1298" t="s">
        <v>2291</v>
      </c>
      <c r="E1298">
        <v>4</v>
      </c>
      <c r="F1298">
        <v>7.548550830212558E-4</v>
      </c>
      <c r="G1298">
        <v>3.701888818302394E-13</v>
      </c>
      <c r="H1298">
        <v>8.8845414864576876E-7</v>
      </c>
      <c r="I1298" t="s">
        <v>580</v>
      </c>
      <c r="J1298" t="s">
        <v>1992</v>
      </c>
      <c r="K1298" t="s">
        <v>417</v>
      </c>
      <c r="L1298" t="s">
        <v>2295</v>
      </c>
    </row>
    <row r="1299" spans="1:12" hidden="1" x14ac:dyDescent="0.25">
      <c r="A1299" s="516">
        <v>1274</v>
      </c>
      <c r="B1299" t="s">
        <v>441</v>
      </c>
      <c r="C1299" t="s">
        <v>432</v>
      </c>
      <c r="D1299" t="s">
        <v>2291</v>
      </c>
      <c r="E1299">
        <v>4</v>
      </c>
      <c r="F1299">
        <v>2.8192667340361349E-6</v>
      </c>
      <c r="G1299">
        <v>1.382598095089782E-15</v>
      </c>
      <c r="H1299">
        <v>1.9440787327587471E-7</v>
      </c>
      <c r="I1299" t="s">
        <v>2231</v>
      </c>
      <c r="L1299" t="s">
        <v>2295</v>
      </c>
    </row>
    <row r="1300" spans="1:12" hidden="1" x14ac:dyDescent="0.25">
      <c r="A1300" s="516">
        <v>1275</v>
      </c>
      <c r="B1300" t="s">
        <v>441</v>
      </c>
      <c r="C1300" t="s">
        <v>432</v>
      </c>
      <c r="D1300" t="s">
        <v>2291</v>
      </c>
      <c r="E1300">
        <v>4</v>
      </c>
      <c r="F1300">
        <v>5.0014261242918078E-8</v>
      </c>
      <c r="G1300">
        <v>2.452752039633542E-17</v>
      </c>
      <c r="H1300">
        <v>2.0533884670757129E-8</v>
      </c>
      <c r="I1300" t="s">
        <v>2231</v>
      </c>
      <c r="L1300" t="s">
        <v>2295</v>
      </c>
    </row>
    <row r="1301" spans="1:12" hidden="1" x14ac:dyDescent="0.25">
      <c r="A1301" s="516">
        <v>1276</v>
      </c>
      <c r="B1301" t="s">
        <v>441</v>
      </c>
      <c r="C1301" t="s">
        <v>432</v>
      </c>
      <c r="D1301" t="s">
        <v>2291</v>
      </c>
      <c r="E1301">
        <v>4</v>
      </c>
      <c r="F1301">
        <v>6.4003904888280213E-6</v>
      </c>
      <c r="G1301">
        <v>3.1388188960097741E-15</v>
      </c>
      <c r="H1301">
        <v>2.109575713687238E-7</v>
      </c>
      <c r="I1301" t="s">
        <v>2231</v>
      </c>
      <c r="L1301" t="s">
        <v>2295</v>
      </c>
    </row>
    <row r="1302" spans="1:12" hidden="1" x14ac:dyDescent="0.25">
      <c r="A1302" s="516">
        <v>1277</v>
      </c>
      <c r="B1302" t="s">
        <v>441</v>
      </c>
      <c r="C1302" t="s">
        <v>432</v>
      </c>
      <c r="D1302" t="s">
        <v>2291</v>
      </c>
      <c r="E1302">
        <v>4</v>
      </c>
      <c r="F1302">
        <v>1.9363863935092619E-7</v>
      </c>
      <c r="G1302">
        <v>9.4962427878928202E-17</v>
      </c>
      <c r="H1302">
        <v>4.5041740056402089E-7</v>
      </c>
      <c r="I1302" t="s">
        <v>2231</v>
      </c>
      <c r="L1302" t="s">
        <v>2295</v>
      </c>
    </row>
    <row r="1303" spans="1:12" x14ac:dyDescent="0.25">
      <c r="A1303" s="516">
        <v>1278</v>
      </c>
      <c r="B1303" t="s">
        <v>441</v>
      </c>
      <c r="C1303" t="s">
        <v>432</v>
      </c>
      <c r="D1303" t="s">
        <v>2291</v>
      </c>
      <c r="E1303">
        <v>3</v>
      </c>
      <c r="F1303">
        <v>3.3873620672417878E-2</v>
      </c>
      <c r="G1303">
        <v>1.6611980289084108E-11</v>
      </c>
      <c r="H1303">
        <v>8.661275169365436E-5</v>
      </c>
      <c r="I1303" t="s">
        <v>2250</v>
      </c>
      <c r="J1303" t="s">
        <v>462</v>
      </c>
      <c r="K1303" t="s">
        <v>417</v>
      </c>
    </row>
    <row r="1304" spans="1:12" hidden="1" x14ac:dyDescent="0.25">
      <c r="A1304" s="516">
        <v>1279</v>
      </c>
      <c r="B1304" t="s">
        <v>441</v>
      </c>
      <c r="C1304" t="s">
        <v>432</v>
      </c>
      <c r="D1304" t="s">
        <v>2291</v>
      </c>
      <c r="E1304">
        <v>4</v>
      </c>
      <c r="F1304">
        <v>2.2008533513379221E-2</v>
      </c>
      <c r="G1304">
        <v>1.0793216599181041E-11</v>
      </c>
      <c r="H1304">
        <v>5.1118942784407733E-5</v>
      </c>
      <c r="I1304" t="s">
        <v>2251</v>
      </c>
      <c r="J1304" t="s">
        <v>1992</v>
      </c>
      <c r="K1304" t="s">
        <v>417</v>
      </c>
      <c r="L1304" t="s">
        <v>2295</v>
      </c>
    </row>
    <row r="1305" spans="1:12" hidden="1" x14ac:dyDescent="0.25">
      <c r="A1305" s="516">
        <v>1280</v>
      </c>
      <c r="B1305" t="s">
        <v>441</v>
      </c>
      <c r="C1305" t="s">
        <v>432</v>
      </c>
      <c r="D1305" t="s">
        <v>2291</v>
      </c>
      <c r="E1305">
        <v>4</v>
      </c>
      <c r="F1305">
        <v>6.6610959151075695E-8</v>
      </c>
      <c r="G1305">
        <v>3.2666715824555298E-17</v>
      </c>
      <c r="H1305">
        <v>9.8650667878707843E-10</v>
      </c>
      <c r="I1305" t="s">
        <v>2231</v>
      </c>
      <c r="L1305" t="s">
        <v>2295</v>
      </c>
    </row>
    <row r="1306" spans="1:12" hidden="1" x14ac:dyDescent="0.25">
      <c r="A1306" s="516">
        <v>1281</v>
      </c>
      <c r="B1306" t="s">
        <v>441</v>
      </c>
      <c r="C1306" t="s">
        <v>432</v>
      </c>
      <c r="D1306" t="s">
        <v>2291</v>
      </c>
      <c r="E1306">
        <v>4</v>
      </c>
      <c r="F1306">
        <v>3.61925390222543E-3</v>
      </c>
      <c r="G1306">
        <v>1.7749202267567359E-12</v>
      </c>
      <c r="H1306">
        <v>1.082371738256408E-5</v>
      </c>
      <c r="I1306" t="s">
        <v>2251</v>
      </c>
      <c r="J1306" t="s">
        <v>419</v>
      </c>
      <c r="K1306" t="s">
        <v>417</v>
      </c>
      <c r="L1306" t="s">
        <v>2295</v>
      </c>
    </row>
    <row r="1307" spans="1:12" hidden="1" x14ac:dyDescent="0.25">
      <c r="A1307" s="516">
        <v>1282</v>
      </c>
      <c r="B1307" t="s">
        <v>441</v>
      </c>
      <c r="C1307" t="s">
        <v>432</v>
      </c>
      <c r="D1307" t="s">
        <v>2291</v>
      </c>
      <c r="E1307">
        <v>4</v>
      </c>
      <c r="F1307">
        <v>9.4385720994845517E-5</v>
      </c>
      <c r="G1307">
        <v>4.6287751519107052E-14</v>
      </c>
      <c r="H1307">
        <v>8.5097238472389624E-7</v>
      </c>
      <c r="I1307" t="s">
        <v>2231</v>
      </c>
      <c r="L1307" t="s">
        <v>2295</v>
      </c>
    </row>
    <row r="1308" spans="1:12" hidden="1" x14ac:dyDescent="0.25">
      <c r="A1308" s="516">
        <v>1283</v>
      </c>
      <c r="B1308" t="s">
        <v>441</v>
      </c>
      <c r="C1308" t="s">
        <v>432</v>
      </c>
      <c r="D1308" t="s">
        <v>2291</v>
      </c>
      <c r="E1308">
        <v>4</v>
      </c>
      <c r="F1308">
        <v>3.7417382324987721E-3</v>
      </c>
      <c r="G1308">
        <v>1.83498783216271E-12</v>
      </c>
      <c r="H1308">
        <v>1.2277194154703439E-5</v>
      </c>
      <c r="I1308" t="s">
        <v>1454</v>
      </c>
      <c r="J1308" t="s">
        <v>1992</v>
      </c>
      <c r="K1308" t="s">
        <v>417</v>
      </c>
      <c r="L1308" t="s">
        <v>2295</v>
      </c>
    </row>
    <row r="1309" spans="1:12" hidden="1" x14ac:dyDescent="0.25">
      <c r="A1309" s="516">
        <v>1284</v>
      </c>
      <c r="B1309" t="s">
        <v>441</v>
      </c>
      <c r="C1309" t="s">
        <v>432</v>
      </c>
      <c r="D1309" t="s">
        <v>2291</v>
      </c>
      <c r="E1309">
        <v>4</v>
      </c>
      <c r="F1309">
        <v>9.893470701198108E-4</v>
      </c>
      <c r="G1309">
        <v>4.8518622165701591E-13</v>
      </c>
      <c r="H1309">
        <v>2.3333258765765228E-6</v>
      </c>
      <c r="I1309" t="s">
        <v>2251</v>
      </c>
      <c r="J1309" t="s">
        <v>2252</v>
      </c>
      <c r="K1309" t="s">
        <v>417</v>
      </c>
      <c r="L1309" t="s">
        <v>2295</v>
      </c>
    </row>
    <row r="1310" spans="1:12" hidden="1" x14ac:dyDescent="0.25">
      <c r="A1310" s="516">
        <v>1285</v>
      </c>
      <c r="B1310" t="s">
        <v>441</v>
      </c>
      <c r="C1310" t="s">
        <v>432</v>
      </c>
      <c r="D1310" t="s">
        <v>2291</v>
      </c>
      <c r="E1310">
        <v>4</v>
      </c>
      <c r="F1310">
        <v>1.871985159141385E-3</v>
      </c>
      <c r="G1310">
        <v>9.1804123526825146E-13</v>
      </c>
      <c r="H1310">
        <v>2.8157606536467428E-6</v>
      </c>
      <c r="I1310" t="s">
        <v>1454</v>
      </c>
      <c r="J1310" t="s">
        <v>2252</v>
      </c>
      <c r="K1310" t="s">
        <v>417</v>
      </c>
      <c r="L1310" t="s">
        <v>2295</v>
      </c>
    </row>
    <row r="1311" spans="1:12" hidden="1" x14ac:dyDescent="0.25">
      <c r="A1311" s="516">
        <v>1286</v>
      </c>
      <c r="B1311" t="s">
        <v>441</v>
      </c>
      <c r="C1311" t="s">
        <v>432</v>
      </c>
      <c r="D1311" t="s">
        <v>2291</v>
      </c>
      <c r="E1311">
        <v>4</v>
      </c>
      <c r="F1311">
        <v>7.2613377843248731E-4</v>
      </c>
      <c r="G1311">
        <v>3.5610365160582748E-13</v>
      </c>
      <c r="H1311">
        <v>6.3431531194027866E-6</v>
      </c>
      <c r="I1311" t="s">
        <v>1454</v>
      </c>
      <c r="J1311" t="s">
        <v>2253</v>
      </c>
      <c r="K1311" t="s">
        <v>417</v>
      </c>
      <c r="L1311" t="s">
        <v>2295</v>
      </c>
    </row>
    <row r="1312" spans="1:12" hidden="1" x14ac:dyDescent="0.25">
      <c r="A1312" s="516">
        <v>1287</v>
      </c>
      <c r="B1312" t="s">
        <v>441</v>
      </c>
      <c r="C1312" t="s">
        <v>432</v>
      </c>
      <c r="D1312" t="s">
        <v>2291</v>
      </c>
      <c r="E1312">
        <v>4</v>
      </c>
      <c r="F1312">
        <v>1.9851781167983222E-5</v>
      </c>
      <c r="G1312">
        <v>9.7355225369892299E-15</v>
      </c>
      <c r="H1312">
        <v>4.8698830950311433E-8</v>
      </c>
      <c r="I1312" t="s">
        <v>2231</v>
      </c>
      <c r="L1312" t="s">
        <v>2295</v>
      </c>
    </row>
    <row r="1313" spans="1:12" hidden="1" x14ac:dyDescent="0.25">
      <c r="A1313" s="516">
        <v>1288</v>
      </c>
      <c r="B1313" t="s">
        <v>441</v>
      </c>
      <c r="C1313" t="s">
        <v>432</v>
      </c>
      <c r="D1313" t="s">
        <v>2291</v>
      </c>
      <c r="E1313">
        <v>4</v>
      </c>
      <c r="F1313">
        <v>2.390247883204549E-4</v>
      </c>
      <c r="G1313">
        <v>1.1722027327935109E-13</v>
      </c>
      <c r="H1313">
        <v>1.6482406647302429E-5</v>
      </c>
      <c r="I1313" t="s">
        <v>2254</v>
      </c>
      <c r="J1313" t="s">
        <v>462</v>
      </c>
      <c r="K1313" t="s">
        <v>925</v>
      </c>
      <c r="L1313" t="s">
        <v>2295</v>
      </c>
    </row>
    <row r="1314" spans="1:12" hidden="1" x14ac:dyDescent="0.25">
      <c r="A1314" s="516">
        <v>1289</v>
      </c>
      <c r="B1314" t="s">
        <v>441</v>
      </c>
      <c r="C1314" t="s">
        <v>432</v>
      </c>
      <c r="D1314" t="s">
        <v>2291</v>
      </c>
      <c r="E1314">
        <v>4</v>
      </c>
      <c r="F1314">
        <v>4.2403395401604422E-6</v>
      </c>
      <c r="G1314">
        <v>2.079507164037132E-15</v>
      </c>
      <c r="H1314">
        <v>1.740916309042453E-6</v>
      </c>
      <c r="I1314" t="s">
        <v>2231</v>
      </c>
      <c r="L1314" t="s">
        <v>2295</v>
      </c>
    </row>
    <row r="1315" spans="1:12" hidden="1" x14ac:dyDescent="0.25">
      <c r="A1315" s="516">
        <v>1290</v>
      </c>
      <c r="B1315" t="s">
        <v>441</v>
      </c>
      <c r="C1315" t="s">
        <v>432</v>
      </c>
      <c r="D1315" t="s">
        <v>2291</v>
      </c>
      <c r="E1315">
        <v>4</v>
      </c>
      <c r="F1315">
        <v>5.426418023136804E-4</v>
      </c>
      <c r="G1315">
        <v>2.6611725422691581E-13</v>
      </c>
      <c r="H1315">
        <v>1.788553322473962E-5</v>
      </c>
      <c r="I1315" t="s">
        <v>2255</v>
      </c>
      <c r="J1315" t="s">
        <v>462</v>
      </c>
      <c r="K1315" t="s">
        <v>925</v>
      </c>
      <c r="L1315" t="s">
        <v>2295</v>
      </c>
    </row>
    <row r="1316" spans="1:12" hidden="1" x14ac:dyDescent="0.25">
      <c r="A1316" s="516">
        <v>1291</v>
      </c>
      <c r="B1316" t="s">
        <v>441</v>
      </c>
      <c r="C1316" t="s">
        <v>432</v>
      </c>
      <c r="D1316" t="s">
        <v>2291</v>
      </c>
      <c r="E1316">
        <v>4</v>
      </c>
      <c r="F1316">
        <v>1.6417188988443861E-5</v>
      </c>
      <c r="G1316">
        <v>8.0511623636461877E-15</v>
      </c>
      <c r="H1316">
        <v>3.8187562221732208E-5</v>
      </c>
      <c r="I1316" t="s">
        <v>2231</v>
      </c>
      <c r="L1316" t="s">
        <v>2295</v>
      </c>
    </row>
    <row r="1317" spans="1:12" x14ac:dyDescent="0.25">
      <c r="A1317" s="516">
        <v>1292</v>
      </c>
      <c r="B1317" t="s">
        <v>441</v>
      </c>
      <c r="C1317" t="s">
        <v>432</v>
      </c>
      <c r="D1317" t="s">
        <v>2291</v>
      </c>
      <c r="E1317">
        <v>3</v>
      </c>
      <c r="F1317">
        <v>4.0695951395046982E-5</v>
      </c>
      <c r="G1317">
        <v>1.9957723119055949E-14</v>
      </c>
      <c r="H1317">
        <v>1.9987558083151011E-7</v>
      </c>
      <c r="I1317" t="s">
        <v>2231</v>
      </c>
    </row>
    <row r="1318" spans="1:12" x14ac:dyDescent="0.25">
      <c r="A1318" s="516">
        <v>1293</v>
      </c>
      <c r="B1318" t="s">
        <v>441</v>
      </c>
      <c r="C1318" t="s">
        <v>432</v>
      </c>
      <c r="D1318" t="s">
        <v>2291</v>
      </c>
      <c r="E1318">
        <v>3</v>
      </c>
      <c r="F1318">
        <v>8.3390336980955297E-8</v>
      </c>
      <c r="G1318">
        <v>4.0895499410126423E-17</v>
      </c>
      <c r="H1318">
        <v>-3.1091757018234902E-8</v>
      </c>
      <c r="I1318" t="s">
        <v>2231</v>
      </c>
    </row>
    <row r="1319" spans="1:12" x14ac:dyDescent="0.25">
      <c r="A1319" s="516">
        <v>1294</v>
      </c>
      <c r="B1319" t="s">
        <v>441</v>
      </c>
      <c r="C1319" t="s">
        <v>432</v>
      </c>
      <c r="D1319" t="s">
        <v>2291</v>
      </c>
      <c r="E1319">
        <v>3</v>
      </c>
      <c r="F1319">
        <v>3.1891810015245111E-6</v>
      </c>
      <c r="G1319">
        <v>1.5640079473047111E-15</v>
      </c>
      <c r="H1319">
        <v>-1.9987558083151011E-7</v>
      </c>
      <c r="I1319" t="s">
        <v>2231</v>
      </c>
    </row>
    <row r="1320" spans="1:12" x14ac:dyDescent="0.25">
      <c r="A1320" s="516">
        <v>1295</v>
      </c>
      <c r="B1320" t="s">
        <v>441</v>
      </c>
      <c r="C1320" t="s">
        <v>432</v>
      </c>
      <c r="D1320" t="s">
        <v>2291</v>
      </c>
      <c r="E1320">
        <v>3</v>
      </c>
      <c r="F1320">
        <v>2.7442678133468191E-6</v>
      </c>
      <c r="G1320">
        <v>1.345817834596165E-15</v>
      </c>
      <c r="H1320">
        <v>-7.5508552758570464E-7</v>
      </c>
      <c r="I1320" t="s">
        <v>2231</v>
      </c>
    </row>
    <row r="1321" spans="1:12" x14ac:dyDescent="0.25">
      <c r="A1321" s="516">
        <v>1296</v>
      </c>
      <c r="B1321" t="s">
        <v>441</v>
      </c>
      <c r="C1321" t="s">
        <v>432</v>
      </c>
      <c r="D1321" t="s">
        <v>2291</v>
      </c>
      <c r="E1321">
        <v>3</v>
      </c>
      <c r="F1321">
        <v>8.5889923644521466E-5</v>
      </c>
      <c r="G1321">
        <v>4.2121323032217978E-14</v>
      </c>
      <c r="H1321">
        <v>7.1066873184536906E-7</v>
      </c>
      <c r="I1321" t="s">
        <v>2231</v>
      </c>
    </row>
    <row r="1322" spans="1:12" x14ac:dyDescent="0.25">
      <c r="A1322" s="516">
        <v>1297</v>
      </c>
      <c r="B1322" t="s">
        <v>441</v>
      </c>
      <c r="C1322" t="s">
        <v>432</v>
      </c>
      <c r="D1322" t="s">
        <v>2291</v>
      </c>
      <c r="E1322">
        <v>2</v>
      </c>
      <c r="F1322">
        <v>0</v>
      </c>
      <c r="G1322">
        <v>0</v>
      </c>
      <c r="H1322">
        <v>0</v>
      </c>
      <c r="I1322" t="s">
        <v>2231</v>
      </c>
    </row>
    <row r="1323" spans="1:12" x14ac:dyDescent="0.25">
      <c r="A1323" s="568">
        <v>1298</v>
      </c>
      <c r="B1323" s="417" t="s">
        <v>441</v>
      </c>
      <c r="C1323" s="417" t="s">
        <v>432</v>
      </c>
      <c r="D1323" s="417" t="s">
        <v>2291</v>
      </c>
      <c r="E1323" s="417">
        <v>2</v>
      </c>
      <c r="F1323" s="417">
        <v>6.2177124933639897E-3</v>
      </c>
      <c r="G1323" s="417">
        <v>3.049231683315711E-12</v>
      </c>
      <c r="H1323" s="417">
        <v>6.0980602046066296E-4</v>
      </c>
      <c r="I1323" s="417" t="s">
        <v>1003</v>
      </c>
      <c r="J1323" s="417" t="s">
        <v>432</v>
      </c>
      <c r="K1323" s="417" t="s">
        <v>417</v>
      </c>
      <c r="L1323" s="417" t="s">
        <v>155</v>
      </c>
    </row>
    <row r="1324" spans="1:12" x14ac:dyDescent="0.25">
      <c r="A1324" s="516">
        <v>1299</v>
      </c>
      <c r="B1324" t="s">
        <v>441</v>
      </c>
      <c r="C1324" t="s">
        <v>432</v>
      </c>
      <c r="D1324" t="s">
        <v>2291</v>
      </c>
      <c r="E1324">
        <v>3</v>
      </c>
      <c r="F1324">
        <v>5.8674782601281523E-3</v>
      </c>
      <c r="G1324">
        <v>2.87747312714183E-12</v>
      </c>
      <c r="H1324">
        <v>6.0980602046066296E-4</v>
      </c>
      <c r="I1324" t="s">
        <v>1000</v>
      </c>
      <c r="J1324" t="s">
        <v>432</v>
      </c>
      <c r="K1324" t="s">
        <v>417</v>
      </c>
    </row>
    <row r="1325" spans="1:12" hidden="1" x14ac:dyDescent="0.25">
      <c r="A1325" s="516">
        <v>1300</v>
      </c>
      <c r="B1325" t="s">
        <v>441</v>
      </c>
      <c r="C1325" t="s">
        <v>432</v>
      </c>
      <c r="D1325" t="s">
        <v>2291</v>
      </c>
      <c r="E1325">
        <v>4</v>
      </c>
      <c r="F1325">
        <v>5.5172440268923461E-3</v>
      </c>
      <c r="G1325">
        <v>2.7057145709679651E-12</v>
      </c>
      <c r="H1325">
        <v>6.0980602046066296E-4</v>
      </c>
      <c r="I1325" t="s">
        <v>998</v>
      </c>
      <c r="J1325" t="s">
        <v>432</v>
      </c>
      <c r="K1325" t="s">
        <v>417</v>
      </c>
      <c r="L1325" t="s">
        <v>2295</v>
      </c>
    </row>
    <row r="1326" spans="1:12" hidden="1" x14ac:dyDescent="0.25">
      <c r="A1326" s="516">
        <v>1301</v>
      </c>
      <c r="B1326" t="s">
        <v>441</v>
      </c>
      <c r="C1326" t="s">
        <v>432</v>
      </c>
      <c r="D1326" t="s">
        <v>2291</v>
      </c>
      <c r="E1326">
        <v>4</v>
      </c>
      <c r="F1326">
        <v>3.5023422801691719E-4</v>
      </c>
      <c r="G1326">
        <v>1.7175855361446751E-13</v>
      </c>
      <c r="H1326">
        <v>6.0980602046066303E-5</v>
      </c>
      <c r="I1326" t="s">
        <v>506</v>
      </c>
      <c r="J1326" t="s">
        <v>432</v>
      </c>
      <c r="K1326" t="s">
        <v>433</v>
      </c>
      <c r="L1326" t="s">
        <v>2295</v>
      </c>
    </row>
    <row r="1327" spans="1:12" x14ac:dyDescent="0.25">
      <c r="A1327" s="516">
        <v>1302</v>
      </c>
      <c r="B1327" t="s">
        <v>441</v>
      </c>
      <c r="C1327" t="s">
        <v>432</v>
      </c>
      <c r="D1327" t="s">
        <v>2291</v>
      </c>
      <c r="E1327">
        <v>3</v>
      </c>
      <c r="F1327">
        <v>3.5023422801691719E-4</v>
      </c>
      <c r="G1327">
        <v>1.7175855361446751E-13</v>
      </c>
      <c r="H1327">
        <v>6.0980602046066303E-5</v>
      </c>
      <c r="I1327" t="s">
        <v>506</v>
      </c>
      <c r="J1327" t="s">
        <v>432</v>
      </c>
      <c r="K1327" t="s">
        <v>433</v>
      </c>
    </row>
    <row r="1328" spans="1:12" hidden="1" x14ac:dyDescent="0.25">
      <c r="A1328" s="516">
        <v>1303</v>
      </c>
      <c r="B1328" t="s">
        <v>441</v>
      </c>
      <c r="C1328" t="s">
        <v>432</v>
      </c>
      <c r="D1328" t="s">
        <v>2291</v>
      </c>
      <c r="E1328">
        <v>4</v>
      </c>
      <c r="F1328">
        <v>8.6659368165450639E-5</v>
      </c>
      <c r="G1328">
        <v>4.2498666728034563E-14</v>
      </c>
      <c r="H1328">
        <v>5.3300022630301139E-12</v>
      </c>
      <c r="I1328" t="s">
        <v>2231</v>
      </c>
      <c r="L1328" t="s">
        <v>2295</v>
      </c>
    </row>
    <row r="1329" spans="1:12" hidden="1" x14ac:dyDescent="0.25">
      <c r="A1329" s="516">
        <v>1304</v>
      </c>
      <c r="B1329" t="s">
        <v>441</v>
      </c>
      <c r="C1329" t="s">
        <v>432</v>
      </c>
      <c r="D1329" t="s">
        <v>2291</v>
      </c>
      <c r="E1329">
        <v>4</v>
      </c>
      <c r="F1329">
        <v>2.925163480676579E-6</v>
      </c>
      <c r="G1329">
        <v>1.4345309748041021E-15</v>
      </c>
      <c r="H1329">
        <v>2.0371767410342151E-7</v>
      </c>
      <c r="I1329" t="s">
        <v>2231</v>
      </c>
      <c r="L1329" t="s">
        <v>2295</v>
      </c>
    </row>
    <row r="1330" spans="1:12" hidden="1" x14ac:dyDescent="0.25">
      <c r="A1330" s="516">
        <v>1305</v>
      </c>
      <c r="B1330" t="s">
        <v>441</v>
      </c>
      <c r="C1330" t="s">
        <v>432</v>
      </c>
      <c r="D1330" t="s">
        <v>2291</v>
      </c>
      <c r="E1330">
        <v>4</v>
      </c>
      <c r="F1330">
        <v>1.600795711115555E-6</v>
      </c>
      <c r="G1330">
        <v>7.8504707415452781E-16</v>
      </c>
      <c r="H1330">
        <v>1.044214083571819E-7</v>
      </c>
      <c r="I1330" t="s">
        <v>2231</v>
      </c>
      <c r="L1330" t="s">
        <v>2295</v>
      </c>
    </row>
    <row r="1331" spans="1:12" hidden="1" x14ac:dyDescent="0.25">
      <c r="A1331" s="516">
        <v>1306</v>
      </c>
      <c r="B1331" t="s">
        <v>441</v>
      </c>
      <c r="C1331" t="s">
        <v>432</v>
      </c>
      <c r="D1331" t="s">
        <v>2291</v>
      </c>
      <c r="E1331">
        <v>4</v>
      </c>
      <c r="F1331">
        <v>3.8341881764339841E-6</v>
      </c>
      <c r="G1331">
        <v>1.880326258226777E-15</v>
      </c>
      <c r="H1331">
        <v>3.1728043308528322E-7</v>
      </c>
      <c r="I1331" t="s">
        <v>2231</v>
      </c>
      <c r="L1331" t="s">
        <v>2295</v>
      </c>
    </row>
    <row r="1332" spans="1:12" hidden="1" x14ac:dyDescent="0.25">
      <c r="A1332" s="516">
        <v>1307</v>
      </c>
      <c r="B1332" t="s">
        <v>441</v>
      </c>
      <c r="C1332" t="s">
        <v>432</v>
      </c>
      <c r="D1332" t="s">
        <v>2291</v>
      </c>
      <c r="E1332">
        <v>4</v>
      </c>
      <c r="F1332">
        <v>2.5227976879255139E-6</v>
      </c>
      <c r="G1332">
        <v>1.237206552864613E-15</v>
      </c>
      <c r="H1332">
        <v>1.7671315260446161E-7</v>
      </c>
      <c r="I1332" t="s">
        <v>2231</v>
      </c>
      <c r="L1332" t="s">
        <v>2295</v>
      </c>
    </row>
    <row r="1333" spans="1:12" hidden="1" x14ac:dyDescent="0.25">
      <c r="A1333" s="516">
        <v>1308</v>
      </c>
      <c r="B1333" t="s">
        <v>441</v>
      </c>
      <c r="C1333" t="s">
        <v>432</v>
      </c>
      <c r="D1333" t="s">
        <v>2291</v>
      </c>
      <c r="E1333">
        <v>4</v>
      </c>
      <c r="F1333">
        <v>7.5739201717247528E-7</v>
      </c>
      <c r="G1333">
        <v>3.7143302105356949E-16</v>
      </c>
      <c r="H1333">
        <v>6.8275536233541985E-8</v>
      </c>
      <c r="I1333" t="s">
        <v>2231</v>
      </c>
      <c r="L1333" t="s">
        <v>2295</v>
      </c>
    </row>
    <row r="1334" spans="1:12" hidden="1" x14ac:dyDescent="0.25">
      <c r="A1334" s="516">
        <v>1309</v>
      </c>
      <c r="B1334" t="s">
        <v>441</v>
      </c>
      <c r="C1334" t="s">
        <v>432</v>
      </c>
      <c r="D1334" t="s">
        <v>2291</v>
      </c>
      <c r="E1334">
        <v>4</v>
      </c>
      <c r="F1334">
        <v>9.3015742500641564E-6</v>
      </c>
      <c r="G1334">
        <v>4.5615899638781893E-15</v>
      </c>
      <c r="H1334">
        <v>8.1067158757296726E-7</v>
      </c>
      <c r="I1334" t="s">
        <v>2231</v>
      </c>
      <c r="L1334" t="s">
        <v>2295</v>
      </c>
    </row>
    <row r="1335" spans="1:12" hidden="1" x14ac:dyDescent="0.25">
      <c r="A1335" s="516">
        <v>1310</v>
      </c>
      <c r="B1335" t="s">
        <v>441</v>
      </c>
      <c r="C1335" t="s">
        <v>432</v>
      </c>
      <c r="D1335" t="s">
        <v>2291</v>
      </c>
      <c r="E1335">
        <v>4</v>
      </c>
      <c r="F1335">
        <v>1.266053492514868E-6</v>
      </c>
      <c r="G1335">
        <v>6.2088596509874828E-16</v>
      </c>
      <c r="H1335">
        <v>1.124538243846574E-7</v>
      </c>
      <c r="I1335" t="s">
        <v>2231</v>
      </c>
      <c r="L1335" t="s">
        <v>2295</v>
      </c>
    </row>
    <row r="1336" spans="1:12" hidden="1" x14ac:dyDescent="0.25">
      <c r="A1336" s="516">
        <v>1311</v>
      </c>
      <c r="B1336" t="s">
        <v>441</v>
      </c>
      <c r="C1336" t="s">
        <v>432</v>
      </c>
      <c r="D1336" t="s">
        <v>2291</v>
      </c>
      <c r="E1336">
        <v>4</v>
      </c>
      <c r="F1336">
        <v>2.7091067705408371E-6</v>
      </c>
      <c r="G1336">
        <v>1.3285744889353861E-15</v>
      </c>
      <c r="H1336">
        <v>2.0884281671436361E-7</v>
      </c>
      <c r="I1336" t="s">
        <v>2231</v>
      </c>
      <c r="L1336" t="s">
        <v>2295</v>
      </c>
    </row>
    <row r="1337" spans="1:12" hidden="1" x14ac:dyDescent="0.25">
      <c r="A1337" s="516">
        <v>1312</v>
      </c>
      <c r="B1337" t="s">
        <v>441</v>
      </c>
      <c r="C1337" t="s">
        <v>432</v>
      </c>
      <c r="D1337" t="s">
        <v>2291</v>
      </c>
      <c r="E1337">
        <v>4</v>
      </c>
      <c r="F1337">
        <v>1.053226227244619E-6</v>
      </c>
      <c r="G1337">
        <v>5.1651323300023149E-16</v>
      </c>
      <c r="H1337">
        <v>1.044214083571819E-7</v>
      </c>
      <c r="I1337" t="s">
        <v>2231</v>
      </c>
      <c r="L1337" t="s">
        <v>2295</v>
      </c>
    </row>
    <row r="1338" spans="1:12" hidden="1" x14ac:dyDescent="0.25">
      <c r="A1338" s="516">
        <v>1313</v>
      </c>
      <c r="B1338" t="s">
        <v>441</v>
      </c>
      <c r="C1338" t="s">
        <v>432</v>
      </c>
      <c r="D1338" t="s">
        <v>2291</v>
      </c>
      <c r="E1338">
        <v>4</v>
      </c>
      <c r="F1338">
        <v>1.835680217638695E-6</v>
      </c>
      <c r="G1338">
        <v>9.0023690964060698E-16</v>
      </c>
      <c r="H1338">
        <v>1.044214083571819E-7</v>
      </c>
      <c r="I1338" t="s">
        <v>2231</v>
      </c>
      <c r="L1338" t="s">
        <v>2295</v>
      </c>
    </row>
    <row r="1339" spans="1:12" hidden="1" x14ac:dyDescent="0.25">
      <c r="A1339" s="516">
        <v>1314</v>
      </c>
      <c r="B1339" t="s">
        <v>441</v>
      </c>
      <c r="C1339" t="s">
        <v>432</v>
      </c>
      <c r="D1339" t="s">
        <v>2291</v>
      </c>
      <c r="E1339">
        <v>4</v>
      </c>
      <c r="F1339">
        <v>2.1577222204798081E-4</v>
      </c>
      <c r="G1339">
        <v>1.058169699146332E-13</v>
      </c>
      <c r="H1339">
        <v>5.798008747587617E-5</v>
      </c>
      <c r="I1339" t="s">
        <v>2258</v>
      </c>
      <c r="J1339" t="s">
        <v>432</v>
      </c>
      <c r="K1339" t="s">
        <v>433</v>
      </c>
      <c r="L1339" t="s">
        <v>2295</v>
      </c>
    </row>
    <row r="1340" spans="1:12" hidden="1" x14ac:dyDescent="0.25">
      <c r="A1340" s="516">
        <v>1315</v>
      </c>
      <c r="B1340" t="s">
        <v>441</v>
      </c>
      <c r="C1340" t="s">
        <v>432</v>
      </c>
      <c r="D1340" t="s">
        <v>2291</v>
      </c>
      <c r="E1340">
        <v>4</v>
      </c>
      <c r="F1340">
        <v>9.6055151717351093E-6</v>
      </c>
      <c r="G1340">
        <v>4.7106457925618701E-15</v>
      </c>
      <c r="H1340">
        <v>1.6724524654590221E-6</v>
      </c>
      <c r="I1340" t="s">
        <v>2231</v>
      </c>
      <c r="L1340" t="s">
        <v>2295</v>
      </c>
    </row>
    <row r="1341" spans="1:12" hidden="1" x14ac:dyDescent="0.25">
      <c r="A1341" s="516">
        <v>1316</v>
      </c>
      <c r="B1341" t="s">
        <v>441</v>
      </c>
      <c r="C1341" t="s">
        <v>432</v>
      </c>
      <c r="D1341" t="s">
        <v>2291</v>
      </c>
      <c r="E1341">
        <v>4</v>
      </c>
      <c r="F1341">
        <v>2.337192611641944E-7</v>
      </c>
      <c r="G1341">
        <v>1.146183868912578E-16</v>
      </c>
      <c r="H1341">
        <v>2.409724808242658E-8</v>
      </c>
      <c r="I1341" t="s">
        <v>2231</v>
      </c>
      <c r="L1341" t="s">
        <v>2295</v>
      </c>
    </row>
    <row r="1342" spans="1:12" hidden="1" x14ac:dyDescent="0.25">
      <c r="A1342" s="516">
        <v>1317</v>
      </c>
      <c r="B1342" t="s">
        <v>441</v>
      </c>
      <c r="C1342" t="s">
        <v>432</v>
      </c>
      <c r="D1342" t="s">
        <v>2291</v>
      </c>
      <c r="E1342">
        <v>4</v>
      </c>
      <c r="F1342">
        <v>1.1644299932892841E-6</v>
      </c>
      <c r="G1342">
        <v>5.7104873091675963E-16</v>
      </c>
      <c r="H1342">
        <v>6.927958823697639E-8</v>
      </c>
      <c r="I1342" t="s">
        <v>2231</v>
      </c>
      <c r="L1342" t="s">
        <v>2295</v>
      </c>
    </row>
    <row r="1343" spans="1:12" hidden="1" x14ac:dyDescent="0.25">
      <c r="A1343" s="516">
        <v>1318</v>
      </c>
      <c r="B1343" t="s">
        <v>441</v>
      </c>
      <c r="C1343" t="s">
        <v>432</v>
      </c>
      <c r="D1343" t="s">
        <v>2291</v>
      </c>
      <c r="E1343">
        <v>4</v>
      </c>
      <c r="F1343">
        <v>1.5291500305981089E-6</v>
      </c>
      <c r="G1343">
        <v>7.4991127795300333E-16</v>
      </c>
      <c r="H1343">
        <v>1.9277798465941261E-7</v>
      </c>
      <c r="I1343" t="s">
        <v>2231</v>
      </c>
      <c r="L1343" t="s">
        <v>2295</v>
      </c>
    </row>
    <row r="1344" spans="1:12" hidden="1" x14ac:dyDescent="0.25">
      <c r="A1344" s="516">
        <v>1319</v>
      </c>
      <c r="B1344" t="s">
        <v>441</v>
      </c>
      <c r="C1344" t="s">
        <v>432</v>
      </c>
      <c r="D1344" t="s">
        <v>2291</v>
      </c>
      <c r="E1344">
        <v>4</v>
      </c>
      <c r="F1344">
        <v>5.9679193253591358E-6</v>
      </c>
      <c r="G1344">
        <v>2.9267304832410658E-15</v>
      </c>
      <c r="H1344">
        <v>4.137798711353674E-7</v>
      </c>
      <c r="I1344" t="s">
        <v>2231</v>
      </c>
      <c r="L1344" t="s">
        <v>2295</v>
      </c>
    </row>
    <row r="1345" spans="1:12" hidden="1" x14ac:dyDescent="0.25">
      <c r="A1345" s="516">
        <v>1320</v>
      </c>
      <c r="B1345" t="s">
        <v>441</v>
      </c>
      <c r="C1345" t="s">
        <v>432</v>
      </c>
      <c r="D1345" t="s">
        <v>2291</v>
      </c>
      <c r="E1345">
        <v>4</v>
      </c>
      <c r="F1345">
        <v>7.4088096789456649E-8</v>
      </c>
      <c r="G1345">
        <v>3.6333582861555962E-17</v>
      </c>
      <c r="H1345">
        <v>8.032416027475526E-9</v>
      </c>
      <c r="I1345" t="s">
        <v>2231</v>
      </c>
      <c r="L1345" t="s">
        <v>2295</v>
      </c>
    </row>
    <row r="1346" spans="1:12" hidden="1" x14ac:dyDescent="0.25">
      <c r="A1346" s="516">
        <v>1321</v>
      </c>
      <c r="B1346" t="s">
        <v>441</v>
      </c>
      <c r="C1346" t="s">
        <v>432</v>
      </c>
      <c r="D1346" t="s">
        <v>2291</v>
      </c>
      <c r="E1346">
        <v>4</v>
      </c>
      <c r="F1346">
        <v>1.310951706150958E-6</v>
      </c>
      <c r="G1346">
        <v>6.4290452187337557E-16</v>
      </c>
      <c r="H1346">
        <v>6.927958823697639E-8</v>
      </c>
      <c r="I1346" t="s">
        <v>2231</v>
      </c>
      <c r="L1346" t="s">
        <v>2295</v>
      </c>
    </row>
    <row r="1347" spans="1:12" hidden="1" x14ac:dyDescent="0.25">
      <c r="A1347" s="516">
        <v>1322</v>
      </c>
      <c r="B1347" t="s">
        <v>441</v>
      </c>
      <c r="C1347" t="s">
        <v>432</v>
      </c>
      <c r="D1347" t="s">
        <v>2291</v>
      </c>
      <c r="E1347">
        <v>4</v>
      </c>
      <c r="F1347">
        <v>1.1074946532396991E-7</v>
      </c>
      <c r="G1347">
        <v>5.4312704059015831E-17</v>
      </c>
      <c r="H1347">
        <v>1.204862404121329E-8</v>
      </c>
      <c r="I1347" t="s">
        <v>2231</v>
      </c>
      <c r="L1347" t="s">
        <v>2295</v>
      </c>
    </row>
    <row r="1348" spans="1:12" hidden="1" x14ac:dyDescent="0.25">
      <c r="A1348" s="516">
        <v>1323</v>
      </c>
      <c r="B1348" t="s">
        <v>441</v>
      </c>
      <c r="C1348" t="s">
        <v>432</v>
      </c>
      <c r="D1348" t="s">
        <v>2291</v>
      </c>
      <c r="E1348">
        <v>4</v>
      </c>
      <c r="F1348">
        <v>1.3938503888271901E-10</v>
      </c>
      <c r="G1348">
        <v>6.8355890883502513E-20</v>
      </c>
      <c r="H1348">
        <v>1.8233200011773819E-13</v>
      </c>
      <c r="I1348" t="s">
        <v>2231</v>
      </c>
      <c r="L1348" t="s">
        <v>2295</v>
      </c>
    </row>
    <row r="1349" spans="1:12" x14ac:dyDescent="0.25">
      <c r="A1349" s="568">
        <v>1324</v>
      </c>
      <c r="B1349" s="417" t="s">
        <v>441</v>
      </c>
      <c r="C1349" s="417" t="s">
        <v>432</v>
      </c>
      <c r="D1349" s="417" t="s">
        <v>2291</v>
      </c>
      <c r="E1349" s="417">
        <v>2</v>
      </c>
      <c r="F1349" s="417">
        <v>0.84972466225546872</v>
      </c>
      <c r="G1349" s="417">
        <v>4.1671392252527518E-10</v>
      </c>
      <c r="H1349" s="417">
        <v>1.345215447737791E-5</v>
      </c>
      <c r="I1349" s="417" t="s">
        <v>2090</v>
      </c>
      <c r="J1349" s="417" t="s">
        <v>432</v>
      </c>
      <c r="K1349" s="417" t="s">
        <v>1047</v>
      </c>
    </row>
    <row r="1350" spans="1:12" x14ac:dyDescent="0.25">
      <c r="A1350" s="516">
        <v>1325</v>
      </c>
      <c r="B1350" t="s">
        <v>441</v>
      </c>
      <c r="C1350" t="s">
        <v>432</v>
      </c>
      <c r="D1350" t="s">
        <v>2291</v>
      </c>
      <c r="E1350">
        <v>3</v>
      </c>
      <c r="F1350">
        <v>6.4361389465028337E-3</v>
      </c>
      <c r="G1350">
        <v>3.1563503161080889E-12</v>
      </c>
      <c r="H1350">
        <v>1.775618624925329E-3</v>
      </c>
      <c r="I1350" t="s">
        <v>1034</v>
      </c>
      <c r="J1350" t="s">
        <v>432</v>
      </c>
      <c r="K1350" t="s">
        <v>433</v>
      </c>
      <c r="L1350" t="str">
        <f>O9</f>
        <v>Energy use, vertical</v>
      </c>
    </row>
    <row r="1351" spans="1:12" hidden="1" x14ac:dyDescent="0.25">
      <c r="A1351" s="516">
        <v>1326</v>
      </c>
      <c r="B1351" t="s">
        <v>441</v>
      </c>
      <c r="C1351" t="s">
        <v>432</v>
      </c>
      <c r="D1351" t="s">
        <v>2291</v>
      </c>
      <c r="E1351">
        <v>4</v>
      </c>
      <c r="F1351">
        <v>2.4202848722267131E-5</v>
      </c>
      <c r="G1351">
        <v>1.186933188519076E-14</v>
      </c>
      <c r="H1351">
        <v>6.6771443756444723E-6</v>
      </c>
      <c r="I1351" t="s">
        <v>2231</v>
      </c>
      <c r="L1351" t="s">
        <v>2295</v>
      </c>
    </row>
    <row r="1352" spans="1:12" hidden="1" x14ac:dyDescent="0.25">
      <c r="A1352" s="516">
        <v>1327</v>
      </c>
      <c r="B1352" t="s">
        <v>441</v>
      </c>
      <c r="C1352" t="s">
        <v>432</v>
      </c>
      <c r="D1352" t="s">
        <v>2291</v>
      </c>
      <c r="E1352">
        <v>4</v>
      </c>
      <c r="F1352">
        <v>8.6846384264905558E-6</v>
      </c>
      <c r="G1352">
        <v>4.2590381392608833E-15</v>
      </c>
      <c r="H1352">
        <v>1.2685391188773391E-5</v>
      </c>
      <c r="I1352" t="s">
        <v>2231</v>
      </c>
      <c r="L1352" t="s">
        <v>2295</v>
      </c>
    </row>
    <row r="1353" spans="1:12" hidden="1" x14ac:dyDescent="0.25">
      <c r="A1353" s="516">
        <v>1328</v>
      </c>
      <c r="B1353" t="s">
        <v>441</v>
      </c>
      <c r="C1353" t="s">
        <v>432</v>
      </c>
      <c r="D1353" t="s">
        <v>2291</v>
      </c>
      <c r="E1353">
        <v>4</v>
      </c>
      <c r="F1353">
        <v>5.8253540114004219E-3</v>
      </c>
      <c r="G1353">
        <v>2.856814951969924E-12</v>
      </c>
      <c r="H1353">
        <v>1.762933233736555E-3</v>
      </c>
      <c r="I1353" t="s">
        <v>2259</v>
      </c>
      <c r="J1353" t="s">
        <v>432</v>
      </c>
      <c r="K1353" t="s">
        <v>433</v>
      </c>
      <c r="L1353" t="s">
        <v>2295</v>
      </c>
    </row>
    <row r="1354" spans="1:12" hidden="1" x14ac:dyDescent="0.25">
      <c r="A1354" s="516">
        <v>1329</v>
      </c>
      <c r="B1354" t="s">
        <v>441</v>
      </c>
      <c r="C1354" t="s">
        <v>432</v>
      </c>
      <c r="D1354" t="s">
        <v>2291</v>
      </c>
      <c r="E1354">
        <v>4</v>
      </c>
      <c r="F1354">
        <v>7.3298774924199476E-8</v>
      </c>
      <c r="G1354">
        <v>3.5946491106759519E-17</v>
      </c>
      <c r="H1354">
        <v>9.5883405745967752E-11</v>
      </c>
      <c r="I1354" t="s">
        <v>2231</v>
      </c>
      <c r="L1354" t="s">
        <v>2295</v>
      </c>
    </row>
    <row r="1355" spans="1:12" hidden="1" x14ac:dyDescent="0.25">
      <c r="A1355" s="516">
        <v>1330</v>
      </c>
      <c r="B1355" t="s">
        <v>441</v>
      </c>
      <c r="C1355" t="s">
        <v>432</v>
      </c>
      <c r="D1355" t="s">
        <v>2291</v>
      </c>
      <c r="E1355">
        <v>4</v>
      </c>
      <c r="F1355">
        <v>5.7782416694840508E-4</v>
      </c>
      <c r="G1355">
        <v>2.8337105633704308E-13</v>
      </c>
      <c r="H1355">
        <v>3.3075811248947343E-11</v>
      </c>
      <c r="I1355" t="s">
        <v>2260</v>
      </c>
      <c r="J1355" t="s">
        <v>462</v>
      </c>
      <c r="K1355" t="s">
        <v>1995</v>
      </c>
      <c r="L1355" t="s">
        <v>2295</v>
      </c>
    </row>
    <row r="1356" spans="1:12" x14ac:dyDescent="0.25">
      <c r="A1356" s="516">
        <v>1331</v>
      </c>
      <c r="B1356" t="s">
        <v>441</v>
      </c>
      <c r="C1356" t="s">
        <v>432</v>
      </c>
      <c r="D1356" t="s">
        <v>2291</v>
      </c>
      <c r="E1356">
        <v>3</v>
      </c>
      <c r="F1356">
        <v>0.76627110577017876</v>
      </c>
      <c r="G1356">
        <v>3.7578741960448042E-10</v>
      </c>
      <c r="H1356">
        <v>8.9945686730693111E-4</v>
      </c>
      <c r="I1356" t="s">
        <v>460</v>
      </c>
      <c r="J1356" t="s">
        <v>462</v>
      </c>
      <c r="K1356" t="s">
        <v>417</v>
      </c>
      <c r="L1356" t="str">
        <f>O12</f>
        <v>Casing, steel</v>
      </c>
    </row>
    <row r="1357" spans="1:12" hidden="1" x14ac:dyDescent="0.25">
      <c r="A1357" s="516">
        <v>1332</v>
      </c>
      <c r="B1357" t="s">
        <v>441</v>
      </c>
      <c r="C1357" t="s">
        <v>432</v>
      </c>
      <c r="D1357" t="s">
        <v>2291</v>
      </c>
      <c r="E1357">
        <v>4</v>
      </c>
      <c r="F1357">
        <v>9.3326084348910848E-2</v>
      </c>
      <c r="G1357">
        <v>4.5768094549275333E-11</v>
      </c>
      <c r="H1357">
        <v>1.172163618297076E-4</v>
      </c>
      <c r="I1357" t="s">
        <v>580</v>
      </c>
      <c r="J1357" t="s">
        <v>419</v>
      </c>
      <c r="K1357" t="s">
        <v>417</v>
      </c>
      <c r="L1357" t="s">
        <v>2295</v>
      </c>
    </row>
    <row r="1358" spans="1:12" hidden="1" x14ac:dyDescent="0.25">
      <c r="A1358" s="516">
        <v>1333</v>
      </c>
      <c r="B1358" t="s">
        <v>441</v>
      </c>
      <c r="C1358" t="s">
        <v>432</v>
      </c>
      <c r="D1358" t="s">
        <v>2291</v>
      </c>
      <c r="E1358">
        <v>4</v>
      </c>
      <c r="F1358">
        <v>0.66461305021158235</v>
      </c>
      <c r="G1358">
        <v>3.2593323863288132E-10</v>
      </c>
      <c r="H1358">
        <v>7.8224050547722357E-4</v>
      </c>
      <c r="I1358" t="s">
        <v>580</v>
      </c>
      <c r="J1358" t="s">
        <v>1992</v>
      </c>
      <c r="K1358" t="s">
        <v>417</v>
      </c>
      <c r="L1358" t="s">
        <v>2295</v>
      </c>
    </row>
    <row r="1359" spans="1:12" hidden="1" x14ac:dyDescent="0.25">
      <c r="A1359" s="516">
        <v>1334</v>
      </c>
      <c r="B1359" t="s">
        <v>441</v>
      </c>
      <c r="C1359" t="s">
        <v>432</v>
      </c>
      <c r="D1359" t="s">
        <v>2291</v>
      </c>
      <c r="E1359">
        <v>4</v>
      </c>
      <c r="F1359">
        <v>2.482226728829006E-3</v>
      </c>
      <c r="G1359">
        <v>1.217310127285011E-12</v>
      </c>
      <c r="H1359">
        <v>1.7116664184850899E-4</v>
      </c>
      <c r="I1359" t="s">
        <v>2254</v>
      </c>
      <c r="J1359" t="s">
        <v>462</v>
      </c>
      <c r="K1359" t="s">
        <v>925</v>
      </c>
      <c r="L1359" t="s">
        <v>2295</v>
      </c>
    </row>
    <row r="1360" spans="1:12" hidden="1" x14ac:dyDescent="0.25">
      <c r="A1360" s="516">
        <v>1335</v>
      </c>
      <c r="B1360" t="s">
        <v>441</v>
      </c>
      <c r="C1360" t="s">
        <v>432</v>
      </c>
      <c r="D1360" t="s">
        <v>2291</v>
      </c>
      <c r="E1360">
        <v>4</v>
      </c>
      <c r="F1360">
        <v>4.4035115436585957E-5</v>
      </c>
      <c r="G1360">
        <v>2.1595284328603031E-14</v>
      </c>
      <c r="H1360">
        <v>1.8079083032869311E-5</v>
      </c>
      <c r="I1360" t="s">
        <v>2231</v>
      </c>
      <c r="L1360" t="s">
        <v>2295</v>
      </c>
    </row>
    <row r="1361" spans="1:12" hidden="1" x14ac:dyDescent="0.25">
      <c r="A1361" s="516">
        <v>1336</v>
      </c>
      <c r="B1361" t="s">
        <v>441</v>
      </c>
      <c r="C1361" t="s">
        <v>432</v>
      </c>
      <c r="D1361" t="s">
        <v>2291</v>
      </c>
      <c r="E1361">
        <v>4</v>
      </c>
      <c r="F1361">
        <v>5.6352313722254077E-3</v>
      </c>
      <c r="G1361">
        <v>2.7635768076030391E-12</v>
      </c>
      <c r="H1361">
        <v>1.8573784309888129E-4</v>
      </c>
      <c r="I1361" t="s">
        <v>2255</v>
      </c>
      <c r="J1361" t="s">
        <v>462</v>
      </c>
      <c r="K1361" t="s">
        <v>925</v>
      </c>
      <c r="L1361" t="s">
        <v>2295</v>
      </c>
    </row>
    <row r="1362" spans="1:12" hidden="1" x14ac:dyDescent="0.25">
      <c r="A1362" s="516">
        <v>1337</v>
      </c>
      <c r="B1362" t="s">
        <v>441</v>
      </c>
      <c r="C1362" t="s">
        <v>432</v>
      </c>
      <c r="D1362" t="s">
        <v>2291</v>
      </c>
      <c r="E1362">
        <v>4</v>
      </c>
      <c r="F1362">
        <v>1.704893689299066E-4</v>
      </c>
      <c r="G1362">
        <v>8.3609781887536277E-14</v>
      </c>
      <c r="H1362">
        <v>3.9657053279562588E-4</v>
      </c>
      <c r="I1362" t="s">
        <v>2262</v>
      </c>
      <c r="J1362" t="s">
        <v>462</v>
      </c>
      <c r="K1362" t="s">
        <v>925</v>
      </c>
      <c r="L1362" t="s">
        <v>2295</v>
      </c>
    </row>
    <row r="1363" spans="1:12" x14ac:dyDescent="0.25">
      <c r="A1363" s="516">
        <v>1338</v>
      </c>
      <c r="B1363" t="s">
        <v>441</v>
      </c>
      <c r="C1363" t="s">
        <v>432</v>
      </c>
      <c r="D1363" t="s">
        <v>2291</v>
      </c>
      <c r="E1363">
        <v>3</v>
      </c>
      <c r="F1363">
        <v>2.351481375261387E-2</v>
      </c>
      <c r="G1363">
        <v>1.1531912290615579E-11</v>
      </c>
      <c r="H1363">
        <v>9.4973176160183628E-4</v>
      </c>
      <c r="I1363" t="s">
        <v>1060</v>
      </c>
      <c r="J1363" t="s">
        <v>459</v>
      </c>
      <c r="K1363" t="s">
        <v>417</v>
      </c>
      <c r="L1363" t="str">
        <f>O11</f>
        <v>Casing, cement</v>
      </c>
    </row>
    <row r="1364" spans="1:12" hidden="1" x14ac:dyDescent="0.25">
      <c r="A1364" s="516">
        <v>1339</v>
      </c>
      <c r="B1364" t="s">
        <v>441</v>
      </c>
      <c r="C1364" t="s">
        <v>432</v>
      </c>
      <c r="D1364" t="s">
        <v>2291</v>
      </c>
      <c r="E1364">
        <v>4</v>
      </c>
      <c r="F1364">
        <v>1.8934025586574671E-2</v>
      </c>
      <c r="G1364">
        <v>9.2854455353013095E-12</v>
      </c>
      <c r="H1364">
        <v>9.4973176160183628E-4</v>
      </c>
      <c r="I1364" t="s">
        <v>2263</v>
      </c>
      <c r="J1364" t="s">
        <v>459</v>
      </c>
      <c r="K1364" t="s">
        <v>417</v>
      </c>
      <c r="L1364" t="s">
        <v>2295</v>
      </c>
    </row>
    <row r="1365" spans="1:12" hidden="1" x14ac:dyDescent="0.25">
      <c r="A1365" s="516">
        <v>1340</v>
      </c>
      <c r="B1365" t="s">
        <v>441</v>
      </c>
      <c r="C1365" t="s">
        <v>432</v>
      </c>
      <c r="D1365" t="s">
        <v>2291</v>
      </c>
      <c r="E1365">
        <v>4</v>
      </c>
      <c r="F1365">
        <v>1.9186116817871939E-4</v>
      </c>
      <c r="G1365">
        <v>9.4090737298146615E-14</v>
      </c>
      <c r="H1365">
        <v>2.3743294040045909E-5</v>
      </c>
      <c r="I1365" t="s">
        <v>2264</v>
      </c>
      <c r="J1365" t="s">
        <v>459</v>
      </c>
      <c r="K1365" t="s">
        <v>925</v>
      </c>
      <c r="L1365" t="s">
        <v>2295</v>
      </c>
    </row>
    <row r="1366" spans="1:12" hidden="1" x14ac:dyDescent="0.25">
      <c r="A1366" s="516">
        <v>1341</v>
      </c>
      <c r="B1366" t="s">
        <v>441</v>
      </c>
      <c r="C1366" t="s">
        <v>432</v>
      </c>
      <c r="D1366" t="s">
        <v>2291</v>
      </c>
      <c r="E1366">
        <v>4</v>
      </c>
      <c r="F1366">
        <v>1.317700673671566E-3</v>
      </c>
      <c r="G1366">
        <v>6.4621428661651383E-13</v>
      </c>
      <c r="H1366">
        <v>3.13411481328606E-6</v>
      </c>
      <c r="I1366" t="s">
        <v>2265</v>
      </c>
      <c r="J1366" t="s">
        <v>459</v>
      </c>
      <c r="K1366" t="s">
        <v>925</v>
      </c>
      <c r="L1366" t="s">
        <v>2295</v>
      </c>
    </row>
    <row r="1367" spans="1:12" hidden="1" x14ac:dyDescent="0.25">
      <c r="A1367" s="516">
        <v>1342</v>
      </c>
      <c r="B1367" t="s">
        <v>441</v>
      </c>
      <c r="C1367" t="s">
        <v>432</v>
      </c>
      <c r="D1367" t="s">
        <v>2291</v>
      </c>
      <c r="E1367">
        <v>4</v>
      </c>
      <c r="F1367">
        <v>3.0712263548415141E-3</v>
      </c>
      <c r="G1367">
        <v>1.506161746431967E-12</v>
      </c>
      <c r="H1367">
        <v>1.015263253152363E-4</v>
      </c>
      <c r="I1367" t="s">
        <v>2266</v>
      </c>
      <c r="J1367" t="s">
        <v>419</v>
      </c>
      <c r="K1367" t="s">
        <v>925</v>
      </c>
      <c r="L1367" t="s">
        <v>2295</v>
      </c>
    </row>
    <row r="1368" spans="1:12" x14ac:dyDescent="0.25">
      <c r="A1368" s="516">
        <v>1343</v>
      </c>
      <c r="B1368" t="s">
        <v>441</v>
      </c>
      <c r="C1368" t="s">
        <v>432</v>
      </c>
      <c r="D1368" t="s">
        <v>2291</v>
      </c>
      <c r="E1368">
        <v>3</v>
      </c>
      <c r="F1368">
        <v>5.7862142764957797E-6</v>
      </c>
      <c r="G1368">
        <v>2.8376204138057368E-15</v>
      </c>
      <c r="H1368">
        <v>3.7989270464073449E-4</v>
      </c>
      <c r="I1368" t="s">
        <v>2231</v>
      </c>
    </row>
    <row r="1369" spans="1:12" x14ac:dyDescent="0.25">
      <c r="A1369" s="516">
        <v>1344</v>
      </c>
      <c r="B1369" t="s">
        <v>441</v>
      </c>
      <c r="C1369" t="s">
        <v>432</v>
      </c>
      <c r="D1369" t="s">
        <v>2291</v>
      </c>
      <c r="E1369">
        <v>3</v>
      </c>
      <c r="F1369">
        <v>0</v>
      </c>
      <c r="G1369">
        <v>0</v>
      </c>
      <c r="H1369">
        <v>0</v>
      </c>
      <c r="I1369" t="s">
        <v>2231</v>
      </c>
    </row>
    <row r="1370" spans="1:12" x14ac:dyDescent="0.25">
      <c r="A1370" s="516">
        <v>1345</v>
      </c>
      <c r="B1370" t="s">
        <v>441</v>
      </c>
      <c r="C1370" t="s">
        <v>432</v>
      </c>
      <c r="D1370" t="s">
        <v>2291</v>
      </c>
      <c r="E1370">
        <v>3</v>
      </c>
      <c r="F1370">
        <v>0</v>
      </c>
      <c r="G1370">
        <v>0</v>
      </c>
      <c r="H1370">
        <v>0</v>
      </c>
      <c r="I1370" t="s">
        <v>2231</v>
      </c>
    </row>
    <row r="1371" spans="1:12" x14ac:dyDescent="0.25">
      <c r="A1371" s="516">
        <v>1346</v>
      </c>
      <c r="B1371" t="s">
        <v>441</v>
      </c>
      <c r="C1371" t="s">
        <v>432</v>
      </c>
      <c r="D1371" t="s">
        <v>2291</v>
      </c>
      <c r="E1371">
        <v>3</v>
      </c>
      <c r="F1371">
        <v>0</v>
      </c>
      <c r="G1371">
        <v>0</v>
      </c>
      <c r="H1371">
        <v>0</v>
      </c>
      <c r="I1371" t="s">
        <v>2231</v>
      </c>
    </row>
    <row r="1372" spans="1:12" x14ac:dyDescent="0.25">
      <c r="A1372" s="516">
        <v>1347</v>
      </c>
      <c r="B1372" t="s">
        <v>441</v>
      </c>
      <c r="C1372" t="s">
        <v>432</v>
      </c>
      <c r="D1372" t="s">
        <v>2291</v>
      </c>
      <c r="E1372">
        <v>3</v>
      </c>
      <c r="F1372">
        <v>8.6386792246891716E-4</v>
      </c>
      <c r="G1372">
        <v>4.2364992627170969E-13</v>
      </c>
      <c r="H1372">
        <v>3.2613403314955022E-4</v>
      </c>
      <c r="I1372" t="s">
        <v>1069</v>
      </c>
      <c r="J1372" t="s">
        <v>462</v>
      </c>
      <c r="K1372" t="s">
        <v>434</v>
      </c>
      <c r="L1372" t="str">
        <f>O10</f>
        <v>Energy use, vertical</v>
      </c>
    </row>
    <row r="1373" spans="1:12" hidden="1" x14ac:dyDescent="0.25">
      <c r="A1373" s="516">
        <v>1348</v>
      </c>
      <c r="B1373" t="s">
        <v>441</v>
      </c>
      <c r="C1373" t="s">
        <v>432</v>
      </c>
      <c r="D1373" t="s">
        <v>2291</v>
      </c>
      <c r="E1373">
        <v>4</v>
      </c>
      <c r="F1373">
        <v>5.1086316896387844E-4</v>
      </c>
      <c r="G1373">
        <v>2.5053267778242608E-13</v>
      </c>
      <c r="H1373">
        <v>7.6315364083128775E-6</v>
      </c>
      <c r="I1373" t="s">
        <v>2267</v>
      </c>
      <c r="J1373" t="s">
        <v>462</v>
      </c>
      <c r="K1373" t="s">
        <v>417</v>
      </c>
      <c r="L1373" t="s">
        <v>2295</v>
      </c>
    </row>
    <row r="1374" spans="1:12" hidden="1" x14ac:dyDescent="0.25">
      <c r="A1374" s="516">
        <v>1349</v>
      </c>
      <c r="B1374" t="s">
        <v>441</v>
      </c>
      <c r="C1374" t="s">
        <v>432</v>
      </c>
      <c r="D1374" t="s">
        <v>2291</v>
      </c>
      <c r="E1374">
        <v>4</v>
      </c>
      <c r="F1374">
        <v>7.9679928188963648E-6</v>
      </c>
      <c r="G1374">
        <v>3.9075875865507859E-15</v>
      </c>
      <c r="H1374">
        <v>6.033479645880081E-14</v>
      </c>
      <c r="I1374" t="s">
        <v>2231</v>
      </c>
      <c r="L1374" t="s">
        <v>2295</v>
      </c>
    </row>
    <row r="1375" spans="1:12" hidden="1" x14ac:dyDescent="0.25">
      <c r="A1375" s="516">
        <v>1350</v>
      </c>
      <c r="B1375" t="s">
        <v>441</v>
      </c>
      <c r="C1375" t="s">
        <v>432</v>
      </c>
      <c r="D1375" t="s">
        <v>2291</v>
      </c>
      <c r="E1375">
        <v>4</v>
      </c>
      <c r="F1375">
        <v>5.2219435500108528E-7</v>
      </c>
      <c r="G1375">
        <v>2.5608961073985559E-16</v>
      </c>
      <c r="H1375">
        <v>3.8020705641319267E-9</v>
      </c>
      <c r="I1375" t="s">
        <v>2231</v>
      </c>
      <c r="L1375" t="s">
        <v>2295</v>
      </c>
    </row>
    <row r="1376" spans="1:12" hidden="1" x14ac:dyDescent="0.25">
      <c r="A1376" s="516">
        <v>1351</v>
      </c>
      <c r="B1376" t="s">
        <v>441</v>
      </c>
      <c r="C1376" t="s">
        <v>432</v>
      </c>
      <c r="D1376" t="s">
        <v>2291</v>
      </c>
      <c r="E1376">
        <v>4</v>
      </c>
      <c r="F1376">
        <v>3.0121746429606441E-6</v>
      </c>
      <c r="G1376">
        <v>1.4772021650725269E-15</v>
      </c>
      <c r="H1376">
        <v>1.8048909689501339E-8</v>
      </c>
      <c r="I1376" t="s">
        <v>2231</v>
      </c>
      <c r="L1376" t="s">
        <v>2295</v>
      </c>
    </row>
    <row r="1377" spans="1:12" hidden="1" x14ac:dyDescent="0.25">
      <c r="A1377" s="516">
        <v>1352</v>
      </c>
      <c r="B1377" t="s">
        <v>441</v>
      </c>
      <c r="C1377" t="s">
        <v>432</v>
      </c>
      <c r="D1377" t="s">
        <v>2291</v>
      </c>
      <c r="E1377">
        <v>4</v>
      </c>
      <c r="F1377">
        <v>2.9979751724762469E-9</v>
      </c>
      <c r="G1377">
        <v>1.4702385952172891E-18</v>
      </c>
      <c r="H1377">
        <v>-1.4848420681396731E-10</v>
      </c>
      <c r="I1377" t="s">
        <v>2231</v>
      </c>
      <c r="L1377" t="s">
        <v>2295</v>
      </c>
    </row>
    <row r="1378" spans="1:12" hidden="1" x14ac:dyDescent="0.25">
      <c r="A1378" s="516">
        <v>1353</v>
      </c>
      <c r="B1378" t="s">
        <v>441</v>
      </c>
      <c r="C1378" t="s">
        <v>432</v>
      </c>
      <c r="D1378" t="s">
        <v>2291</v>
      </c>
      <c r="E1378">
        <v>4</v>
      </c>
      <c r="F1378">
        <v>2.4015600949177899E-7</v>
      </c>
      <c r="G1378">
        <v>1.1777503605426561E-16</v>
      </c>
      <c r="H1378">
        <v>-1.5704593544881591E-8</v>
      </c>
      <c r="I1378" t="s">
        <v>2231</v>
      </c>
      <c r="L1378" t="s">
        <v>2295</v>
      </c>
    </row>
    <row r="1379" spans="1:12" hidden="1" x14ac:dyDescent="0.25">
      <c r="A1379" s="516">
        <v>1354</v>
      </c>
      <c r="B1379" t="s">
        <v>441</v>
      </c>
      <c r="C1379" t="s">
        <v>432</v>
      </c>
      <c r="D1379" t="s">
        <v>2291</v>
      </c>
      <c r="E1379">
        <v>4</v>
      </c>
      <c r="F1379">
        <v>1.11433921530648E-7</v>
      </c>
      <c r="G1379">
        <v>5.4648368590541292E-17</v>
      </c>
      <c r="H1379">
        <v>-5.9979024725856444E-9</v>
      </c>
      <c r="I1379" t="s">
        <v>2231</v>
      </c>
      <c r="L1379" t="s">
        <v>2295</v>
      </c>
    </row>
    <row r="1380" spans="1:12" x14ac:dyDescent="0.25">
      <c r="A1380" s="516">
        <v>1355</v>
      </c>
      <c r="B1380" t="s">
        <v>441</v>
      </c>
      <c r="C1380" t="s">
        <v>432</v>
      </c>
      <c r="D1380" t="s">
        <v>2291</v>
      </c>
      <c r="E1380">
        <v>3</v>
      </c>
      <c r="F1380">
        <v>5.7292615075238201E-3</v>
      </c>
      <c r="G1380">
        <v>2.8096901761520659E-12</v>
      </c>
      <c r="H1380">
        <v>-3.4494136018575578E-3</v>
      </c>
      <c r="I1380" t="s">
        <v>1073</v>
      </c>
      <c r="J1380" t="s">
        <v>432</v>
      </c>
      <c r="K1380" t="s">
        <v>417</v>
      </c>
      <c r="L1380" t="str">
        <f>O17</f>
        <v>Drilling waste</v>
      </c>
    </row>
    <row r="1381" spans="1:12" hidden="1" x14ac:dyDescent="0.25">
      <c r="A1381" s="516">
        <v>1356</v>
      </c>
      <c r="B1381" t="s">
        <v>441</v>
      </c>
      <c r="C1381" t="s">
        <v>432</v>
      </c>
      <c r="D1381" t="s">
        <v>2291</v>
      </c>
      <c r="E1381">
        <v>4</v>
      </c>
      <c r="F1381">
        <v>-2.1159070143764549E-4</v>
      </c>
      <c r="G1381">
        <v>-1.03766308173184E-13</v>
      </c>
      <c r="H1381">
        <v>2.0696481611145348E-3</v>
      </c>
      <c r="I1381" t="s">
        <v>2268</v>
      </c>
      <c r="J1381" t="s">
        <v>432</v>
      </c>
      <c r="K1381" t="s">
        <v>417</v>
      </c>
      <c r="L1381" t="s">
        <v>2295</v>
      </c>
    </row>
    <row r="1382" spans="1:12" hidden="1" x14ac:dyDescent="0.25">
      <c r="A1382" s="516">
        <v>1357</v>
      </c>
      <c r="B1382" t="s">
        <v>441</v>
      </c>
      <c r="C1382" t="s">
        <v>432</v>
      </c>
      <c r="D1382" t="s">
        <v>2291</v>
      </c>
      <c r="E1382">
        <v>4</v>
      </c>
      <c r="F1382">
        <v>-2.7879658706063621E-3</v>
      </c>
      <c r="G1382">
        <v>-1.367247822045304E-12</v>
      </c>
      <c r="H1382">
        <v>1.3797654407430231E-3</v>
      </c>
      <c r="I1382" t="s">
        <v>2269</v>
      </c>
      <c r="J1382" t="s">
        <v>432</v>
      </c>
      <c r="K1382" t="s">
        <v>417</v>
      </c>
      <c r="L1382" t="s">
        <v>2295</v>
      </c>
    </row>
    <row r="1383" spans="1:12" hidden="1" x14ac:dyDescent="0.25">
      <c r="A1383" s="516">
        <v>1358</v>
      </c>
      <c r="B1383" t="s">
        <v>441</v>
      </c>
      <c r="C1383" t="s">
        <v>432</v>
      </c>
      <c r="D1383" t="s">
        <v>2291</v>
      </c>
      <c r="E1383">
        <v>4</v>
      </c>
      <c r="F1383">
        <v>-4.0692292283102272E-5</v>
      </c>
      <c r="G1383">
        <v>-1.995592865202542E-14</v>
      </c>
      <c r="H1383">
        <v>-1.227991242261291E-5</v>
      </c>
      <c r="I1383" t="s">
        <v>2231</v>
      </c>
      <c r="L1383" t="s">
        <v>2295</v>
      </c>
    </row>
    <row r="1384" spans="1:12" hidden="1" x14ac:dyDescent="0.25">
      <c r="A1384" s="516">
        <v>1359</v>
      </c>
      <c r="B1384" t="s">
        <v>441</v>
      </c>
      <c r="C1384" t="s">
        <v>432</v>
      </c>
      <c r="D1384" t="s">
        <v>2291</v>
      </c>
      <c r="E1384">
        <v>4</v>
      </c>
      <c r="F1384">
        <v>-2.6890126702902289E-3</v>
      </c>
      <c r="G1384">
        <v>-1.318720130568499E-12</v>
      </c>
      <c r="H1384">
        <v>-8.8891388519869285E-5</v>
      </c>
      <c r="I1384" t="s">
        <v>2266</v>
      </c>
      <c r="J1384" t="s">
        <v>419</v>
      </c>
      <c r="K1384" t="s">
        <v>925</v>
      </c>
      <c r="L1384" t="s">
        <v>2295</v>
      </c>
    </row>
    <row r="1385" spans="1:12" x14ac:dyDescent="0.25">
      <c r="A1385" s="516">
        <v>1360</v>
      </c>
      <c r="B1385" t="s">
        <v>441</v>
      </c>
      <c r="C1385" t="s">
        <v>432</v>
      </c>
      <c r="D1385" t="s">
        <v>2291</v>
      </c>
      <c r="E1385">
        <v>3</v>
      </c>
      <c r="F1385">
        <v>4.6903721181188442E-2</v>
      </c>
      <c r="G1385">
        <v>2.3002078794046528E-11</v>
      </c>
      <c r="H1385">
        <v>2.4911397180329472E-10</v>
      </c>
      <c r="I1385" t="s">
        <v>1038</v>
      </c>
      <c r="J1385" t="s">
        <v>432</v>
      </c>
      <c r="K1385" t="s">
        <v>416</v>
      </c>
      <c r="L1385" t="str">
        <f>O22</f>
        <v>Drilling equipment</v>
      </c>
    </row>
    <row r="1386" spans="1:12" hidden="1" x14ac:dyDescent="0.25">
      <c r="A1386" s="516">
        <v>1361</v>
      </c>
      <c r="B1386" t="s">
        <v>441</v>
      </c>
      <c r="C1386" t="s">
        <v>432</v>
      </c>
      <c r="D1386" t="s">
        <v>2291</v>
      </c>
      <c r="E1386">
        <v>4</v>
      </c>
      <c r="F1386">
        <v>1.4855874906557489E-3</v>
      </c>
      <c r="G1386">
        <v>7.2854774962329685E-13</v>
      </c>
      <c r="H1386">
        <v>1.743797802623063E-6</v>
      </c>
      <c r="I1386" t="s">
        <v>460</v>
      </c>
      <c r="J1386" t="s">
        <v>462</v>
      </c>
      <c r="K1386" t="s">
        <v>417</v>
      </c>
      <c r="L1386" t="s">
        <v>2295</v>
      </c>
    </row>
    <row r="1387" spans="1:12" hidden="1" x14ac:dyDescent="0.25">
      <c r="A1387" s="516">
        <v>1362</v>
      </c>
      <c r="B1387" t="s">
        <v>441</v>
      </c>
      <c r="C1387" t="s">
        <v>432</v>
      </c>
      <c r="D1387" t="s">
        <v>2291</v>
      </c>
      <c r="E1387">
        <v>4</v>
      </c>
      <c r="F1387">
        <v>3.087582647418438E-3</v>
      </c>
      <c r="G1387">
        <v>1.514183044554125E-12</v>
      </c>
      <c r="H1387">
        <v>7.4734191540988415E-7</v>
      </c>
      <c r="I1387" t="s">
        <v>1494</v>
      </c>
      <c r="J1387" t="s">
        <v>462</v>
      </c>
      <c r="K1387" t="s">
        <v>417</v>
      </c>
      <c r="L1387" t="s">
        <v>2295</v>
      </c>
    </row>
    <row r="1388" spans="1:12" hidden="1" x14ac:dyDescent="0.25">
      <c r="A1388" s="516">
        <v>1363</v>
      </c>
      <c r="B1388" t="s">
        <v>441</v>
      </c>
      <c r="C1388" t="s">
        <v>432</v>
      </c>
      <c r="D1388" t="s">
        <v>2291</v>
      </c>
      <c r="E1388">
        <v>4</v>
      </c>
      <c r="F1388">
        <v>6.1679190766963229E-3</v>
      </c>
      <c r="G1388">
        <v>3.0248124674247168E-12</v>
      </c>
      <c r="H1388">
        <v>2.4911397180329471E-4</v>
      </c>
      <c r="I1388" t="s">
        <v>1060</v>
      </c>
      <c r="J1388" t="s">
        <v>459</v>
      </c>
      <c r="K1388" t="s">
        <v>417</v>
      </c>
      <c r="L1388" t="s">
        <v>2295</v>
      </c>
    </row>
    <row r="1389" spans="1:12" hidden="1" x14ac:dyDescent="0.25">
      <c r="A1389" s="516">
        <v>1364</v>
      </c>
      <c r="B1389" t="s">
        <v>441</v>
      </c>
      <c r="C1389" t="s">
        <v>432</v>
      </c>
      <c r="D1389" t="s">
        <v>2291</v>
      </c>
      <c r="E1389">
        <v>4</v>
      </c>
      <c r="F1389">
        <v>3.0515188848207048E-2</v>
      </c>
      <c r="G1389">
        <v>1.4964969956012421E-11</v>
      </c>
      <c r="H1389">
        <v>7.4734191540988412E-5</v>
      </c>
      <c r="I1389" t="s">
        <v>1105</v>
      </c>
      <c r="J1389" t="s">
        <v>462</v>
      </c>
      <c r="K1389" t="s">
        <v>417</v>
      </c>
      <c r="L1389" t="s">
        <v>2295</v>
      </c>
    </row>
    <row r="1390" spans="1:12" hidden="1" x14ac:dyDescent="0.25">
      <c r="A1390" s="516">
        <v>1365</v>
      </c>
      <c r="B1390" t="s">
        <v>441</v>
      </c>
      <c r="C1390" t="s">
        <v>432</v>
      </c>
      <c r="D1390" t="s">
        <v>2291</v>
      </c>
      <c r="E1390">
        <v>4</v>
      </c>
      <c r="F1390">
        <v>1.8971499090591281E-6</v>
      </c>
      <c r="G1390">
        <v>9.3038229362915058E-16</v>
      </c>
      <c r="H1390">
        <v>1.2455698590164741E-4</v>
      </c>
      <c r="I1390" t="s">
        <v>2231</v>
      </c>
      <c r="L1390" t="s">
        <v>2295</v>
      </c>
    </row>
    <row r="1391" spans="1:12" hidden="1" x14ac:dyDescent="0.25">
      <c r="A1391" s="516">
        <v>1366</v>
      </c>
      <c r="B1391" t="s">
        <v>441</v>
      </c>
      <c r="C1391" t="s">
        <v>432</v>
      </c>
      <c r="D1391" t="s">
        <v>2291</v>
      </c>
      <c r="E1391">
        <v>4</v>
      </c>
      <c r="F1391">
        <v>1.789799854029608E-3</v>
      </c>
      <c r="G1391">
        <v>8.7773669617654176E-13</v>
      </c>
      <c r="H1391">
        <v>1.1210128731148261E-3</v>
      </c>
      <c r="I1391" t="s">
        <v>1107</v>
      </c>
      <c r="J1391" t="s">
        <v>432</v>
      </c>
      <c r="K1391" t="s">
        <v>417</v>
      </c>
      <c r="L1391" t="s">
        <v>2295</v>
      </c>
    </row>
    <row r="1392" spans="1:12" hidden="1" x14ac:dyDescent="0.25">
      <c r="A1392" s="516">
        <v>1367</v>
      </c>
      <c r="B1392" t="s">
        <v>441</v>
      </c>
      <c r="C1392" t="s">
        <v>432</v>
      </c>
      <c r="D1392" t="s">
        <v>2291</v>
      </c>
      <c r="E1392">
        <v>4</v>
      </c>
      <c r="F1392">
        <v>2.3706642159750831E-4</v>
      </c>
      <c r="G1392">
        <v>1.1625986961553849E-13</v>
      </c>
      <c r="H1392">
        <v>-6.7260772386889571E-5</v>
      </c>
      <c r="I1392" t="s">
        <v>533</v>
      </c>
      <c r="J1392" t="s">
        <v>432</v>
      </c>
      <c r="K1392" t="s">
        <v>417</v>
      </c>
      <c r="L1392" t="s">
        <v>2295</v>
      </c>
    </row>
    <row r="1393" spans="1:12" hidden="1" x14ac:dyDescent="0.25">
      <c r="A1393" s="516">
        <v>1368</v>
      </c>
      <c r="B1393" t="s">
        <v>441</v>
      </c>
      <c r="C1393" t="s">
        <v>432</v>
      </c>
      <c r="D1393" t="s">
        <v>2291</v>
      </c>
      <c r="E1393">
        <v>4</v>
      </c>
      <c r="F1393">
        <v>3.6079649481709671E-3</v>
      </c>
      <c r="G1393">
        <v>1.769384004808375E-12</v>
      </c>
      <c r="H1393">
        <v>-1.3452154477377909E-3</v>
      </c>
      <c r="I1393" t="s">
        <v>1448</v>
      </c>
      <c r="J1393" t="s">
        <v>432</v>
      </c>
      <c r="K1393" t="s">
        <v>417</v>
      </c>
      <c r="L1393" t="s">
        <v>2295</v>
      </c>
    </row>
    <row r="1394" spans="1:12" hidden="1" x14ac:dyDescent="0.25">
      <c r="A1394" s="516">
        <v>1369</v>
      </c>
      <c r="B1394" t="s">
        <v>441</v>
      </c>
      <c r="C1394" t="s">
        <v>432</v>
      </c>
      <c r="D1394" t="s">
        <v>2291</v>
      </c>
      <c r="E1394">
        <v>4</v>
      </c>
      <c r="F1394">
        <v>1.0714744503792889E-5</v>
      </c>
      <c r="G1394">
        <v>5.2546235379117167E-15</v>
      </c>
      <c r="H1394">
        <v>-7.4734191540988415E-7</v>
      </c>
      <c r="I1394" t="s">
        <v>2231</v>
      </c>
      <c r="L1394" t="s">
        <v>2295</v>
      </c>
    </row>
    <row r="1395" spans="1:12" x14ac:dyDescent="0.25">
      <c r="A1395" s="568">
        <v>1370</v>
      </c>
      <c r="B1395" s="417" t="s">
        <v>441</v>
      </c>
      <c r="C1395" s="417" t="s">
        <v>432</v>
      </c>
      <c r="D1395" s="417" t="s">
        <v>2291</v>
      </c>
      <c r="E1395" s="417">
        <v>2</v>
      </c>
      <c r="F1395" s="417">
        <v>4.2459554980248108E-2</v>
      </c>
      <c r="G1395" s="417">
        <v>2.0822612889135191E-11</v>
      </c>
      <c r="H1395" s="417">
        <v>4.7082540670822703E-5</v>
      </c>
      <c r="I1395" s="417" t="s">
        <v>2091</v>
      </c>
      <c r="J1395" s="417" t="s">
        <v>432</v>
      </c>
      <c r="K1395" s="417" t="s">
        <v>1047</v>
      </c>
    </row>
    <row r="1396" spans="1:12" x14ac:dyDescent="0.25">
      <c r="A1396" s="516">
        <v>1371</v>
      </c>
      <c r="B1396" t="s">
        <v>441</v>
      </c>
      <c r="C1396" t="s">
        <v>432</v>
      </c>
      <c r="D1396" t="s">
        <v>2291</v>
      </c>
      <c r="E1396">
        <v>3</v>
      </c>
      <c r="F1396">
        <v>3.3449657946681928E-2</v>
      </c>
      <c r="G1396">
        <v>1.6404064503779049E-11</v>
      </c>
      <c r="H1396">
        <v>9.2281779714812485E-3</v>
      </c>
      <c r="I1396" t="s">
        <v>1034</v>
      </c>
      <c r="J1396" t="s">
        <v>432</v>
      </c>
      <c r="K1396" t="s">
        <v>433</v>
      </c>
      <c r="L1396" t="str">
        <f>O15</f>
        <v>Energy use, horizontal</v>
      </c>
    </row>
    <row r="1397" spans="1:12" hidden="1" x14ac:dyDescent="0.25">
      <c r="A1397" s="516">
        <v>1372</v>
      </c>
      <c r="B1397" t="s">
        <v>441</v>
      </c>
      <c r="C1397" t="s">
        <v>432</v>
      </c>
      <c r="D1397" t="s">
        <v>2291</v>
      </c>
      <c r="E1397">
        <v>4</v>
      </c>
      <c r="F1397">
        <v>1.2578613013552461E-4</v>
      </c>
      <c r="G1397">
        <v>6.1686842828495083E-14</v>
      </c>
      <c r="H1397">
        <v>3.4702202249265933E-5</v>
      </c>
      <c r="I1397" t="s">
        <v>2270</v>
      </c>
      <c r="L1397" t="s">
        <v>2295</v>
      </c>
    </row>
    <row r="1398" spans="1:12" hidden="1" x14ac:dyDescent="0.25">
      <c r="A1398" s="516">
        <v>1373</v>
      </c>
      <c r="B1398" t="s">
        <v>441</v>
      </c>
      <c r="C1398" t="s">
        <v>432</v>
      </c>
      <c r="D1398" t="s">
        <v>2291</v>
      </c>
      <c r="E1398">
        <v>4</v>
      </c>
      <c r="F1398">
        <v>4.5135474415847658E-5</v>
      </c>
      <c r="G1398">
        <v>2.2134911959531081E-14</v>
      </c>
      <c r="H1398">
        <v>6.5928035381349892E-5</v>
      </c>
      <c r="I1398" t="s">
        <v>2231</v>
      </c>
      <c r="L1398" t="s">
        <v>2295</v>
      </c>
    </row>
    <row r="1399" spans="1:12" hidden="1" x14ac:dyDescent="0.25">
      <c r="A1399" s="516">
        <v>1374</v>
      </c>
      <c r="B1399" t="s">
        <v>441</v>
      </c>
      <c r="C1399" t="s">
        <v>432</v>
      </c>
      <c r="D1399" t="s">
        <v>2291</v>
      </c>
      <c r="E1399">
        <v>4</v>
      </c>
      <c r="F1399">
        <v>3.0275309579131059E-2</v>
      </c>
      <c r="G1399">
        <v>1.484733063637232E-11</v>
      </c>
      <c r="H1399">
        <v>9.162249936099898E-3</v>
      </c>
      <c r="I1399" t="s">
        <v>2259</v>
      </c>
      <c r="J1399" t="s">
        <v>432</v>
      </c>
      <c r="K1399" t="s">
        <v>433</v>
      </c>
      <c r="L1399" t="s">
        <v>2295</v>
      </c>
    </row>
    <row r="1400" spans="1:12" hidden="1" x14ac:dyDescent="0.25">
      <c r="A1400" s="516">
        <v>1375</v>
      </c>
      <c r="B1400" t="s">
        <v>441</v>
      </c>
      <c r="C1400" t="s">
        <v>432</v>
      </c>
      <c r="D1400" t="s">
        <v>2291</v>
      </c>
      <c r="E1400">
        <v>4</v>
      </c>
      <c r="F1400">
        <v>3.8094562120314908E-7</v>
      </c>
      <c r="G1400">
        <v>1.86819744244007E-16</v>
      </c>
      <c r="H1400">
        <v>4.9832161045998741E-10</v>
      </c>
      <c r="I1400" t="s">
        <v>2231</v>
      </c>
      <c r="L1400" t="s">
        <v>2295</v>
      </c>
    </row>
    <row r="1401" spans="1:12" hidden="1" x14ac:dyDescent="0.25">
      <c r="A1401" s="516">
        <v>1376</v>
      </c>
      <c r="B1401" t="s">
        <v>441</v>
      </c>
      <c r="C1401" t="s">
        <v>432</v>
      </c>
      <c r="D1401" t="s">
        <v>2291</v>
      </c>
      <c r="E1401">
        <v>4</v>
      </c>
      <c r="F1401">
        <v>3.0030459097302059E-3</v>
      </c>
      <c r="G1401">
        <v>1.472725338164802E-12</v>
      </c>
      <c r="H1401">
        <v>1.719003554433E-10</v>
      </c>
      <c r="I1401" t="s">
        <v>2260</v>
      </c>
      <c r="J1401" t="s">
        <v>462</v>
      </c>
      <c r="K1401" t="s">
        <v>1995</v>
      </c>
      <c r="L1401" t="s">
        <v>2295</v>
      </c>
    </row>
    <row r="1402" spans="1:12" x14ac:dyDescent="0.25">
      <c r="A1402" s="516">
        <v>1377</v>
      </c>
      <c r="B1402" t="s">
        <v>441</v>
      </c>
      <c r="C1402" t="s">
        <v>432</v>
      </c>
      <c r="D1402" t="s">
        <v>2291</v>
      </c>
      <c r="E1402">
        <v>3</v>
      </c>
      <c r="F1402">
        <v>4.4896616990217578E-3</v>
      </c>
      <c r="G1402">
        <v>2.2017773762677529E-12</v>
      </c>
      <c r="H1402">
        <v>1.6949714641496169E-3</v>
      </c>
      <c r="I1402" t="s">
        <v>1069</v>
      </c>
      <c r="J1402" t="s">
        <v>462</v>
      </c>
      <c r="K1402" t="s">
        <v>434</v>
      </c>
      <c r="L1402" t="str">
        <f>O16</f>
        <v>Energy use, horizontal</v>
      </c>
    </row>
    <row r="1403" spans="1:12" hidden="1" x14ac:dyDescent="0.25">
      <c r="A1403" s="516">
        <v>1378</v>
      </c>
      <c r="B1403" t="s">
        <v>441</v>
      </c>
      <c r="C1403" t="s">
        <v>432</v>
      </c>
      <c r="D1403" t="s">
        <v>2291</v>
      </c>
      <c r="E1403">
        <v>4</v>
      </c>
      <c r="F1403">
        <v>2.6550387431714612E-3</v>
      </c>
      <c r="G1403">
        <v>1.3020589589418329E-12</v>
      </c>
      <c r="H1403">
        <v>3.9662332430598193E-5</v>
      </c>
      <c r="I1403" t="s">
        <v>2267</v>
      </c>
      <c r="J1403" t="s">
        <v>462</v>
      </c>
      <c r="K1403" t="s">
        <v>417</v>
      </c>
      <c r="L1403" t="s">
        <v>2295</v>
      </c>
    </row>
    <row r="1404" spans="1:12" hidden="1" x14ac:dyDescent="0.25">
      <c r="A1404" s="516">
        <v>1379</v>
      </c>
      <c r="B1404" t="s">
        <v>441</v>
      </c>
      <c r="C1404" t="s">
        <v>432</v>
      </c>
      <c r="D1404" t="s">
        <v>2291</v>
      </c>
      <c r="E1404">
        <v>4</v>
      </c>
      <c r="F1404">
        <v>4.1410950964401102E-5</v>
      </c>
      <c r="G1404">
        <v>2.0308366437279248E-14</v>
      </c>
      <c r="H1404">
        <v>3.1356972256265062E-13</v>
      </c>
      <c r="I1404" t="s">
        <v>2231</v>
      </c>
      <c r="L1404" t="s">
        <v>2295</v>
      </c>
    </row>
    <row r="1405" spans="1:12" hidden="1" x14ac:dyDescent="0.25">
      <c r="A1405" s="516">
        <v>1380</v>
      </c>
      <c r="B1405" t="s">
        <v>441</v>
      </c>
      <c r="C1405" t="s">
        <v>432</v>
      </c>
      <c r="D1405" t="s">
        <v>2291</v>
      </c>
      <c r="E1405">
        <v>4</v>
      </c>
      <c r="F1405">
        <v>2.7139287547490819E-6</v>
      </c>
      <c r="G1405">
        <v>1.33093924076975E-15</v>
      </c>
      <c r="H1405">
        <v>1.9759977358547381E-8</v>
      </c>
      <c r="I1405" t="s">
        <v>2231</v>
      </c>
      <c r="L1405" t="s">
        <v>2295</v>
      </c>
    </row>
    <row r="1406" spans="1:12" hidden="1" x14ac:dyDescent="0.25">
      <c r="A1406" s="516">
        <v>1381</v>
      </c>
      <c r="B1406" t="s">
        <v>441</v>
      </c>
      <c r="C1406" t="s">
        <v>432</v>
      </c>
      <c r="D1406" t="s">
        <v>2291</v>
      </c>
      <c r="E1406">
        <v>4</v>
      </c>
      <c r="F1406">
        <v>1.5654760147378381E-5</v>
      </c>
      <c r="G1406">
        <v>7.6772592311144441E-15</v>
      </c>
      <c r="H1406">
        <v>9.3803110908974122E-8</v>
      </c>
      <c r="I1406" t="s">
        <v>2231</v>
      </c>
      <c r="L1406" t="s">
        <v>2295</v>
      </c>
    </row>
    <row r="1407" spans="1:12" hidden="1" x14ac:dyDescent="0.25">
      <c r="A1407" s="516">
        <v>1382</v>
      </c>
      <c r="B1407" t="s">
        <v>441</v>
      </c>
      <c r="C1407" t="s">
        <v>432</v>
      </c>
      <c r="D1407" t="s">
        <v>2291</v>
      </c>
      <c r="E1407">
        <v>4</v>
      </c>
      <c r="F1407">
        <v>1.5580963196337569E-8</v>
      </c>
      <c r="G1407">
        <v>7.6410684291939769E-18</v>
      </c>
      <c r="H1407">
        <v>-7.716965046427933E-10</v>
      </c>
      <c r="I1407" t="s">
        <v>2231</v>
      </c>
      <c r="L1407" t="s">
        <v>2295</v>
      </c>
    </row>
    <row r="1408" spans="1:12" hidden="1" x14ac:dyDescent="0.25">
      <c r="A1408" s="516">
        <v>1383</v>
      </c>
      <c r="B1408" t="s">
        <v>441</v>
      </c>
      <c r="C1408" t="s">
        <v>432</v>
      </c>
      <c r="D1408" t="s">
        <v>2291</v>
      </c>
      <c r="E1408">
        <v>4</v>
      </c>
      <c r="F1408">
        <v>1.2481297309010129E-6</v>
      </c>
      <c r="G1408">
        <v>6.1209596365440777E-16</v>
      </c>
      <c r="H1408">
        <v>-8.1619319693741971E-8</v>
      </c>
      <c r="I1408" t="s">
        <v>2231</v>
      </c>
      <c r="L1408" t="s">
        <v>2295</v>
      </c>
    </row>
    <row r="1409" spans="1:12" hidden="1" x14ac:dyDescent="0.25">
      <c r="A1409" s="516">
        <v>1384</v>
      </c>
      <c r="B1409" t="s">
        <v>441</v>
      </c>
      <c r="C1409" t="s">
        <v>432</v>
      </c>
      <c r="D1409" t="s">
        <v>2291</v>
      </c>
      <c r="E1409">
        <v>4</v>
      </c>
      <c r="F1409">
        <v>5.7914016304494557E-7</v>
      </c>
      <c r="G1409">
        <v>2.8401643468108422E-16</v>
      </c>
      <c r="H1409">
        <v>-3.1172071916589303E-8</v>
      </c>
      <c r="I1409" t="s">
        <v>2231</v>
      </c>
      <c r="L1409" t="s">
        <v>2295</v>
      </c>
    </row>
    <row r="1410" spans="1:12" x14ac:dyDescent="0.25">
      <c r="A1410" s="516">
        <v>1385</v>
      </c>
      <c r="B1410" t="s">
        <v>441</v>
      </c>
      <c r="C1410" t="s">
        <v>432</v>
      </c>
      <c r="D1410" t="s">
        <v>2291</v>
      </c>
      <c r="E1410">
        <v>3</v>
      </c>
      <c r="F1410">
        <v>4.5202354449401577E-3</v>
      </c>
      <c r="G1410">
        <v>2.216771063227632E-12</v>
      </c>
      <c r="H1410">
        <v>-2.7214958868432108E-3</v>
      </c>
      <c r="I1410" t="s">
        <v>1073</v>
      </c>
      <c r="J1410" t="s">
        <v>432</v>
      </c>
      <c r="K1410" t="s">
        <v>417</v>
      </c>
      <c r="L1410" t="str">
        <f>O17</f>
        <v>Drilling waste</v>
      </c>
    </row>
    <row r="1411" spans="1:12" hidden="1" x14ac:dyDescent="0.25">
      <c r="A1411" s="516">
        <v>1386</v>
      </c>
      <c r="B1411" t="s">
        <v>441</v>
      </c>
      <c r="C1411" t="s">
        <v>432</v>
      </c>
      <c r="D1411" t="s">
        <v>2291</v>
      </c>
      <c r="E1411">
        <v>4</v>
      </c>
      <c r="F1411">
        <v>-1.669394540993061E-4</v>
      </c>
      <c r="G1411">
        <v>-8.1868866271690055E-14</v>
      </c>
      <c r="H1411">
        <v>1.6328975321059269E-3</v>
      </c>
      <c r="I1411" t="s">
        <v>2268</v>
      </c>
      <c r="J1411" t="s">
        <v>432</v>
      </c>
      <c r="K1411" t="s">
        <v>417</v>
      </c>
      <c r="L1411" t="s">
        <v>2295</v>
      </c>
    </row>
    <row r="1412" spans="1:12" hidden="1" x14ac:dyDescent="0.25">
      <c r="A1412" s="516">
        <v>1387</v>
      </c>
      <c r="B1412" t="s">
        <v>441</v>
      </c>
      <c r="C1412" t="s">
        <v>432</v>
      </c>
      <c r="D1412" t="s">
        <v>2291</v>
      </c>
      <c r="E1412">
        <v>4</v>
      </c>
      <c r="F1412">
        <v>-2.1996311620701308E-3</v>
      </c>
      <c r="G1412">
        <v>-1.0787222854307289E-12</v>
      </c>
      <c r="H1412">
        <v>1.088598354737285E-3</v>
      </c>
      <c r="I1412" t="s">
        <v>2269</v>
      </c>
      <c r="J1412" t="s">
        <v>432</v>
      </c>
      <c r="K1412" t="s">
        <v>417</v>
      </c>
      <c r="L1412" t="s">
        <v>2295</v>
      </c>
    </row>
    <row r="1413" spans="1:12" hidden="1" x14ac:dyDescent="0.25">
      <c r="A1413" s="516">
        <v>1388</v>
      </c>
      <c r="B1413" t="s">
        <v>441</v>
      </c>
      <c r="C1413" t="s">
        <v>432</v>
      </c>
      <c r="D1413" t="s">
        <v>2291</v>
      </c>
      <c r="E1413">
        <v>4</v>
      </c>
      <c r="F1413">
        <v>-3.2105139846102402E-5</v>
      </c>
      <c r="G1413">
        <v>-1.574469866860186E-14</v>
      </c>
      <c r="H1413">
        <v>-9.6885253571618308E-6</v>
      </c>
      <c r="I1413" t="s">
        <v>2231</v>
      </c>
      <c r="L1413" t="s">
        <v>2295</v>
      </c>
    </row>
    <row r="1414" spans="1:12" hidden="1" x14ac:dyDescent="0.25">
      <c r="A1414" s="516">
        <v>1389</v>
      </c>
      <c r="B1414" t="s">
        <v>441</v>
      </c>
      <c r="C1414" t="s">
        <v>432</v>
      </c>
      <c r="D1414" t="s">
        <v>2291</v>
      </c>
      <c r="E1414">
        <v>4</v>
      </c>
      <c r="F1414">
        <v>-2.1215597103006641E-3</v>
      </c>
      <c r="G1414">
        <v>-1.040435223339649E-12</v>
      </c>
      <c r="H1414">
        <v>-7.013294900394956E-5</v>
      </c>
      <c r="I1414" t="s">
        <v>2266</v>
      </c>
      <c r="J1414" t="s">
        <v>419</v>
      </c>
      <c r="K1414" t="s">
        <v>925</v>
      </c>
      <c r="L1414" t="s">
        <v>2295</v>
      </c>
    </row>
    <row r="1415" spans="1:12" x14ac:dyDescent="0.25">
      <c r="A1415" s="568">
        <v>1390</v>
      </c>
      <c r="B1415" s="417" t="s">
        <v>441</v>
      </c>
      <c r="C1415" s="417" t="s">
        <v>432</v>
      </c>
      <c r="D1415" s="417" t="s">
        <v>2291</v>
      </c>
      <c r="E1415" s="417">
        <v>2</v>
      </c>
      <c r="F1415" s="417">
        <v>1.431650225232626E-3</v>
      </c>
      <c r="G1415" s="417">
        <v>7.0209634666519493E-13</v>
      </c>
      <c r="H1415" s="417">
        <v>1.1210128731148259E-9</v>
      </c>
      <c r="I1415" s="417" t="s">
        <v>1517</v>
      </c>
      <c r="J1415" s="417" t="s">
        <v>432</v>
      </c>
      <c r="K1415" s="417" t="s">
        <v>416</v>
      </c>
      <c r="L1415" s="417" t="s">
        <v>829</v>
      </c>
    </row>
    <row r="1416" spans="1:12" x14ac:dyDescent="0.25">
      <c r="A1416" s="516">
        <v>1391</v>
      </c>
      <c r="B1416" t="s">
        <v>441</v>
      </c>
      <c r="C1416" t="s">
        <v>432</v>
      </c>
      <c r="D1416" t="s">
        <v>2291</v>
      </c>
      <c r="E1416">
        <v>3</v>
      </c>
      <c r="F1416">
        <v>1.4316502784224301E-3</v>
      </c>
      <c r="G1416">
        <v>7.0209637275003514E-13</v>
      </c>
      <c r="H1416">
        <v>5.7822432923703427E-5</v>
      </c>
      <c r="I1416" t="s">
        <v>1060</v>
      </c>
      <c r="J1416" t="s">
        <v>459</v>
      </c>
      <c r="K1416" t="s">
        <v>417</v>
      </c>
    </row>
    <row r="1417" spans="1:12" hidden="1" x14ac:dyDescent="0.25">
      <c r="A1417" s="516">
        <v>1392</v>
      </c>
      <c r="B1417" t="s">
        <v>441</v>
      </c>
      <c r="C1417" t="s">
        <v>432</v>
      </c>
      <c r="D1417" t="s">
        <v>2291</v>
      </c>
      <c r="E1417">
        <v>4</v>
      </c>
      <c r="F1417">
        <v>1.152758566912484E-3</v>
      </c>
      <c r="G1417">
        <v>5.6532494051384032E-13</v>
      </c>
      <c r="H1417">
        <v>5.7822432923703427E-5</v>
      </c>
      <c r="I1417" t="s">
        <v>2263</v>
      </c>
      <c r="J1417" t="s">
        <v>459</v>
      </c>
      <c r="K1417" t="s">
        <v>417</v>
      </c>
      <c r="L1417" t="s">
        <v>2295</v>
      </c>
    </row>
    <row r="1418" spans="1:12" hidden="1" x14ac:dyDescent="0.25">
      <c r="A1418" s="516">
        <v>1393</v>
      </c>
      <c r="B1418" t="s">
        <v>441</v>
      </c>
      <c r="C1418" t="s">
        <v>432</v>
      </c>
      <c r="D1418" t="s">
        <v>2291</v>
      </c>
      <c r="E1418">
        <v>4</v>
      </c>
      <c r="F1418">
        <v>1.1681066145420069E-5</v>
      </c>
      <c r="G1418">
        <v>5.7285178469631567E-15</v>
      </c>
      <c r="H1418">
        <v>1.4455608230925861E-6</v>
      </c>
      <c r="I1418" t="s">
        <v>2231</v>
      </c>
      <c r="L1418" t="s">
        <v>2295</v>
      </c>
    </row>
    <row r="1419" spans="1:12" hidden="1" x14ac:dyDescent="0.25">
      <c r="A1419" s="516">
        <v>1394</v>
      </c>
      <c r="B1419" t="s">
        <v>441</v>
      </c>
      <c r="C1419" t="s">
        <v>432</v>
      </c>
      <c r="D1419" t="s">
        <v>2291</v>
      </c>
      <c r="E1419">
        <v>4</v>
      </c>
      <c r="F1419">
        <v>8.0225450908775486E-5</v>
      </c>
      <c r="G1419">
        <v>3.9343405952013823E-14</v>
      </c>
      <c r="H1419">
        <v>1.9081402864822129E-7</v>
      </c>
      <c r="I1419" t="s">
        <v>2231</v>
      </c>
      <c r="L1419" t="s">
        <v>2295</v>
      </c>
    </row>
    <row r="1420" spans="1:12" hidden="1" x14ac:dyDescent="0.25">
      <c r="A1420" s="516">
        <v>1395</v>
      </c>
      <c r="B1420" t="s">
        <v>441</v>
      </c>
      <c r="C1420" t="s">
        <v>432</v>
      </c>
      <c r="D1420" t="s">
        <v>2291</v>
      </c>
      <c r="E1420">
        <v>4</v>
      </c>
      <c r="F1420">
        <v>1.8698519632197259E-4</v>
      </c>
      <c r="G1420">
        <v>9.1699509352432454E-14</v>
      </c>
      <c r="H1420">
        <v>6.1812180795438962E-6</v>
      </c>
      <c r="I1420" t="s">
        <v>2266</v>
      </c>
      <c r="J1420" t="s">
        <v>419</v>
      </c>
      <c r="K1420" t="s">
        <v>925</v>
      </c>
      <c r="L1420" t="s">
        <v>2295</v>
      </c>
    </row>
    <row r="1421" spans="1:12" hidden="1" x14ac:dyDescent="0.25">
      <c r="A1421" s="516">
        <v>1396</v>
      </c>
      <c r="B1421" t="s">
        <v>441</v>
      </c>
      <c r="C1421" t="s">
        <v>432</v>
      </c>
      <c r="D1421" t="s">
        <v>2291</v>
      </c>
      <c r="E1421">
        <v>1</v>
      </c>
      <c r="F1421">
        <v>3.1088562466819689E-4</v>
      </c>
      <c r="G1421">
        <v>1.5246158416578429E-13</v>
      </c>
      <c r="H1421">
        <v>3.0490301023033151E-5</v>
      </c>
      <c r="I1421" t="s">
        <v>1003</v>
      </c>
      <c r="J1421" t="s">
        <v>432</v>
      </c>
      <c r="K1421" t="s">
        <v>417</v>
      </c>
      <c r="L1421" t="s">
        <v>823</v>
      </c>
    </row>
    <row r="1422" spans="1:12" x14ac:dyDescent="0.25">
      <c r="A1422" s="568">
        <v>1397</v>
      </c>
      <c r="B1422" s="417" t="s">
        <v>441</v>
      </c>
      <c r="C1422" s="417" t="s">
        <v>432</v>
      </c>
      <c r="D1422" s="417" t="s">
        <v>2291</v>
      </c>
      <c r="E1422" s="417">
        <v>2</v>
      </c>
      <c r="F1422" s="417">
        <v>2.9337391300640771E-4</v>
      </c>
      <c r="G1422" s="417">
        <v>1.438736563570916E-13</v>
      </c>
      <c r="H1422" s="417">
        <v>3.0490301023033151E-5</v>
      </c>
      <c r="I1422" s="417" t="s">
        <v>1000</v>
      </c>
      <c r="J1422" s="417" t="s">
        <v>432</v>
      </c>
      <c r="K1422" s="417" t="s">
        <v>417</v>
      </c>
    </row>
    <row r="1423" spans="1:12" x14ac:dyDescent="0.25">
      <c r="A1423" s="516">
        <v>1398</v>
      </c>
      <c r="B1423" t="s">
        <v>441</v>
      </c>
      <c r="C1423" t="s">
        <v>432</v>
      </c>
      <c r="D1423" t="s">
        <v>2291</v>
      </c>
      <c r="E1423">
        <v>3</v>
      </c>
      <c r="F1423">
        <v>2.7586220134461739E-4</v>
      </c>
      <c r="G1423">
        <v>1.3528572854839829E-13</v>
      </c>
      <c r="H1423">
        <v>3.0490301023033151E-5</v>
      </c>
      <c r="I1423" t="s">
        <v>998</v>
      </c>
      <c r="J1423" t="s">
        <v>432</v>
      </c>
      <c r="K1423" t="s">
        <v>417</v>
      </c>
    </row>
    <row r="1424" spans="1:12" hidden="1" x14ac:dyDescent="0.25">
      <c r="A1424" s="516">
        <v>1399</v>
      </c>
      <c r="B1424" t="s">
        <v>441</v>
      </c>
      <c r="C1424" t="s">
        <v>432</v>
      </c>
      <c r="D1424" t="s">
        <v>2291</v>
      </c>
      <c r="E1424">
        <v>4</v>
      </c>
      <c r="F1424">
        <v>1.455440197994683E-4</v>
      </c>
      <c r="G1424">
        <v>7.1376319983164523E-14</v>
      </c>
      <c r="H1424">
        <v>3.1760730232326302E-5</v>
      </c>
      <c r="I1424" t="s">
        <v>996</v>
      </c>
      <c r="J1424" t="s">
        <v>432</v>
      </c>
      <c r="K1424" t="s">
        <v>417</v>
      </c>
      <c r="L1424" t="s">
        <v>2295</v>
      </c>
    </row>
    <row r="1425" spans="1:12" hidden="1" x14ac:dyDescent="0.25">
      <c r="A1425" s="516">
        <v>1400</v>
      </c>
      <c r="B1425" t="s">
        <v>441</v>
      </c>
      <c r="C1425" t="s">
        <v>432</v>
      </c>
      <c r="D1425" t="s">
        <v>2291</v>
      </c>
      <c r="E1425">
        <v>4</v>
      </c>
      <c r="F1425">
        <v>7.8599691355327761E-5</v>
      </c>
      <c r="G1425">
        <v>3.8546116346694039E-14</v>
      </c>
      <c r="H1425">
        <v>3.8213860155779714E-6</v>
      </c>
      <c r="I1425" t="s">
        <v>2231</v>
      </c>
      <c r="L1425" t="s">
        <v>2295</v>
      </c>
    </row>
    <row r="1426" spans="1:12" hidden="1" x14ac:dyDescent="0.25">
      <c r="A1426" s="516">
        <v>1401</v>
      </c>
      <c r="B1426" t="s">
        <v>441</v>
      </c>
      <c r="C1426" t="s">
        <v>432</v>
      </c>
      <c r="D1426" t="s">
        <v>2291</v>
      </c>
      <c r="E1426">
        <v>4</v>
      </c>
      <c r="F1426">
        <v>3.5846182057836582E-5</v>
      </c>
      <c r="G1426">
        <v>1.757934516485206E-14</v>
      </c>
      <c r="H1426">
        <v>4.2076615411785742E-8</v>
      </c>
      <c r="I1426" t="s">
        <v>2231</v>
      </c>
      <c r="L1426" t="s">
        <v>2295</v>
      </c>
    </row>
    <row r="1427" spans="1:12" hidden="1" x14ac:dyDescent="0.25">
      <c r="A1427" s="516">
        <v>1402</v>
      </c>
      <c r="B1427" t="s">
        <v>441</v>
      </c>
      <c r="C1427" t="s">
        <v>432</v>
      </c>
      <c r="D1427" t="s">
        <v>2291</v>
      </c>
      <c r="E1427">
        <v>4</v>
      </c>
      <c r="F1427">
        <v>1.5872316795498339E-5</v>
      </c>
      <c r="G1427">
        <v>7.7839513023659449E-15</v>
      </c>
      <c r="H1427">
        <v>4.2076615411785742E-8</v>
      </c>
      <c r="I1427" t="s">
        <v>2231</v>
      </c>
      <c r="L1427" t="s">
        <v>2295</v>
      </c>
    </row>
    <row r="1428" spans="1:12" x14ac:dyDescent="0.25">
      <c r="A1428" s="516">
        <v>1403</v>
      </c>
      <c r="B1428" t="s">
        <v>441</v>
      </c>
      <c r="C1428" t="s">
        <v>432</v>
      </c>
      <c r="D1428" t="s">
        <v>2291</v>
      </c>
      <c r="E1428">
        <v>3</v>
      </c>
      <c r="F1428">
        <v>1.7511711400845851E-5</v>
      </c>
      <c r="G1428">
        <v>8.5879276807233716E-15</v>
      </c>
      <c r="H1428">
        <v>3.049030102303315E-6</v>
      </c>
      <c r="I1428" t="s">
        <v>2231</v>
      </c>
    </row>
    <row r="1429" spans="1:12" x14ac:dyDescent="0.25">
      <c r="A1429" s="516">
        <v>1404</v>
      </c>
      <c r="B1429" t="s">
        <v>441</v>
      </c>
      <c r="C1429" t="s">
        <v>432</v>
      </c>
      <c r="D1429" t="s">
        <v>2291</v>
      </c>
      <c r="E1429">
        <v>2</v>
      </c>
      <c r="F1429">
        <v>1.7511711400845851E-5</v>
      </c>
      <c r="G1429">
        <v>8.5879276807233716E-15</v>
      </c>
      <c r="H1429">
        <v>3.049030102303315E-6</v>
      </c>
      <c r="I1429" t="s">
        <v>2231</v>
      </c>
    </row>
    <row r="1430" spans="1:12" hidden="1" x14ac:dyDescent="0.25">
      <c r="A1430" s="516">
        <v>1405</v>
      </c>
      <c r="B1430" t="s">
        <v>441</v>
      </c>
      <c r="C1430" t="s">
        <v>432</v>
      </c>
      <c r="D1430" t="s">
        <v>2292</v>
      </c>
      <c r="E1430">
        <v>0</v>
      </c>
      <c r="F1430">
        <v>1</v>
      </c>
      <c r="G1430">
        <v>2.2281327070220959E-5</v>
      </c>
      <c r="H1430">
        <v>1</v>
      </c>
      <c r="I1430" t="s">
        <v>441</v>
      </c>
      <c r="J1430" t="s">
        <v>432</v>
      </c>
      <c r="K1430" t="s">
        <v>433</v>
      </c>
      <c r="L1430" t="s">
        <v>1205</v>
      </c>
    </row>
    <row r="1431" spans="1:12" hidden="1" x14ac:dyDescent="0.25">
      <c r="A1431" s="516">
        <v>1406</v>
      </c>
      <c r="B1431" t="s">
        <v>441</v>
      </c>
      <c r="C1431" t="s">
        <v>432</v>
      </c>
      <c r="D1431" t="s">
        <v>2292</v>
      </c>
      <c r="E1431">
        <v>1</v>
      </c>
      <c r="F1431">
        <v>0.99953158767967865</v>
      </c>
      <c r="G1431">
        <v>2.2270890222108159E-5</v>
      </c>
      <c r="H1431">
        <v>1.1210128731148259E-9</v>
      </c>
      <c r="I1431" t="s">
        <v>2099</v>
      </c>
      <c r="J1431" t="s">
        <v>432</v>
      </c>
      <c r="K1431" t="s">
        <v>416</v>
      </c>
    </row>
    <row r="1432" spans="1:12" x14ac:dyDescent="0.25">
      <c r="A1432" s="568">
        <v>1407</v>
      </c>
      <c r="B1432" s="417" t="s">
        <v>441</v>
      </c>
      <c r="C1432" s="417" t="s">
        <v>432</v>
      </c>
      <c r="D1432" s="417" t="s">
        <v>2292</v>
      </c>
      <c r="E1432" s="417">
        <v>2</v>
      </c>
      <c r="F1432" s="417">
        <v>7.7595067000649581E-2</v>
      </c>
      <c r="G1432" s="417">
        <v>1.7289210668771821E-6</v>
      </c>
      <c r="H1432" s="417">
        <v>2.2420257462296519E-9</v>
      </c>
      <c r="I1432" s="417" t="s">
        <v>1122</v>
      </c>
      <c r="J1432" s="417" t="s">
        <v>432</v>
      </c>
      <c r="K1432" s="417" t="s">
        <v>416</v>
      </c>
      <c r="L1432" t="str">
        <f>$B$18</f>
        <v>Surface plant</v>
      </c>
    </row>
    <row r="1433" spans="1:12" x14ac:dyDescent="0.25">
      <c r="A1433" s="516">
        <v>1408</v>
      </c>
      <c r="B1433" t="s">
        <v>441</v>
      </c>
      <c r="C1433" t="s">
        <v>432</v>
      </c>
      <c r="D1433" t="s">
        <v>2292</v>
      </c>
      <c r="E1433">
        <v>3</v>
      </c>
      <c r="F1433">
        <v>6.4959347305790411E-4</v>
      </c>
      <c r="G1433">
        <v>1.447380463588393E-8</v>
      </c>
      <c r="H1433">
        <v>7.1066873184536906E-7</v>
      </c>
      <c r="I1433" t="s">
        <v>2230</v>
      </c>
      <c r="J1433" t="s">
        <v>462</v>
      </c>
      <c r="K1433" t="s">
        <v>417</v>
      </c>
    </row>
    <row r="1434" spans="1:12" hidden="1" x14ac:dyDescent="0.25">
      <c r="A1434" s="516">
        <v>1409</v>
      </c>
      <c r="B1434" t="s">
        <v>441</v>
      </c>
      <c r="C1434" t="s">
        <v>432</v>
      </c>
      <c r="D1434" t="s">
        <v>2292</v>
      </c>
      <c r="E1434">
        <v>4</v>
      </c>
      <c r="F1434">
        <v>2.182245908634736E-5</v>
      </c>
      <c r="G1434">
        <v>4.8623334837942064E-10</v>
      </c>
      <c r="H1434">
        <v>1.7496624768159701E-7</v>
      </c>
      <c r="I1434" t="s">
        <v>2231</v>
      </c>
      <c r="L1434" t="s">
        <v>2295</v>
      </c>
    </row>
    <row r="1435" spans="1:12" hidden="1" x14ac:dyDescent="0.25">
      <c r="A1435" s="516">
        <v>1410</v>
      </c>
      <c r="B1435" t="s">
        <v>441</v>
      </c>
      <c r="C1435" t="s">
        <v>432</v>
      </c>
      <c r="D1435" t="s">
        <v>2292</v>
      </c>
      <c r="E1435">
        <v>4</v>
      </c>
      <c r="F1435">
        <v>3.1774678568670957E-5</v>
      </c>
      <c r="G1435">
        <v>7.079820057396979E-10</v>
      </c>
      <c r="H1435">
        <v>3.0368190207504018E-7</v>
      </c>
      <c r="I1435" t="s">
        <v>2231</v>
      </c>
      <c r="L1435" t="s">
        <v>2295</v>
      </c>
    </row>
    <row r="1436" spans="1:12" hidden="1" x14ac:dyDescent="0.25">
      <c r="A1436" s="516">
        <v>1411</v>
      </c>
      <c r="B1436" t="s">
        <v>441</v>
      </c>
      <c r="C1436" t="s">
        <v>432</v>
      </c>
      <c r="D1436" t="s">
        <v>2292</v>
      </c>
      <c r="E1436">
        <v>4</v>
      </c>
      <c r="F1436">
        <v>5.7059037217783147E-4</v>
      </c>
      <c r="G1436">
        <v>1.271351070561337E-8</v>
      </c>
      <c r="H1436">
        <v>1.857699888005772E-7</v>
      </c>
      <c r="I1436" t="s">
        <v>2232</v>
      </c>
      <c r="J1436" t="s">
        <v>462</v>
      </c>
      <c r="K1436" t="s">
        <v>417</v>
      </c>
      <c r="L1436" t="s">
        <v>2295</v>
      </c>
    </row>
    <row r="1437" spans="1:12" hidden="1" x14ac:dyDescent="0.25">
      <c r="A1437" s="516">
        <v>1412</v>
      </c>
      <c r="B1437" t="s">
        <v>441</v>
      </c>
      <c r="C1437" t="s">
        <v>432</v>
      </c>
      <c r="D1437" t="s">
        <v>2292</v>
      </c>
      <c r="E1437">
        <v>4</v>
      </c>
      <c r="F1437">
        <v>4.5577221591010866E-6</v>
      </c>
      <c r="G1437">
        <v>1.0155209812212499E-10</v>
      </c>
      <c r="H1437">
        <v>4.6250593288154462E-8</v>
      </c>
      <c r="I1437" t="s">
        <v>2231</v>
      </c>
      <c r="L1437" t="s">
        <v>2295</v>
      </c>
    </row>
    <row r="1438" spans="1:12" hidden="1" x14ac:dyDescent="0.25">
      <c r="A1438" s="516">
        <v>1413</v>
      </c>
      <c r="B1438" t="s">
        <v>441</v>
      </c>
      <c r="C1438" t="s">
        <v>432</v>
      </c>
      <c r="D1438" t="s">
        <v>2292</v>
      </c>
      <c r="E1438">
        <v>4</v>
      </c>
      <c r="F1438">
        <v>6.2020275836151347E-6</v>
      </c>
      <c r="G1438">
        <v>1.3818940508906099E-10</v>
      </c>
      <c r="H1438">
        <v>2.4503857874028319E-7</v>
      </c>
      <c r="I1438" t="s">
        <v>2231</v>
      </c>
      <c r="L1438" t="s">
        <v>2295</v>
      </c>
    </row>
    <row r="1439" spans="1:12" hidden="1" x14ac:dyDescent="0.25">
      <c r="A1439" s="516">
        <v>1414</v>
      </c>
      <c r="B1439" t="s">
        <v>441</v>
      </c>
      <c r="C1439" t="s">
        <v>432</v>
      </c>
      <c r="D1439" t="s">
        <v>2292</v>
      </c>
      <c r="E1439">
        <v>4</v>
      </c>
      <c r="F1439">
        <v>7.122162301374484E-7</v>
      </c>
      <c r="G1439">
        <v>1.5869122768412251E-11</v>
      </c>
      <c r="H1439">
        <v>2.57972749659869E-8</v>
      </c>
      <c r="I1439" t="s">
        <v>2231</v>
      </c>
      <c r="L1439" t="s">
        <v>2295</v>
      </c>
    </row>
    <row r="1440" spans="1:12" hidden="1" x14ac:dyDescent="0.25">
      <c r="A1440" s="516">
        <v>1415</v>
      </c>
      <c r="B1440" t="s">
        <v>441</v>
      </c>
      <c r="C1440" t="s">
        <v>432</v>
      </c>
      <c r="D1440" t="s">
        <v>2292</v>
      </c>
      <c r="E1440">
        <v>4</v>
      </c>
      <c r="F1440">
        <v>1.1322494947950159E-5</v>
      </c>
      <c r="G1440">
        <v>2.5228021318620189E-10</v>
      </c>
      <c r="H1440">
        <v>2.5683567968891642E-7</v>
      </c>
      <c r="I1440" t="s">
        <v>2231</v>
      </c>
      <c r="L1440" t="s">
        <v>2295</v>
      </c>
    </row>
    <row r="1441" spans="1:12" hidden="1" x14ac:dyDescent="0.25">
      <c r="A1441" s="516">
        <v>1416</v>
      </c>
      <c r="B1441" t="s">
        <v>441</v>
      </c>
      <c r="C1441" t="s">
        <v>432</v>
      </c>
      <c r="D1441" t="s">
        <v>2292</v>
      </c>
      <c r="E1441">
        <v>4</v>
      </c>
      <c r="F1441">
        <v>2.6115245562797949E-6</v>
      </c>
      <c r="G1441">
        <v>5.8188232790383763E-11</v>
      </c>
      <c r="H1441">
        <v>2.581859502794226E-7</v>
      </c>
      <c r="I1441" t="s">
        <v>2231</v>
      </c>
      <c r="L1441" t="s">
        <v>2295</v>
      </c>
    </row>
    <row r="1442" spans="1:12" x14ac:dyDescent="0.25">
      <c r="A1442" s="516">
        <v>1417</v>
      </c>
      <c r="B1442" t="s">
        <v>441</v>
      </c>
      <c r="C1442" t="s">
        <v>432</v>
      </c>
      <c r="D1442" t="s">
        <v>2292</v>
      </c>
      <c r="E1442">
        <v>3</v>
      </c>
      <c r="F1442">
        <v>5.3789751459752829E-4</v>
      </c>
      <c r="G1442">
        <v>1.198507045300648E-8</v>
      </c>
      <c r="H1442">
        <v>9.6828614713931526E-7</v>
      </c>
      <c r="I1442" t="s">
        <v>2233</v>
      </c>
      <c r="J1442" t="s">
        <v>419</v>
      </c>
      <c r="K1442" t="s">
        <v>417</v>
      </c>
    </row>
    <row r="1443" spans="1:12" hidden="1" x14ac:dyDescent="0.25">
      <c r="A1443" s="516">
        <v>1418</v>
      </c>
      <c r="B1443" t="s">
        <v>441</v>
      </c>
      <c r="C1443" t="s">
        <v>432</v>
      </c>
      <c r="D1443" t="s">
        <v>2292</v>
      </c>
      <c r="E1443">
        <v>4</v>
      </c>
      <c r="F1443">
        <v>3.5888419245279872E-4</v>
      </c>
      <c r="G1443">
        <v>7.9964160723729314E-9</v>
      </c>
      <c r="H1443">
        <v>6.1534207375399252E-7</v>
      </c>
      <c r="I1443" t="s">
        <v>2234</v>
      </c>
      <c r="J1443" t="s">
        <v>419</v>
      </c>
      <c r="K1443" t="s">
        <v>417</v>
      </c>
      <c r="L1443" t="s">
        <v>2295</v>
      </c>
    </row>
    <row r="1444" spans="1:12" hidden="1" x14ac:dyDescent="0.25">
      <c r="A1444" s="516">
        <v>1419</v>
      </c>
      <c r="B1444" t="s">
        <v>441</v>
      </c>
      <c r="C1444" t="s">
        <v>432</v>
      </c>
      <c r="D1444" t="s">
        <v>2292</v>
      </c>
      <c r="E1444">
        <v>4</v>
      </c>
      <c r="F1444">
        <v>1.650013446667881E-4</v>
      </c>
      <c r="G1444">
        <v>3.6764489275469649E-9</v>
      </c>
      <c r="H1444">
        <v>3.42977549305504E-7</v>
      </c>
      <c r="I1444" t="s">
        <v>2286</v>
      </c>
      <c r="J1444" t="s">
        <v>419</v>
      </c>
      <c r="K1444" t="s">
        <v>417</v>
      </c>
      <c r="L1444" t="s">
        <v>2295</v>
      </c>
    </row>
    <row r="1445" spans="1:12" hidden="1" x14ac:dyDescent="0.25">
      <c r="A1445" s="516">
        <v>1420</v>
      </c>
      <c r="B1445" t="s">
        <v>441</v>
      </c>
      <c r="C1445" t="s">
        <v>432</v>
      </c>
      <c r="D1445" t="s">
        <v>2292</v>
      </c>
      <c r="E1445">
        <v>4</v>
      </c>
      <c r="F1445">
        <v>4.810951786469011E-6</v>
      </c>
      <c r="G1445">
        <v>1.071943902733799E-10</v>
      </c>
      <c r="H1445">
        <v>9.966524079818768E-9</v>
      </c>
      <c r="I1445" t="s">
        <v>2231</v>
      </c>
      <c r="L1445" t="s">
        <v>2295</v>
      </c>
    </row>
    <row r="1446" spans="1:12" hidden="1" x14ac:dyDescent="0.25">
      <c r="A1446" s="516">
        <v>1421</v>
      </c>
      <c r="B1446" t="s">
        <v>441</v>
      </c>
      <c r="C1446" t="s">
        <v>432</v>
      </c>
      <c r="D1446" t="s">
        <v>2292</v>
      </c>
      <c r="E1446">
        <v>4</v>
      </c>
      <c r="F1446">
        <v>7.8345701972689301E-7</v>
      </c>
      <c r="G1446">
        <v>1.7456462101995451E-11</v>
      </c>
      <c r="H1446">
        <v>4.2410933244702012E-8</v>
      </c>
      <c r="I1446" t="s">
        <v>2231</v>
      </c>
      <c r="L1446" t="s">
        <v>2295</v>
      </c>
    </row>
    <row r="1447" spans="1:12" hidden="1" x14ac:dyDescent="0.25">
      <c r="A1447" s="516">
        <v>1422</v>
      </c>
      <c r="B1447" t="s">
        <v>441</v>
      </c>
      <c r="C1447" t="s">
        <v>432</v>
      </c>
      <c r="D1447" t="s">
        <v>2292</v>
      </c>
      <c r="E1447">
        <v>4</v>
      </c>
      <c r="F1447">
        <v>5.5581094383233495E-7</v>
      </c>
      <c r="G1447">
        <v>1.2384205428736459E-11</v>
      </c>
      <c r="H1447">
        <v>2.1205466622350999E-8</v>
      </c>
      <c r="I1447" t="s">
        <v>2231</v>
      </c>
      <c r="L1447" t="s">
        <v>2295</v>
      </c>
    </row>
    <row r="1448" spans="1:12" hidden="1" x14ac:dyDescent="0.25">
      <c r="A1448" s="516">
        <v>1423</v>
      </c>
      <c r="B1448" t="s">
        <v>441</v>
      </c>
      <c r="C1448" t="s">
        <v>432</v>
      </c>
      <c r="D1448" t="s">
        <v>2292</v>
      </c>
      <c r="E1448">
        <v>4</v>
      </c>
      <c r="F1448">
        <v>7.861771630657348E-6</v>
      </c>
      <c r="G1448">
        <v>1.7517070505406071E-10</v>
      </c>
      <c r="H1448">
        <v>1.6586741700496469E-7</v>
      </c>
      <c r="I1448" t="s">
        <v>2231</v>
      </c>
      <c r="L1448" t="s">
        <v>2295</v>
      </c>
    </row>
    <row r="1449" spans="1:12" x14ac:dyDescent="0.25">
      <c r="A1449" s="516">
        <v>1424</v>
      </c>
      <c r="B1449" t="s">
        <v>441</v>
      </c>
      <c r="C1449" t="s">
        <v>432</v>
      </c>
      <c r="D1449" t="s">
        <v>2292</v>
      </c>
      <c r="E1449">
        <v>3</v>
      </c>
      <c r="F1449">
        <v>3.8907586582555713E-2</v>
      </c>
      <c r="G1449">
        <v>8.6691266215886409E-7</v>
      </c>
      <c r="H1449">
        <v>5.5520994675419461E-7</v>
      </c>
      <c r="I1449" t="s">
        <v>2235</v>
      </c>
      <c r="J1449" t="s">
        <v>432</v>
      </c>
      <c r="K1449" t="s">
        <v>437</v>
      </c>
    </row>
    <row r="1450" spans="1:12" hidden="1" x14ac:dyDescent="0.25">
      <c r="A1450" s="516">
        <v>1425</v>
      </c>
      <c r="B1450" t="s">
        <v>441</v>
      </c>
      <c r="C1450" t="s">
        <v>432</v>
      </c>
      <c r="D1450" t="s">
        <v>2292</v>
      </c>
      <c r="E1450">
        <v>4</v>
      </c>
      <c r="F1450">
        <v>2.7980005387116261E-2</v>
      </c>
      <c r="G1450">
        <v>6.2343165145688171E-7</v>
      </c>
      <c r="H1450">
        <v>3.8864696272793622E-7</v>
      </c>
      <c r="I1450" t="s">
        <v>2236</v>
      </c>
      <c r="J1450" t="s">
        <v>432</v>
      </c>
      <c r="K1450" t="s">
        <v>437</v>
      </c>
      <c r="L1450" t="s">
        <v>2295</v>
      </c>
    </row>
    <row r="1451" spans="1:12" hidden="1" x14ac:dyDescent="0.25">
      <c r="A1451" s="516">
        <v>1426</v>
      </c>
      <c r="B1451" t="s">
        <v>441</v>
      </c>
      <c r="C1451" t="s">
        <v>432</v>
      </c>
      <c r="D1451" t="s">
        <v>2292</v>
      </c>
      <c r="E1451">
        <v>4</v>
      </c>
      <c r="F1451">
        <v>1.0927581237713001E-2</v>
      </c>
      <c r="G1451">
        <v>2.4348101164389319E-7</v>
      </c>
      <c r="H1451">
        <v>1.6656298402625839E-7</v>
      </c>
      <c r="I1451" t="s">
        <v>2237</v>
      </c>
      <c r="J1451" t="s">
        <v>432</v>
      </c>
      <c r="K1451" t="s">
        <v>437</v>
      </c>
      <c r="L1451" t="s">
        <v>2295</v>
      </c>
    </row>
    <row r="1452" spans="1:12" x14ac:dyDescent="0.25">
      <c r="A1452" s="516">
        <v>1427</v>
      </c>
      <c r="B1452" t="s">
        <v>441</v>
      </c>
      <c r="C1452" t="s">
        <v>432</v>
      </c>
      <c r="D1452" t="s">
        <v>2292</v>
      </c>
      <c r="E1452">
        <v>3</v>
      </c>
      <c r="F1452">
        <v>8.0628924046149974E-4</v>
      </c>
      <c r="G1452">
        <v>1.7965194279922708E-8</v>
      </c>
      <c r="H1452">
        <v>3.1091757018234902E-8</v>
      </c>
      <c r="I1452" t="s">
        <v>2238</v>
      </c>
      <c r="J1452" t="s">
        <v>432</v>
      </c>
      <c r="K1452" t="s">
        <v>428</v>
      </c>
    </row>
    <row r="1453" spans="1:12" hidden="1" x14ac:dyDescent="0.25">
      <c r="A1453" s="516">
        <v>1428</v>
      </c>
      <c r="B1453" t="s">
        <v>441</v>
      </c>
      <c r="C1453" t="s">
        <v>432</v>
      </c>
      <c r="D1453" t="s">
        <v>2292</v>
      </c>
      <c r="E1453">
        <v>4</v>
      </c>
      <c r="F1453">
        <v>1.995054820383923E-4</v>
      </c>
      <c r="G1453">
        <v>4.4452468975995107E-9</v>
      </c>
      <c r="H1453">
        <v>9.3275271054704687E-9</v>
      </c>
      <c r="I1453" t="s">
        <v>2239</v>
      </c>
      <c r="J1453" t="s">
        <v>432</v>
      </c>
      <c r="K1453" t="s">
        <v>428</v>
      </c>
      <c r="L1453" t="s">
        <v>2295</v>
      </c>
    </row>
    <row r="1454" spans="1:12" hidden="1" x14ac:dyDescent="0.25">
      <c r="A1454" s="516">
        <v>1429</v>
      </c>
      <c r="B1454" t="s">
        <v>441</v>
      </c>
      <c r="C1454" t="s">
        <v>432</v>
      </c>
      <c r="D1454" t="s">
        <v>2292</v>
      </c>
      <c r="E1454">
        <v>4</v>
      </c>
      <c r="F1454">
        <v>6.3236090707778449E-5</v>
      </c>
      <c r="G1454">
        <v>1.4089840197021719E-9</v>
      </c>
      <c r="H1454">
        <v>3.10917570182349E-9</v>
      </c>
      <c r="I1454" t="s">
        <v>2231</v>
      </c>
      <c r="L1454" t="s">
        <v>2295</v>
      </c>
    </row>
    <row r="1455" spans="1:12" hidden="1" x14ac:dyDescent="0.25">
      <c r="A1455" s="516">
        <v>1430</v>
      </c>
      <c r="B1455" t="s">
        <v>441</v>
      </c>
      <c r="C1455" t="s">
        <v>432</v>
      </c>
      <c r="D1455" t="s">
        <v>2292</v>
      </c>
      <c r="E1455">
        <v>4</v>
      </c>
      <c r="F1455">
        <v>4.510297080368166E-4</v>
      </c>
      <c r="G1455">
        <v>1.004954044315458E-8</v>
      </c>
      <c r="H1455">
        <v>1.8655054210940941E-8</v>
      </c>
      <c r="I1455" t="s">
        <v>2241</v>
      </c>
      <c r="J1455" t="s">
        <v>432</v>
      </c>
      <c r="K1455" t="s">
        <v>428</v>
      </c>
      <c r="L1455" t="s">
        <v>2295</v>
      </c>
    </row>
    <row r="1456" spans="1:12" hidden="1" x14ac:dyDescent="0.25">
      <c r="A1456" s="516">
        <v>1431</v>
      </c>
      <c r="B1456" t="s">
        <v>441</v>
      </c>
      <c r="C1456" t="s">
        <v>432</v>
      </c>
      <c r="D1456" t="s">
        <v>2292</v>
      </c>
      <c r="E1456">
        <v>4</v>
      </c>
      <c r="F1456">
        <v>1.4862120371726071E-6</v>
      </c>
      <c r="G1456">
        <v>3.3114776495942237E-11</v>
      </c>
      <c r="H1456">
        <v>2.7436920980741391E-7</v>
      </c>
      <c r="I1456" t="s">
        <v>2231</v>
      </c>
      <c r="L1456" t="s">
        <v>2295</v>
      </c>
    </row>
    <row r="1457" spans="1:12" hidden="1" x14ac:dyDescent="0.25">
      <c r="A1457" s="516">
        <v>1432</v>
      </c>
      <c r="B1457" t="s">
        <v>441</v>
      </c>
      <c r="C1457" t="s">
        <v>432</v>
      </c>
      <c r="D1457" t="s">
        <v>2292</v>
      </c>
      <c r="E1457">
        <v>4</v>
      </c>
      <c r="F1457">
        <v>9.1031721374648726E-5</v>
      </c>
      <c r="G1457">
        <v>2.0283075577137719E-9</v>
      </c>
      <c r="H1457">
        <v>1.9205844686518972E-6</v>
      </c>
      <c r="I1457" t="s">
        <v>2231</v>
      </c>
      <c r="L1457" t="s">
        <v>2295</v>
      </c>
    </row>
    <row r="1458" spans="1:12" x14ac:dyDescent="0.25">
      <c r="A1458" s="516">
        <v>1433</v>
      </c>
      <c r="B1458" t="s">
        <v>441</v>
      </c>
      <c r="C1458" t="s">
        <v>432</v>
      </c>
      <c r="D1458" t="s">
        <v>2292</v>
      </c>
      <c r="E1458">
        <v>3</v>
      </c>
      <c r="F1458">
        <v>3.433338429857075E-3</v>
      </c>
      <c r="G1458">
        <v>7.6499336498404354E-8</v>
      </c>
      <c r="H1458">
        <v>7.1066873184536906E-7</v>
      </c>
      <c r="I1458" t="s">
        <v>2242</v>
      </c>
      <c r="J1458" t="s">
        <v>462</v>
      </c>
      <c r="K1458" t="s">
        <v>417</v>
      </c>
    </row>
    <row r="1459" spans="1:12" hidden="1" x14ac:dyDescent="0.25">
      <c r="A1459" s="516">
        <v>1434</v>
      </c>
      <c r="B1459" t="s">
        <v>441</v>
      </c>
      <c r="C1459" t="s">
        <v>432</v>
      </c>
      <c r="D1459" t="s">
        <v>2292</v>
      </c>
      <c r="E1459">
        <v>4</v>
      </c>
      <c r="F1459">
        <v>7.573813250002909E-4</v>
      </c>
      <c r="G1459">
        <v>1.68754610192088E-8</v>
      </c>
      <c r="H1459">
        <v>1.211620353323431E-7</v>
      </c>
      <c r="I1459" t="s">
        <v>2243</v>
      </c>
      <c r="J1459" t="s">
        <v>462</v>
      </c>
      <c r="K1459" t="s">
        <v>417</v>
      </c>
      <c r="L1459" t="s">
        <v>2295</v>
      </c>
    </row>
    <row r="1460" spans="1:12" hidden="1" x14ac:dyDescent="0.25">
      <c r="A1460" s="516">
        <v>1435</v>
      </c>
      <c r="B1460" t="s">
        <v>441</v>
      </c>
      <c r="C1460" t="s">
        <v>432</v>
      </c>
      <c r="D1460" t="s">
        <v>2292</v>
      </c>
      <c r="E1460">
        <v>4</v>
      </c>
      <c r="F1460">
        <v>5.1221483908219913E-7</v>
      </c>
      <c r="G1460">
        <v>1.141282635981107E-11</v>
      </c>
      <c r="H1460">
        <v>1.953079858167785E-10</v>
      </c>
      <c r="I1460" t="s">
        <v>2231</v>
      </c>
      <c r="L1460" t="s">
        <v>2295</v>
      </c>
    </row>
    <row r="1461" spans="1:12" hidden="1" x14ac:dyDescent="0.25">
      <c r="A1461" s="516">
        <v>1436</v>
      </c>
      <c r="B1461" t="s">
        <v>441</v>
      </c>
      <c r="C1461" t="s">
        <v>432</v>
      </c>
      <c r="D1461" t="s">
        <v>2292</v>
      </c>
      <c r="E1461">
        <v>4</v>
      </c>
      <c r="F1461">
        <v>1.8453537096419429E-12</v>
      </c>
      <c r="G1461">
        <v>4.1116929564777693E-17</v>
      </c>
      <c r="H1461">
        <v>1.027239778012812E-15</v>
      </c>
      <c r="I1461" t="s">
        <v>2231</v>
      </c>
      <c r="L1461" t="s">
        <v>2295</v>
      </c>
    </row>
    <row r="1462" spans="1:12" hidden="1" x14ac:dyDescent="0.25">
      <c r="A1462" s="516">
        <v>1437</v>
      </c>
      <c r="B1462" t="s">
        <v>441</v>
      </c>
      <c r="C1462" t="s">
        <v>432</v>
      </c>
      <c r="D1462" t="s">
        <v>2292</v>
      </c>
      <c r="E1462">
        <v>4</v>
      </c>
      <c r="F1462">
        <v>2.5556716279649762E-13</v>
      </c>
      <c r="G1462">
        <v>5.6943755426771677E-18</v>
      </c>
      <c r="H1462">
        <v>1.2988089147288379E-16</v>
      </c>
      <c r="I1462" t="s">
        <v>2231</v>
      </c>
      <c r="L1462" t="s">
        <v>2295</v>
      </c>
    </row>
    <row r="1463" spans="1:12" hidden="1" x14ac:dyDescent="0.25">
      <c r="A1463" s="516">
        <v>1438</v>
      </c>
      <c r="B1463" t="s">
        <v>441</v>
      </c>
      <c r="C1463" t="s">
        <v>432</v>
      </c>
      <c r="D1463" t="s">
        <v>2292</v>
      </c>
      <c r="E1463">
        <v>4</v>
      </c>
      <c r="F1463">
        <v>0</v>
      </c>
      <c r="G1463">
        <v>0</v>
      </c>
      <c r="H1463">
        <v>6.6293371689284574E-13</v>
      </c>
      <c r="I1463" t="s">
        <v>2231</v>
      </c>
      <c r="L1463" t="s">
        <v>2295</v>
      </c>
    </row>
    <row r="1464" spans="1:12" hidden="1" x14ac:dyDescent="0.25">
      <c r="A1464" s="516">
        <v>1439</v>
      </c>
      <c r="B1464" t="s">
        <v>441</v>
      </c>
      <c r="C1464" t="s">
        <v>432</v>
      </c>
      <c r="D1464" t="s">
        <v>2292</v>
      </c>
      <c r="E1464">
        <v>4</v>
      </c>
      <c r="F1464">
        <v>2.415418696154924E-3</v>
      </c>
      <c r="G1464">
        <v>5.3818733980554521E-8</v>
      </c>
      <c r="H1464">
        <v>4.2992950214197398E-7</v>
      </c>
      <c r="I1464" t="s">
        <v>2244</v>
      </c>
      <c r="J1464" t="s">
        <v>462</v>
      </c>
      <c r="K1464" t="s">
        <v>417</v>
      </c>
      <c r="L1464" t="s">
        <v>2295</v>
      </c>
    </row>
    <row r="1465" spans="1:12" hidden="1" x14ac:dyDescent="0.25">
      <c r="A1465" s="516">
        <v>1440</v>
      </c>
      <c r="B1465" t="s">
        <v>441</v>
      </c>
      <c r="C1465" t="s">
        <v>432</v>
      </c>
      <c r="D1465" t="s">
        <v>2292</v>
      </c>
      <c r="E1465">
        <v>4</v>
      </c>
      <c r="F1465">
        <v>1.9560044397630899E-5</v>
      </c>
      <c r="G1465">
        <v>4.3582374673165721E-10</v>
      </c>
      <c r="H1465">
        <v>2.4197016639519881E-8</v>
      </c>
      <c r="I1465" t="s">
        <v>2231</v>
      </c>
      <c r="L1465" t="s">
        <v>2295</v>
      </c>
    </row>
    <row r="1466" spans="1:12" hidden="1" x14ac:dyDescent="0.25">
      <c r="A1466" s="516">
        <v>1441</v>
      </c>
      <c r="B1466" t="s">
        <v>441</v>
      </c>
      <c r="C1466" t="s">
        <v>432</v>
      </c>
      <c r="D1466" t="s">
        <v>2292</v>
      </c>
      <c r="E1466">
        <v>4</v>
      </c>
      <c r="F1466">
        <v>9.119424946099622E-5</v>
      </c>
      <c r="G1466">
        <v>2.031928899163778E-9</v>
      </c>
      <c r="H1466">
        <v>1.1160135859892259E-8</v>
      </c>
      <c r="I1466" t="s">
        <v>2231</v>
      </c>
      <c r="L1466" t="s">
        <v>2295</v>
      </c>
    </row>
    <row r="1467" spans="1:12" hidden="1" x14ac:dyDescent="0.25">
      <c r="A1467" s="516">
        <v>1442</v>
      </c>
      <c r="B1467" t="s">
        <v>441</v>
      </c>
      <c r="C1467" t="s">
        <v>432</v>
      </c>
      <c r="D1467" t="s">
        <v>2292</v>
      </c>
      <c r="E1467">
        <v>4</v>
      </c>
      <c r="F1467">
        <v>0</v>
      </c>
      <c r="G1467">
        <v>0</v>
      </c>
      <c r="H1467">
        <v>1.515269049822246E-12</v>
      </c>
      <c r="I1467" t="s">
        <v>2231</v>
      </c>
      <c r="L1467" t="s">
        <v>2295</v>
      </c>
    </row>
    <row r="1468" spans="1:12" hidden="1" x14ac:dyDescent="0.25">
      <c r="A1468" s="516">
        <v>1443</v>
      </c>
      <c r="B1468" t="s">
        <v>441</v>
      </c>
      <c r="C1468" t="s">
        <v>432</v>
      </c>
      <c r="D1468" t="s">
        <v>2292</v>
      </c>
      <c r="E1468">
        <v>4</v>
      </c>
      <c r="F1468">
        <v>1.821239407339396E-8</v>
      </c>
      <c r="G1468">
        <v>4.0579630908104451E-13</v>
      </c>
      <c r="H1468">
        <v>5.9726098922404826E-10</v>
      </c>
      <c r="I1468" t="s">
        <v>2231</v>
      </c>
      <c r="L1468" t="s">
        <v>2295</v>
      </c>
    </row>
    <row r="1469" spans="1:12" hidden="1" x14ac:dyDescent="0.25">
      <c r="A1469" s="516">
        <v>1444</v>
      </c>
      <c r="B1469" t="s">
        <v>441</v>
      </c>
      <c r="C1469" t="s">
        <v>432</v>
      </c>
      <c r="D1469" t="s">
        <v>2292</v>
      </c>
      <c r="E1469">
        <v>4</v>
      </c>
      <c r="F1469">
        <v>1.4633013612325629E-13</v>
      </c>
      <c r="G1469">
        <v>3.2604296231922289E-18</v>
      </c>
      <c r="H1469">
        <v>1.2988089147288379E-16</v>
      </c>
      <c r="I1469" t="s">
        <v>2231</v>
      </c>
      <c r="L1469" t="s">
        <v>2295</v>
      </c>
    </row>
    <row r="1470" spans="1:12" hidden="1" x14ac:dyDescent="0.25">
      <c r="A1470" s="516">
        <v>1445</v>
      </c>
      <c r="B1470" t="s">
        <v>441</v>
      </c>
      <c r="C1470" t="s">
        <v>432</v>
      </c>
      <c r="D1470" t="s">
        <v>2292</v>
      </c>
      <c r="E1470">
        <v>4</v>
      </c>
      <c r="F1470">
        <v>0</v>
      </c>
      <c r="G1470">
        <v>0</v>
      </c>
      <c r="H1470">
        <v>8.4740783159740807E-9</v>
      </c>
      <c r="I1470" t="s">
        <v>2231</v>
      </c>
      <c r="L1470" t="s">
        <v>2295</v>
      </c>
    </row>
    <row r="1471" spans="1:12" hidden="1" x14ac:dyDescent="0.25">
      <c r="A1471" s="516">
        <v>1446</v>
      </c>
      <c r="B1471" t="s">
        <v>441</v>
      </c>
      <c r="C1471" t="s">
        <v>432</v>
      </c>
      <c r="D1471" t="s">
        <v>2292</v>
      </c>
      <c r="E1471">
        <v>4</v>
      </c>
      <c r="F1471">
        <v>1.0272466880699091E-6</v>
      </c>
      <c r="G1471">
        <v>2.2888419438686879E-11</v>
      </c>
      <c r="H1471">
        <v>8.7640823681785851E-10</v>
      </c>
      <c r="I1471" t="s">
        <v>2231</v>
      </c>
      <c r="L1471" t="s">
        <v>2295</v>
      </c>
    </row>
    <row r="1472" spans="1:12" hidden="1" x14ac:dyDescent="0.25">
      <c r="A1472" s="516">
        <v>1447</v>
      </c>
      <c r="B1472" t="s">
        <v>441</v>
      </c>
      <c r="C1472" t="s">
        <v>432</v>
      </c>
      <c r="D1472" t="s">
        <v>2292</v>
      </c>
      <c r="E1472">
        <v>4</v>
      </c>
      <c r="F1472">
        <v>7.7739064068210166E-13</v>
      </c>
      <c r="G1472">
        <v>1.732129512636652E-17</v>
      </c>
      <c r="H1472">
        <v>2.6369756756143838E-16</v>
      </c>
      <c r="I1472" t="s">
        <v>2231</v>
      </c>
      <c r="L1472" t="s">
        <v>2295</v>
      </c>
    </row>
    <row r="1473" spans="1:12" hidden="1" x14ac:dyDescent="0.25">
      <c r="A1473" s="516">
        <v>1448</v>
      </c>
      <c r="B1473" t="s">
        <v>441</v>
      </c>
      <c r="C1473" t="s">
        <v>432</v>
      </c>
      <c r="D1473" t="s">
        <v>2292</v>
      </c>
      <c r="E1473">
        <v>4</v>
      </c>
      <c r="F1473">
        <v>1.063420428040837E-5</v>
      </c>
      <c r="G1473">
        <v>2.3694418370332262E-10</v>
      </c>
      <c r="H1473">
        <v>4.840468409058872E-9</v>
      </c>
      <c r="I1473" t="s">
        <v>2231</v>
      </c>
      <c r="L1473" t="s">
        <v>2295</v>
      </c>
    </row>
    <row r="1474" spans="1:12" hidden="1" x14ac:dyDescent="0.25">
      <c r="A1474" s="516">
        <v>1449</v>
      </c>
      <c r="B1474" t="s">
        <v>441</v>
      </c>
      <c r="C1474" t="s">
        <v>432</v>
      </c>
      <c r="D1474" t="s">
        <v>2292</v>
      </c>
      <c r="E1474">
        <v>4</v>
      </c>
      <c r="F1474">
        <v>4.2484066272127403E-11</v>
      </c>
      <c r="G1474">
        <v>9.4660137588221331E-16</v>
      </c>
      <c r="H1474">
        <v>1.5831594325221111E-12</v>
      </c>
      <c r="I1474" t="s">
        <v>2231</v>
      </c>
      <c r="L1474" t="s">
        <v>2295</v>
      </c>
    </row>
    <row r="1475" spans="1:12" hidden="1" x14ac:dyDescent="0.25">
      <c r="A1475" s="516">
        <v>1450</v>
      </c>
      <c r="B1475" t="s">
        <v>441</v>
      </c>
      <c r="C1475" t="s">
        <v>432</v>
      </c>
      <c r="D1475" t="s">
        <v>2292</v>
      </c>
      <c r="E1475">
        <v>4</v>
      </c>
      <c r="F1475">
        <v>7.3605420357951388E-6</v>
      </c>
      <c r="G1475">
        <v>1.6400264451366151E-10</v>
      </c>
      <c r="H1475">
        <v>1.5637872242419301E-9</v>
      </c>
      <c r="I1475" t="s">
        <v>2231</v>
      </c>
      <c r="L1475" t="s">
        <v>2295</v>
      </c>
    </row>
    <row r="1476" spans="1:12" hidden="1" x14ac:dyDescent="0.25">
      <c r="A1476" s="516">
        <v>1451</v>
      </c>
      <c r="B1476" t="s">
        <v>441</v>
      </c>
      <c r="C1476" t="s">
        <v>432</v>
      </c>
      <c r="D1476" t="s">
        <v>2292</v>
      </c>
      <c r="E1476">
        <v>4</v>
      </c>
      <c r="F1476">
        <v>9.8868331038392041E-5</v>
      </c>
      <c r="G1476">
        <v>2.2029176207532909E-9</v>
      </c>
      <c r="H1476">
        <v>1.068306032931589E-7</v>
      </c>
      <c r="I1476" t="s">
        <v>2231</v>
      </c>
      <c r="L1476" t="s">
        <v>2295</v>
      </c>
    </row>
    <row r="1477" spans="1:12" hidden="1" x14ac:dyDescent="0.25">
      <c r="A1477" s="516">
        <v>1452</v>
      </c>
      <c r="B1477" t="s">
        <v>441</v>
      </c>
      <c r="C1477" t="s">
        <v>432</v>
      </c>
      <c r="D1477" t="s">
        <v>2292</v>
      </c>
      <c r="E1477">
        <v>4</v>
      </c>
      <c r="F1477">
        <v>1.051495266145965E-5</v>
      </c>
      <c r="G1477">
        <v>2.3428709937787268E-10</v>
      </c>
      <c r="H1477">
        <v>8.3836450444873882E-10</v>
      </c>
      <c r="I1477" t="s">
        <v>2231</v>
      </c>
      <c r="L1477" t="s">
        <v>2295</v>
      </c>
    </row>
    <row r="1478" spans="1:12" hidden="1" x14ac:dyDescent="0.25">
      <c r="A1478" s="516">
        <v>1453</v>
      </c>
      <c r="B1478" t="s">
        <v>441</v>
      </c>
      <c r="C1478" t="s">
        <v>432</v>
      </c>
      <c r="D1478" t="s">
        <v>2292</v>
      </c>
      <c r="E1478">
        <v>4</v>
      </c>
      <c r="F1478">
        <v>6.2020275836151347E-6</v>
      </c>
      <c r="G1478">
        <v>1.3818940508906099E-10</v>
      </c>
      <c r="H1478">
        <v>2.4503857874028319E-7</v>
      </c>
      <c r="I1478" t="s">
        <v>2231</v>
      </c>
      <c r="L1478" t="s">
        <v>2295</v>
      </c>
    </row>
    <row r="1479" spans="1:12" hidden="1" x14ac:dyDescent="0.25">
      <c r="A1479" s="516">
        <v>1454</v>
      </c>
      <c r="B1479" t="s">
        <v>441</v>
      </c>
      <c r="C1479" t="s">
        <v>432</v>
      </c>
      <c r="D1479" t="s">
        <v>2292</v>
      </c>
      <c r="E1479">
        <v>4</v>
      </c>
      <c r="F1479">
        <v>7.122162301374484E-7</v>
      </c>
      <c r="G1479">
        <v>1.5869122768412251E-11</v>
      </c>
      <c r="H1479">
        <v>2.57972749659869E-8</v>
      </c>
      <c r="I1479" t="s">
        <v>2231</v>
      </c>
      <c r="L1479" t="s">
        <v>2295</v>
      </c>
    </row>
    <row r="1480" spans="1:12" hidden="1" x14ac:dyDescent="0.25">
      <c r="A1480" s="516">
        <v>1455</v>
      </c>
      <c r="B1480" t="s">
        <v>441</v>
      </c>
      <c r="C1480" t="s">
        <v>432</v>
      </c>
      <c r="D1480" t="s">
        <v>2292</v>
      </c>
      <c r="E1480">
        <v>4</v>
      </c>
      <c r="F1480">
        <v>1.1322494947950159E-5</v>
      </c>
      <c r="G1480">
        <v>2.5228021318620189E-10</v>
      </c>
      <c r="H1480">
        <v>2.5683567968891642E-7</v>
      </c>
      <c r="I1480" t="s">
        <v>2231</v>
      </c>
      <c r="L1480" t="s">
        <v>2295</v>
      </c>
    </row>
    <row r="1481" spans="1:12" hidden="1" x14ac:dyDescent="0.25">
      <c r="A1481" s="516">
        <v>1456</v>
      </c>
      <c r="B1481" t="s">
        <v>441</v>
      </c>
      <c r="C1481" t="s">
        <v>432</v>
      </c>
      <c r="D1481" t="s">
        <v>2292</v>
      </c>
      <c r="E1481">
        <v>4</v>
      </c>
      <c r="F1481">
        <v>2.6115245562797949E-6</v>
      </c>
      <c r="G1481">
        <v>5.8188232790383763E-11</v>
      </c>
      <c r="H1481">
        <v>2.581859502794226E-7</v>
      </c>
      <c r="I1481" t="s">
        <v>2231</v>
      </c>
      <c r="L1481" t="s">
        <v>2295</v>
      </c>
    </row>
    <row r="1482" spans="1:12" x14ac:dyDescent="0.25">
      <c r="A1482" s="516">
        <v>1457</v>
      </c>
      <c r="B1482" t="s">
        <v>441</v>
      </c>
      <c r="C1482" t="s">
        <v>432</v>
      </c>
      <c r="D1482" t="s">
        <v>2292</v>
      </c>
      <c r="E1482">
        <v>3</v>
      </c>
      <c r="F1482">
        <v>2.101517563732289E-5</v>
      </c>
      <c r="G1482">
        <v>4.6824600181333053E-10</v>
      </c>
      <c r="H1482">
        <v>5.3300154888402678E-6</v>
      </c>
      <c r="I1482" t="s">
        <v>2231</v>
      </c>
    </row>
    <row r="1483" spans="1:12" x14ac:dyDescent="0.25">
      <c r="A1483" s="516">
        <v>1458</v>
      </c>
      <c r="B1483" t="s">
        <v>441</v>
      </c>
      <c r="C1483" t="s">
        <v>432</v>
      </c>
      <c r="D1483" t="s">
        <v>2292</v>
      </c>
      <c r="E1483">
        <v>3</v>
      </c>
      <c r="F1483">
        <v>8.0485074878661512E-6</v>
      </c>
      <c r="G1483">
        <v>1.7933142776426809E-10</v>
      </c>
      <c r="H1483">
        <v>6.6625193610503347E-7</v>
      </c>
      <c r="I1483" t="s">
        <v>2231</v>
      </c>
    </row>
    <row r="1484" spans="1:12" x14ac:dyDescent="0.25">
      <c r="A1484" s="516">
        <v>1459</v>
      </c>
      <c r="B1484" t="s">
        <v>441</v>
      </c>
      <c r="C1484" t="s">
        <v>432</v>
      </c>
      <c r="D1484" t="s">
        <v>2292</v>
      </c>
      <c r="E1484">
        <v>3</v>
      </c>
      <c r="F1484">
        <v>4.9283544210828581E-4</v>
      </c>
      <c r="G1484">
        <v>1.0981027677411659E-8</v>
      </c>
      <c r="H1484">
        <v>7.5508552758570464E-7</v>
      </c>
      <c r="I1484" t="s">
        <v>2245</v>
      </c>
      <c r="J1484" t="s">
        <v>462</v>
      </c>
      <c r="K1484" t="s">
        <v>417</v>
      </c>
    </row>
    <row r="1485" spans="1:12" hidden="1" x14ac:dyDescent="0.25">
      <c r="A1485" s="516">
        <v>1460</v>
      </c>
      <c r="B1485" t="s">
        <v>441</v>
      </c>
      <c r="C1485" t="s">
        <v>432</v>
      </c>
      <c r="D1485" t="s">
        <v>2292</v>
      </c>
      <c r="E1485">
        <v>4</v>
      </c>
      <c r="F1485">
        <v>3.8340122880501439E-4</v>
      </c>
      <c r="G1485">
        <v>8.5426881781291451E-9</v>
      </c>
      <c r="H1485">
        <v>6.1113945710942813E-7</v>
      </c>
      <c r="I1485" t="s">
        <v>2246</v>
      </c>
      <c r="J1485" t="s">
        <v>1992</v>
      </c>
      <c r="K1485" t="s">
        <v>417</v>
      </c>
      <c r="L1485" t="s">
        <v>2295</v>
      </c>
    </row>
    <row r="1486" spans="1:12" hidden="1" x14ac:dyDescent="0.25">
      <c r="A1486" s="516">
        <v>1461</v>
      </c>
      <c r="B1486" t="s">
        <v>441</v>
      </c>
      <c r="C1486" t="s">
        <v>432</v>
      </c>
      <c r="D1486" t="s">
        <v>2292</v>
      </c>
      <c r="E1486">
        <v>4</v>
      </c>
      <c r="F1486">
        <v>8.4915738964906203E-5</v>
      </c>
      <c r="G1486">
        <v>1.8920353532865811E-9</v>
      </c>
      <c r="H1486">
        <v>1.4394607047618739E-7</v>
      </c>
      <c r="I1486" t="s">
        <v>2231</v>
      </c>
      <c r="L1486" t="s">
        <v>2295</v>
      </c>
    </row>
    <row r="1487" spans="1:12" hidden="1" x14ac:dyDescent="0.25">
      <c r="A1487" s="516">
        <v>1462</v>
      </c>
      <c r="B1487" t="s">
        <v>441</v>
      </c>
      <c r="C1487" t="s">
        <v>432</v>
      </c>
      <c r="D1487" t="s">
        <v>2292</v>
      </c>
      <c r="E1487">
        <v>4</v>
      </c>
      <c r="F1487">
        <v>2.8918919916778699E-18</v>
      </c>
      <c r="G1487">
        <v>6.4435191318327327E-23</v>
      </c>
      <c r="H1487">
        <v>2.214554930402883E-20</v>
      </c>
      <c r="I1487" t="s">
        <v>2231</v>
      </c>
      <c r="L1487" t="s">
        <v>2295</v>
      </c>
    </row>
    <row r="1488" spans="1:12" hidden="1" x14ac:dyDescent="0.25">
      <c r="A1488" s="516">
        <v>1463</v>
      </c>
      <c r="B1488" t="s">
        <v>441</v>
      </c>
      <c r="C1488" t="s">
        <v>432</v>
      </c>
      <c r="D1488" t="s">
        <v>2292</v>
      </c>
      <c r="E1488">
        <v>4</v>
      </c>
      <c r="F1488">
        <v>2.5285919771364631E-18</v>
      </c>
      <c r="G1488">
        <v>5.6340384869714208E-23</v>
      </c>
      <c r="H1488">
        <v>2.214554930402883E-20</v>
      </c>
      <c r="I1488" t="s">
        <v>2231</v>
      </c>
      <c r="L1488" t="s">
        <v>2295</v>
      </c>
    </row>
    <row r="1489" spans="1:12" hidden="1" x14ac:dyDescent="0.25">
      <c r="A1489" s="516">
        <v>1464</v>
      </c>
      <c r="B1489" t="s">
        <v>441</v>
      </c>
      <c r="C1489" t="s">
        <v>432</v>
      </c>
      <c r="D1489" t="s">
        <v>2292</v>
      </c>
      <c r="E1489">
        <v>4</v>
      </c>
      <c r="F1489">
        <v>1.167839427429023E-18</v>
      </c>
      <c r="G1489">
        <v>2.6021012248045639E-23</v>
      </c>
      <c r="H1489">
        <v>2.214554930402883E-20</v>
      </c>
      <c r="I1489" t="s">
        <v>2231</v>
      </c>
      <c r="L1489" t="s">
        <v>2295</v>
      </c>
    </row>
    <row r="1490" spans="1:12" hidden="1" x14ac:dyDescent="0.25">
      <c r="A1490" s="516">
        <v>1465</v>
      </c>
      <c r="B1490" t="s">
        <v>441</v>
      </c>
      <c r="C1490" t="s">
        <v>432</v>
      </c>
      <c r="D1490" t="s">
        <v>2292</v>
      </c>
      <c r="E1490">
        <v>4</v>
      </c>
      <c r="F1490">
        <v>3.5157930316753921E-18</v>
      </c>
      <c r="G1490">
        <v>7.8336534449963112E-23</v>
      </c>
      <c r="H1490">
        <v>2.214554930402883E-20</v>
      </c>
      <c r="I1490" t="s">
        <v>2231</v>
      </c>
      <c r="L1490" t="s">
        <v>2295</v>
      </c>
    </row>
    <row r="1491" spans="1:12" hidden="1" x14ac:dyDescent="0.25">
      <c r="A1491" s="516">
        <v>1466</v>
      </c>
      <c r="B1491" t="s">
        <v>441</v>
      </c>
      <c r="C1491" t="s">
        <v>432</v>
      </c>
      <c r="D1491" t="s">
        <v>2292</v>
      </c>
      <c r="E1491">
        <v>4</v>
      </c>
      <c r="F1491">
        <v>5.5174976757585428E-6</v>
      </c>
      <c r="G1491">
        <v>1.2293717032276001E-10</v>
      </c>
      <c r="H1491">
        <v>2.1799319181399291E-7</v>
      </c>
      <c r="I1491" t="s">
        <v>2231</v>
      </c>
      <c r="L1491" t="s">
        <v>2295</v>
      </c>
    </row>
    <row r="1492" spans="1:12" hidden="1" x14ac:dyDescent="0.25">
      <c r="A1492" s="516">
        <v>1467</v>
      </c>
      <c r="B1492" t="s">
        <v>441</v>
      </c>
      <c r="C1492" t="s">
        <v>432</v>
      </c>
      <c r="D1492" t="s">
        <v>2292</v>
      </c>
      <c r="E1492">
        <v>4</v>
      </c>
      <c r="F1492">
        <v>1.4992750297015909E-5</v>
      </c>
      <c r="G1492">
        <v>3.3405837304996382E-10</v>
      </c>
      <c r="H1492">
        <v>3.4009052162460141E-7</v>
      </c>
      <c r="I1492" t="s">
        <v>2231</v>
      </c>
      <c r="L1492" t="s">
        <v>2295</v>
      </c>
    </row>
    <row r="1493" spans="1:12" hidden="1" x14ac:dyDescent="0.25">
      <c r="A1493" s="516">
        <v>1468</v>
      </c>
      <c r="B1493" t="s">
        <v>441</v>
      </c>
      <c r="C1493" t="s">
        <v>432</v>
      </c>
      <c r="D1493" t="s">
        <v>2292</v>
      </c>
      <c r="E1493">
        <v>4</v>
      </c>
      <c r="F1493">
        <v>4.0082193575051364E-6</v>
      </c>
      <c r="G1493">
        <v>8.9308446473762831E-11</v>
      </c>
      <c r="H1493">
        <v>3.9626888487697791E-7</v>
      </c>
      <c r="I1493" t="s">
        <v>2231</v>
      </c>
      <c r="L1493" t="s">
        <v>2295</v>
      </c>
    </row>
    <row r="1494" spans="1:12" x14ac:dyDescent="0.25">
      <c r="A1494" s="516">
        <v>1469</v>
      </c>
      <c r="B1494" t="s">
        <v>441</v>
      </c>
      <c r="C1494" t="s">
        <v>432</v>
      </c>
      <c r="D1494" t="s">
        <v>2292</v>
      </c>
      <c r="E1494">
        <v>3</v>
      </c>
      <c r="F1494">
        <v>8.2122034785344507E-6</v>
      </c>
      <c r="G1494">
        <v>1.8297879167243239E-10</v>
      </c>
      <c r="H1494">
        <v>-7.1066873184536906E-7</v>
      </c>
      <c r="I1494" t="s">
        <v>2231</v>
      </c>
    </row>
    <row r="1495" spans="1:12" x14ac:dyDescent="0.25">
      <c r="A1495" s="516">
        <v>1470</v>
      </c>
      <c r="B1495" t="s">
        <v>441</v>
      </c>
      <c r="C1495" t="s">
        <v>432</v>
      </c>
      <c r="D1495" t="s">
        <v>2292</v>
      </c>
      <c r="E1495">
        <v>3</v>
      </c>
      <c r="F1495">
        <v>5.5784295362826594E-6</v>
      </c>
      <c r="G1495">
        <v>1.2429481303609501E-10</v>
      </c>
      <c r="H1495">
        <v>-7.1066873184536906E-7</v>
      </c>
      <c r="I1495" t="s">
        <v>2231</v>
      </c>
    </row>
    <row r="1496" spans="1:12" x14ac:dyDescent="0.25">
      <c r="A1496" s="516">
        <v>1471</v>
      </c>
      <c r="B1496" t="s">
        <v>441</v>
      </c>
      <c r="C1496" t="s">
        <v>432</v>
      </c>
      <c r="D1496" t="s">
        <v>2292</v>
      </c>
      <c r="E1496">
        <v>3</v>
      </c>
      <c r="F1496">
        <v>4.2020656566258048E-4</v>
      </c>
      <c r="G1496">
        <v>9.3627599265822352E-9</v>
      </c>
      <c r="H1496">
        <v>-8.7634337995682083E-5</v>
      </c>
      <c r="I1496" t="s">
        <v>533</v>
      </c>
      <c r="J1496" t="s">
        <v>432</v>
      </c>
      <c r="K1496" t="s">
        <v>417</v>
      </c>
    </row>
    <row r="1497" spans="1:12" hidden="1" x14ac:dyDescent="0.25">
      <c r="A1497" s="516">
        <v>1472</v>
      </c>
      <c r="B1497" t="s">
        <v>441</v>
      </c>
      <c r="C1497" t="s">
        <v>432</v>
      </c>
      <c r="D1497" t="s">
        <v>2292</v>
      </c>
      <c r="E1497">
        <v>4</v>
      </c>
      <c r="F1497">
        <v>-2.09462524321801E-4</v>
      </c>
      <c r="G1497">
        <v>-4.6671030133681596E-9</v>
      </c>
      <c r="H1497">
        <v>6.7460078776333243E-5</v>
      </c>
      <c r="I1497" t="s">
        <v>2287</v>
      </c>
      <c r="J1497" t="s">
        <v>432</v>
      </c>
      <c r="K1497" t="s">
        <v>417</v>
      </c>
      <c r="L1497" t="s">
        <v>2295</v>
      </c>
    </row>
    <row r="1498" spans="1:12" hidden="1" x14ac:dyDescent="0.25">
      <c r="A1498" s="516">
        <v>1473</v>
      </c>
      <c r="B1498" t="s">
        <v>441</v>
      </c>
      <c r="C1498" t="s">
        <v>432</v>
      </c>
      <c r="D1498" t="s">
        <v>2292</v>
      </c>
      <c r="E1498">
        <v>4</v>
      </c>
      <c r="F1498">
        <v>-1.020136237748077E-4</v>
      </c>
      <c r="G1498">
        <v>-2.2729989169449598E-9</v>
      </c>
      <c r="H1498">
        <v>2.017425921934883E-5</v>
      </c>
      <c r="I1498" t="s">
        <v>2288</v>
      </c>
      <c r="J1498" t="s">
        <v>432</v>
      </c>
      <c r="K1498" t="s">
        <v>417</v>
      </c>
      <c r="L1498" t="s">
        <v>2295</v>
      </c>
    </row>
    <row r="1499" spans="1:12" hidden="1" x14ac:dyDescent="0.25">
      <c r="A1499" s="516">
        <v>1474</v>
      </c>
      <c r="B1499" t="s">
        <v>441</v>
      </c>
      <c r="C1499" t="s">
        <v>432</v>
      </c>
      <c r="D1499" t="s">
        <v>2292</v>
      </c>
      <c r="E1499">
        <v>4</v>
      </c>
      <c r="F1499">
        <v>-1.689933869771001E-6</v>
      </c>
      <c r="G1499">
        <v>-3.7653969279411857E-11</v>
      </c>
      <c r="H1499">
        <v>-3.1197824326462818E-7</v>
      </c>
      <c r="I1499" t="s">
        <v>2231</v>
      </c>
      <c r="L1499" t="s">
        <v>2295</v>
      </c>
    </row>
    <row r="1500" spans="1:12" hidden="1" x14ac:dyDescent="0.25">
      <c r="A1500" s="516">
        <v>1475</v>
      </c>
      <c r="B1500" t="s">
        <v>441</v>
      </c>
      <c r="C1500" t="s">
        <v>432</v>
      </c>
      <c r="D1500" t="s">
        <v>2292</v>
      </c>
      <c r="E1500">
        <v>4</v>
      </c>
      <c r="F1500">
        <v>-1.070404858050381E-4</v>
      </c>
      <c r="G1500">
        <v>-2.385004073977398E-9</v>
      </c>
      <c r="H1500">
        <v>-2.2583368901487269E-6</v>
      </c>
      <c r="I1500" t="s">
        <v>2266</v>
      </c>
      <c r="J1500" t="s">
        <v>419</v>
      </c>
      <c r="K1500" t="s">
        <v>925</v>
      </c>
      <c r="L1500" t="s">
        <v>2295</v>
      </c>
    </row>
    <row r="1501" spans="1:12" x14ac:dyDescent="0.25">
      <c r="A1501" s="516">
        <v>1476</v>
      </c>
      <c r="B1501" t="s">
        <v>441</v>
      </c>
      <c r="C1501" t="s">
        <v>432</v>
      </c>
      <c r="D1501" t="s">
        <v>2292</v>
      </c>
      <c r="E1501">
        <v>3</v>
      </c>
      <c r="F1501">
        <v>5.8527557446421533E-5</v>
      </c>
      <c r="G1501">
        <v>1.3040716500848639E-9</v>
      </c>
      <c r="H1501">
        <v>7.1066873184536906E-7</v>
      </c>
      <c r="I1501" t="s">
        <v>2231</v>
      </c>
    </row>
    <row r="1502" spans="1:12" x14ac:dyDescent="0.25">
      <c r="A1502" s="516">
        <v>1477</v>
      </c>
      <c r="B1502" t="s">
        <v>441</v>
      </c>
      <c r="C1502" t="s">
        <v>432</v>
      </c>
      <c r="D1502" t="s">
        <v>2292</v>
      </c>
      <c r="E1502">
        <v>3</v>
      </c>
      <c r="F1502">
        <v>8.6789141814415136E-5</v>
      </c>
      <c r="G1502">
        <v>1.9337772549107731E-9</v>
      </c>
      <c r="H1502">
        <v>1.0215863020277181E-6</v>
      </c>
      <c r="I1502" t="s">
        <v>2231</v>
      </c>
    </row>
    <row r="1503" spans="1:12" x14ac:dyDescent="0.25">
      <c r="A1503" s="516">
        <v>1478</v>
      </c>
      <c r="B1503" t="s">
        <v>441</v>
      </c>
      <c r="C1503" t="s">
        <v>432</v>
      </c>
      <c r="D1503" t="s">
        <v>2292</v>
      </c>
      <c r="E1503">
        <v>3</v>
      </c>
      <c r="F1503">
        <v>4.3790238324784509E-3</v>
      </c>
      <c r="G1503">
        <v>9.7570462259744825E-8</v>
      </c>
      <c r="H1503">
        <v>8.661275169365436E-5</v>
      </c>
      <c r="I1503" t="s">
        <v>2247</v>
      </c>
      <c r="J1503" t="s">
        <v>419</v>
      </c>
      <c r="K1503" t="s">
        <v>417</v>
      </c>
    </row>
    <row r="1504" spans="1:12" hidden="1" x14ac:dyDescent="0.25">
      <c r="A1504" s="516">
        <v>1479</v>
      </c>
      <c r="B1504" t="s">
        <v>441</v>
      </c>
      <c r="C1504" t="s">
        <v>432</v>
      </c>
      <c r="D1504" t="s">
        <v>2292</v>
      </c>
      <c r="E1504">
        <v>4</v>
      </c>
      <c r="F1504">
        <v>7.0839947991341945E-7</v>
      </c>
      <c r="G1504">
        <v>1.578408050832532E-11</v>
      </c>
      <c r="H1504">
        <v>-1.671626107687529E-8</v>
      </c>
      <c r="I1504" t="s">
        <v>2231</v>
      </c>
      <c r="L1504" t="s">
        <v>2295</v>
      </c>
    </row>
    <row r="1505" spans="1:12" hidden="1" x14ac:dyDescent="0.25">
      <c r="A1505" s="516">
        <v>1480</v>
      </c>
      <c r="B1505" t="s">
        <v>441</v>
      </c>
      <c r="C1505" t="s">
        <v>432</v>
      </c>
      <c r="D1505" t="s">
        <v>2292</v>
      </c>
      <c r="E1505">
        <v>4</v>
      </c>
      <c r="F1505">
        <v>3.7444331251385938E-10</v>
      </c>
      <c r="G1505">
        <v>8.3430939153782601E-15</v>
      </c>
      <c r="H1505">
        <v>1.368481476759739E-12</v>
      </c>
      <c r="I1505" t="s">
        <v>2231</v>
      </c>
      <c r="L1505" t="s">
        <v>2295</v>
      </c>
    </row>
    <row r="1506" spans="1:12" hidden="1" x14ac:dyDescent="0.25">
      <c r="A1506" s="516">
        <v>1481</v>
      </c>
      <c r="B1506" t="s">
        <v>441</v>
      </c>
      <c r="C1506" t="s">
        <v>432</v>
      </c>
      <c r="D1506" t="s">
        <v>2292</v>
      </c>
      <c r="E1506">
        <v>4</v>
      </c>
      <c r="F1506">
        <v>7.1857298278602021E-4</v>
      </c>
      <c r="G1506">
        <v>1.601075965327957E-8</v>
      </c>
      <c r="H1506">
        <v>1.9434314734445009E-5</v>
      </c>
      <c r="I1506" t="s">
        <v>481</v>
      </c>
      <c r="J1506" t="s">
        <v>419</v>
      </c>
      <c r="K1506" t="s">
        <v>433</v>
      </c>
      <c r="L1506" t="s">
        <v>2295</v>
      </c>
    </row>
    <row r="1507" spans="1:12" hidden="1" x14ac:dyDescent="0.25">
      <c r="A1507" s="516">
        <v>1482</v>
      </c>
      <c r="B1507" t="s">
        <v>441</v>
      </c>
      <c r="C1507" t="s">
        <v>432</v>
      </c>
      <c r="D1507" t="s">
        <v>2292</v>
      </c>
      <c r="E1507">
        <v>4</v>
      </c>
      <c r="F1507">
        <v>4.1505951875273322E-4</v>
      </c>
      <c r="G1507">
        <v>9.2480768909381562E-9</v>
      </c>
      <c r="H1507">
        <v>8.6297481277489464E-5</v>
      </c>
      <c r="I1507" t="s">
        <v>2248</v>
      </c>
      <c r="J1507" t="s">
        <v>419</v>
      </c>
      <c r="K1507" t="s">
        <v>434</v>
      </c>
      <c r="L1507" t="s">
        <v>2295</v>
      </c>
    </row>
    <row r="1508" spans="1:12" hidden="1" x14ac:dyDescent="0.25">
      <c r="A1508" s="516">
        <v>1483</v>
      </c>
      <c r="B1508" t="s">
        <v>441</v>
      </c>
      <c r="C1508" t="s">
        <v>432</v>
      </c>
      <c r="D1508" t="s">
        <v>2292</v>
      </c>
      <c r="E1508">
        <v>4</v>
      </c>
      <c r="F1508">
        <v>6.448198301271327E-5</v>
      </c>
      <c r="G1508">
        <v>1.436744153642696E-9</v>
      </c>
      <c r="H1508">
        <v>6.2827331049046386E-6</v>
      </c>
      <c r="I1508" t="s">
        <v>2231</v>
      </c>
      <c r="L1508" t="s">
        <v>2295</v>
      </c>
    </row>
    <row r="1509" spans="1:12" hidden="1" x14ac:dyDescent="0.25">
      <c r="A1509" s="516">
        <v>1484</v>
      </c>
      <c r="B1509" t="s">
        <v>441</v>
      </c>
      <c r="C1509" t="s">
        <v>432</v>
      </c>
      <c r="D1509" t="s">
        <v>2292</v>
      </c>
      <c r="E1509">
        <v>4</v>
      </c>
      <c r="F1509">
        <v>3.0729413673177979E-6</v>
      </c>
      <c r="G1509">
        <v>6.8469211672819845E-11</v>
      </c>
      <c r="H1509">
        <v>3.4385262422380778E-8</v>
      </c>
      <c r="I1509" t="s">
        <v>2231</v>
      </c>
      <c r="L1509" t="s">
        <v>2295</v>
      </c>
    </row>
    <row r="1510" spans="1:12" hidden="1" x14ac:dyDescent="0.25">
      <c r="A1510" s="516">
        <v>1485</v>
      </c>
      <c r="B1510" t="s">
        <v>441</v>
      </c>
      <c r="C1510" t="s">
        <v>432</v>
      </c>
      <c r="D1510" t="s">
        <v>2292</v>
      </c>
      <c r="E1510">
        <v>4</v>
      </c>
      <c r="F1510">
        <v>5.2577198324550945E-7</v>
      </c>
      <c r="G1510">
        <v>1.171489752305193E-11</v>
      </c>
      <c r="H1510">
        <v>2.4598021480997841E-9</v>
      </c>
      <c r="I1510" t="s">
        <v>2231</v>
      </c>
      <c r="L1510" t="s">
        <v>2295</v>
      </c>
    </row>
    <row r="1511" spans="1:12" hidden="1" x14ac:dyDescent="0.25">
      <c r="A1511" s="516">
        <v>1486</v>
      </c>
      <c r="B1511" t="s">
        <v>441</v>
      </c>
      <c r="C1511" t="s">
        <v>432</v>
      </c>
      <c r="D1511" t="s">
        <v>2292</v>
      </c>
      <c r="E1511">
        <v>4</v>
      </c>
      <c r="F1511">
        <v>2.9396226282912219E-7</v>
      </c>
      <c r="G1511">
        <v>6.5498693243979279E-12</v>
      </c>
      <c r="H1511">
        <v>4.6944111417960666E-9</v>
      </c>
      <c r="I1511" t="s">
        <v>2231</v>
      </c>
      <c r="L1511" t="s">
        <v>2295</v>
      </c>
    </row>
    <row r="1512" spans="1:12" hidden="1" x14ac:dyDescent="0.25">
      <c r="A1512" s="516">
        <v>1487</v>
      </c>
      <c r="B1512" t="s">
        <v>441</v>
      </c>
      <c r="C1512" t="s">
        <v>432</v>
      </c>
      <c r="D1512" t="s">
        <v>2292</v>
      </c>
      <c r="E1512">
        <v>4</v>
      </c>
      <c r="F1512">
        <v>5.6688730105907944E-4</v>
      </c>
      <c r="G1512">
        <v>1.2631001366852159E-8</v>
      </c>
      <c r="H1512">
        <v>3.9755253027387352E-7</v>
      </c>
      <c r="I1512" t="s">
        <v>502</v>
      </c>
      <c r="J1512" t="s">
        <v>419</v>
      </c>
      <c r="K1512" t="s">
        <v>417</v>
      </c>
      <c r="L1512" t="s">
        <v>2295</v>
      </c>
    </row>
    <row r="1513" spans="1:12" hidden="1" x14ac:dyDescent="0.25">
      <c r="A1513" s="516">
        <v>1488</v>
      </c>
      <c r="B1513" t="s">
        <v>441</v>
      </c>
      <c r="C1513" t="s">
        <v>432</v>
      </c>
      <c r="D1513" t="s">
        <v>2292</v>
      </c>
      <c r="E1513">
        <v>4</v>
      </c>
      <c r="F1513">
        <v>7.656124152550311E-7</v>
      </c>
      <c r="G1513">
        <v>1.705886063331917E-11</v>
      </c>
      <c r="H1513">
        <v>-3.1007365106328259E-8</v>
      </c>
      <c r="I1513" t="s">
        <v>2231</v>
      </c>
      <c r="L1513" t="s">
        <v>2295</v>
      </c>
    </row>
    <row r="1514" spans="1:12" hidden="1" x14ac:dyDescent="0.25">
      <c r="A1514" s="516">
        <v>1489</v>
      </c>
      <c r="B1514" t="s">
        <v>441</v>
      </c>
      <c r="C1514" t="s">
        <v>432</v>
      </c>
      <c r="D1514" t="s">
        <v>2292</v>
      </c>
      <c r="E1514">
        <v>4</v>
      </c>
      <c r="F1514">
        <v>6.419639512778993E-6</v>
      </c>
      <c r="G1514">
        <v>1.4303808765714259E-10</v>
      </c>
      <c r="H1514">
        <v>7.3534226187912552E-9</v>
      </c>
      <c r="I1514" t="s">
        <v>2231</v>
      </c>
      <c r="L1514" t="s">
        <v>2295</v>
      </c>
    </row>
    <row r="1515" spans="1:12" hidden="1" x14ac:dyDescent="0.25">
      <c r="A1515" s="516">
        <v>1490</v>
      </c>
      <c r="B1515" t="s">
        <v>441</v>
      </c>
      <c r="C1515" t="s">
        <v>432</v>
      </c>
      <c r="D1515" t="s">
        <v>2292</v>
      </c>
      <c r="E1515">
        <v>4</v>
      </c>
      <c r="F1515">
        <v>3.9953384607383093E-6</v>
      </c>
      <c r="G1515">
        <v>8.9021442999943421E-11</v>
      </c>
      <c r="H1515">
        <v>1.4031265774372009E-13</v>
      </c>
      <c r="I1515" t="s">
        <v>2231</v>
      </c>
      <c r="L1515" t="s">
        <v>2295</v>
      </c>
    </row>
    <row r="1516" spans="1:12" hidden="1" x14ac:dyDescent="0.25">
      <c r="A1516" s="516">
        <v>1491</v>
      </c>
      <c r="B1516" t="s">
        <v>441</v>
      </c>
      <c r="C1516" t="s">
        <v>432</v>
      </c>
      <c r="D1516" t="s">
        <v>2292</v>
      </c>
      <c r="E1516">
        <v>4</v>
      </c>
      <c r="F1516">
        <v>4.7734429071216414E-6</v>
      </c>
      <c r="G1516">
        <v>1.063586426646037E-10</v>
      </c>
      <c r="H1516">
        <v>1.6023359063326059E-10</v>
      </c>
      <c r="I1516" t="s">
        <v>2231</v>
      </c>
      <c r="L1516" t="s">
        <v>2295</v>
      </c>
    </row>
    <row r="1517" spans="1:12" hidden="1" x14ac:dyDescent="0.25">
      <c r="A1517" s="516">
        <v>1492</v>
      </c>
      <c r="B1517" t="s">
        <v>441</v>
      </c>
      <c r="C1517" t="s">
        <v>432</v>
      </c>
      <c r="D1517" t="s">
        <v>2292</v>
      </c>
      <c r="E1517">
        <v>4</v>
      </c>
      <c r="F1517">
        <v>3.8248209888205434E-6</v>
      </c>
      <c r="G1517">
        <v>8.522208743695644E-11</v>
      </c>
      <c r="H1517">
        <v>3.8715900007063501E-9</v>
      </c>
      <c r="I1517" t="s">
        <v>2231</v>
      </c>
      <c r="L1517" t="s">
        <v>2295</v>
      </c>
    </row>
    <row r="1518" spans="1:12" hidden="1" x14ac:dyDescent="0.25">
      <c r="A1518" s="516">
        <v>1493</v>
      </c>
      <c r="B1518" t="s">
        <v>441</v>
      </c>
      <c r="C1518" t="s">
        <v>432</v>
      </c>
      <c r="D1518" t="s">
        <v>2292</v>
      </c>
      <c r="E1518">
        <v>4</v>
      </c>
      <c r="F1518">
        <v>7.3776318892537369E-5</v>
      </c>
      <c r="G1518">
        <v>1.643834291281547E-9</v>
      </c>
      <c r="H1518">
        <v>-1.740916309042453E-6</v>
      </c>
      <c r="I1518" t="s">
        <v>2231</v>
      </c>
      <c r="L1518" t="s">
        <v>2295</v>
      </c>
    </row>
    <row r="1519" spans="1:12" hidden="1" x14ac:dyDescent="0.25">
      <c r="A1519" s="516">
        <v>1494</v>
      </c>
      <c r="B1519" t="s">
        <v>441</v>
      </c>
      <c r="C1519" t="s">
        <v>432</v>
      </c>
      <c r="D1519" t="s">
        <v>2292</v>
      </c>
      <c r="E1519">
        <v>4</v>
      </c>
      <c r="F1519">
        <v>6.2935146829512346E-6</v>
      </c>
      <c r="G1519">
        <v>1.4022785907207439E-10</v>
      </c>
      <c r="H1519">
        <v>1.299191275404815E-8</v>
      </c>
      <c r="I1519" t="s">
        <v>2231</v>
      </c>
      <c r="L1519" t="s">
        <v>2295</v>
      </c>
    </row>
    <row r="1520" spans="1:12" hidden="1" x14ac:dyDescent="0.25">
      <c r="A1520" s="516">
        <v>1495</v>
      </c>
      <c r="B1520" t="s">
        <v>441</v>
      </c>
      <c r="C1520" t="s">
        <v>432</v>
      </c>
      <c r="D1520" t="s">
        <v>2292</v>
      </c>
      <c r="E1520">
        <v>4</v>
      </c>
      <c r="F1520">
        <v>5.8041823183941184E-6</v>
      </c>
      <c r="G1520">
        <v>1.2932488461133269E-10</v>
      </c>
      <c r="H1520">
        <v>-6.8424073837986952E-7</v>
      </c>
      <c r="I1520" t="s">
        <v>2231</v>
      </c>
      <c r="L1520" t="s">
        <v>2295</v>
      </c>
    </row>
    <row r="1521" spans="1:12" hidden="1" x14ac:dyDescent="0.25">
      <c r="A1521" s="516">
        <v>1496</v>
      </c>
      <c r="B1521" t="s">
        <v>441</v>
      </c>
      <c r="C1521" t="s">
        <v>432</v>
      </c>
      <c r="D1521" t="s">
        <v>2292</v>
      </c>
      <c r="E1521">
        <v>4</v>
      </c>
      <c r="F1521">
        <v>6.3137714025998364E-6</v>
      </c>
      <c r="G1521">
        <v>1.4067920566793459E-10</v>
      </c>
      <c r="H1521">
        <v>2.0440609399702429E-8</v>
      </c>
      <c r="I1521" t="s">
        <v>2231</v>
      </c>
      <c r="L1521" t="s">
        <v>2295</v>
      </c>
    </row>
    <row r="1522" spans="1:12" hidden="1" x14ac:dyDescent="0.25">
      <c r="A1522" s="516">
        <v>1497</v>
      </c>
      <c r="B1522" t="s">
        <v>441</v>
      </c>
      <c r="C1522" t="s">
        <v>432</v>
      </c>
      <c r="D1522" t="s">
        <v>2292</v>
      </c>
      <c r="E1522">
        <v>4</v>
      </c>
      <c r="F1522">
        <v>1.9837661475006082E-3</v>
      </c>
      <c r="G1522">
        <v>4.420094236329324E-8</v>
      </c>
      <c r="H1522">
        <v>7.4053902698074482E-6</v>
      </c>
      <c r="I1522" t="s">
        <v>2249</v>
      </c>
      <c r="J1522" t="s">
        <v>462</v>
      </c>
      <c r="K1522" t="s">
        <v>417</v>
      </c>
      <c r="L1522" t="s">
        <v>2295</v>
      </c>
    </row>
    <row r="1523" spans="1:12" hidden="1" x14ac:dyDescent="0.25">
      <c r="A1523" s="516">
        <v>1498</v>
      </c>
      <c r="B1523" t="s">
        <v>441</v>
      </c>
      <c r="C1523" t="s">
        <v>432</v>
      </c>
      <c r="D1523" t="s">
        <v>2292</v>
      </c>
      <c r="E1523">
        <v>4</v>
      </c>
      <c r="F1523">
        <v>2.1769009165212651E-5</v>
      </c>
      <c r="G1523">
        <v>4.8504241320474078E-10</v>
      </c>
      <c r="H1523">
        <v>3.6204130207947519E-7</v>
      </c>
      <c r="I1523" t="s">
        <v>2231</v>
      </c>
      <c r="L1523" t="s">
        <v>2295</v>
      </c>
    </row>
    <row r="1524" spans="1:12" hidden="1" x14ac:dyDescent="0.25">
      <c r="A1524" s="516">
        <v>1499</v>
      </c>
      <c r="B1524" t="s">
        <v>441</v>
      </c>
      <c r="C1524" t="s">
        <v>432</v>
      </c>
      <c r="D1524" t="s">
        <v>2292</v>
      </c>
      <c r="E1524">
        <v>4</v>
      </c>
      <c r="F1524">
        <v>2.0003785560727059E-8</v>
      </c>
      <c r="G1524">
        <v>4.4571088872112299E-13</v>
      </c>
      <c r="H1524">
        <v>-1.858040544559376E-9</v>
      </c>
      <c r="I1524" t="s">
        <v>2231</v>
      </c>
      <c r="L1524" t="s">
        <v>2295</v>
      </c>
    </row>
    <row r="1525" spans="1:12" hidden="1" x14ac:dyDescent="0.25">
      <c r="A1525" s="516">
        <v>1500</v>
      </c>
      <c r="B1525" t="s">
        <v>441</v>
      </c>
      <c r="C1525" t="s">
        <v>432</v>
      </c>
      <c r="D1525" t="s">
        <v>2292</v>
      </c>
      <c r="E1525">
        <v>4</v>
      </c>
      <c r="F1525">
        <v>7.6223059296844251E-7</v>
      </c>
      <c r="G1525">
        <v>1.698350914485833E-11</v>
      </c>
      <c r="H1525">
        <v>-7.5054082959405696E-8</v>
      </c>
      <c r="I1525" t="s">
        <v>2231</v>
      </c>
      <c r="L1525" t="s">
        <v>2295</v>
      </c>
    </row>
    <row r="1526" spans="1:12" hidden="1" x14ac:dyDescent="0.25">
      <c r="A1526" s="516">
        <v>1501</v>
      </c>
      <c r="B1526" t="s">
        <v>441</v>
      </c>
      <c r="C1526" t="s">
        <v>432</v>
      </c>
      <c r="D1526" t="s">
        <v>2292</v>
      </c>
      <c r="E1526">
        <v>4</v>
      </c>
      <c r="F1526">
        <v>6.8993573249470438E-7</v>
      </c>
      <c r="G1526">
        <v>1.5372683713146978E-11</v>
      </c>
      <c r="H1526">
        <v>1.1650781536370321E-5</v>
      </c>
      <c r="I1526" t="s">
        <v>2231</v>
      </c>
      <c r="L1526" t="s">
        <v>2295</v>
      </c>
    </row>
    <row r="1527" spans="1:12" hidden="1" x14ac:dyDescent="0.25">
      <c r="A1527" s="516">
        <v>1502</v>
      </c>
      <c r="B1527" t="s">
        <v>441</v>
      </c>
      <c r="C1527" t="s">
        <v>432</v>
      </c>
      <c r="D1527" t="s">
        <v>2292</v>
      </c>
      <c r="E1527">
        <v>4</v>
      </c>
      <c r="F1527">
        <v>2.0033704607621459E-9</v>
      </c>
      <c r="G1527">
        <v>4.4637752479060637E-14</v>
      </c>
      <c r="H1527">
        <v>4.193994227302119E-8</v>
      </c>
      <c r="I1527" t="s">
        <v>2231</v>
      </c>
      <c r="L1527" t="s">
        <v>2295</v>
      </c>
    </row>
    <row r="1528" spans="1:12" x14ac:dyDescent="0.25">
      <c r="A1528" s="516">
        <v>1503</v>
      </c>
      <c r="B1528" t="s">
        <v>441</v>
      </c>
      <c r="C1528" t="s">
        <v>432</v>
      </c>
      <c r="D1528" t="s">
        <v>2292</v>
      </c>
      <c r="E1528">
        <v>3</v>
      </c>
      <c r="F1528">
        <v>7.7440917290414553E-4</v>
      </c>
      <c r="G1528">
        <v>1.7254864067656559E-8</v>
      </c>
      <c r="H1528">
        <v>1.0215863020277181E-6</v>
      </c>
      <c r="I1528" t="s">
        <v>460</v>
      </c>
      <c r="J1528" t="s">
        <v>462</v>
      </c>
      <c r="K1528" t="s">
        <v>417</v>
      </c>
    </row>
    <row r="1529" spans="1:12" hidden="1" x14ac:dyDescent="0.25">
      <c r="A1529" s="516">
        <v>1504</v>
      </c>
      <c r="B1529" t="s">
        <v>441</v>
      </c>
      <c r="C1529" t="s">
        <v>432</v>
      </c>
      <c r="D1529" t="s">
        <v>2292</v>
      </c>
      <c r="E1529">
        <v>4</v>
      </c>
      <c r="F1529">
        <v>9.2191758472015851E-5</v>
      </c>
      <c r="G1529">
        <v>2.0541547236937989E-9</v>
      </c>
      <c r="H1529">
        <v>1.3313215338194921E-7</v>
      </c>
      <c r="I1529" t="s">
        <v>2231</v>
      </c>
      <c r="L1529" t="s">
        <v>2295</v>
      </c>
    </row>
    <row r="1530" spans="1:12" hidden="1" x14ac:dyDescent="0.25">
      <c r="A1530" s="516">
        <v>1505</v>
      </c>
      <c r="B1530" t="s">
        <v>441</v>
      </c>
      <c r="C1530" t="s">
        <v>432</v>
      </c>
      <c r="D1530" t="s">
        <v>2292</v>
      </c>
      <c r="E1530">
        <v>4</v>
      </c>
      <c r="F1530">
        <v>6.6476222427254645E-4</v>
      </c>
      <c r="G1530">
        <v>1.481178454294418E-8</v>
      </c>
      <c r="H1530">
        <v>8.8845414864576876E-7</v>
      </c>
      <c r="I1530" t="s">
        <v>580</v>
      </c>
      <c r="J1530" t="s">
        <v>1992</v>
      </c>
      <c r="K1530" t="s">
        <v>417</v>
      </c>
      <c r="L1530" t="s">
        <v>2295</v>
      </c>
    </row>
    <row r="1531" spans="1:12" hidden="1" x14ac:dyDescent="0.25">
      <c r="A1531" s="516">
        <v>1506</v>
      </c>
      <c r="B1531" t="s">
        <v>441</v>
      </c>
      <c r="C1531" t="s">
        <v>432</v>
      </c>
      <c r="D1531" t="s">
        <v>2292</v>
      </c>
      <c r="E1531">
        <v>4</v>
      </c>
      <c r="F1531">
        <v>4.9205435271760937E-6</v>
      </c>
      <c r="G1531">
        <v>1.096362396922692E-10</v>
      </c>
      <c r="H1531">
        <v>1.9440787327587471E-7</v>
      </c>
      <c r="I1531" t="s">
        <v>2231</v>
      </c>
      <c r="L1531" t="s">
        <v>2295</v>
      </c>
    </row>
    <row r="1532" spans="1:12" hidden="1" x14ac:dyDescent="0.25">
      <c r="A1532" s="516">
        <v>1507</v>
      </c>
      <c r="B1532" t="s">
        <v>441</v>
      </c>
      <c r="C1532" t="s">
        <v>432</v>
      </c>
      <c r="D1532" t="s">
        <v>2292</v>
      </c>
      <c r="E1532">
        <v>4</v>
      </c>
      <c r="F1532">
        <v>5.6690351789349533E-7</v>
      </c>
      <c r="G1532">
        <v>1.263136269944383E-11</v>
      </c>
      <c r="H1532">
        <v>2.0533884670757129E-8</v>
      </c>
      <c r="I1532" t="s">
        <v>2231</v>
      </c>
      <c r="L1532" t="s">
        <v>2295</v>
      </c>
    </row>
    <row r="1533" spans="1:12" hidden="1" x14ac:dyDescent="0.25">
      <c r="A1533" s="516">
        <v>1508</v>
      </c>
      <c r="B1533" t="s">
        <v>441</v>
      </c>
      <c r="C1533" t="s">
        <v>432</v>
      </c>
      <c r="D1533" t="s">
        <v>2292</v>
      </c>
      <c r="E1533">
        <v>4</v>
      </c>
      <c r="F1533">
        <v>9.2999774756656811E-6</v>
      </c>
      <c r="G1533">
        <v>2.0721583988099491E-10</v>
      </c>
      <c r="H1533">
        <v>2.109575713687238E-7</v>
      </c>
      <c r="I1533" t="s">
        <v>2231</v>
      </c>
      <c r="L1533" t="s">
        <v>2295</v>
      </c>
    </row>
    <row r="1534" spans="1:12" hidden="1" x14ac:dyDescent="0.25">
      <c r="A1534" s="516">
        <v>1509</v>
      </c>
      <c r="B1534" t="s">
        <v>441</v>
      </c>
      <c r="C1534" t="s">
        <v>432</v>
      </c>
      <c r="D1534" t="s">
        <v>2292</v>
      </c>
      <c r="E1534">
        <v>4</v>
      </c>
      <c r="F1534">
        <v>2.6677770929749311E-6</v>
      </c>
      <c r="G1534">
        <v>5.9441613959017703E-11</v>
      </c>
      <c r="H1534">
        <v>4.5041740056402089E-7</v>
      </c>
      <c r="I1534" t="s">
        <v>2231</v>
      </c>
      <c r="L1534" t="s">
        <v>2295</v>
      </c>
    </row>
    <row r="1535" spans="1:12" x14ac:dyDescent="0.25">
      <c r="A1535" s="516">
        <v>1510</v>
      </c>
      <c r="B1535" t="s">
        <v>441</v>
      </c>
      <c r="C1535" t="s">
        <v>432</v>
      </c>
      <c r="D1535" t="s">
        <v>2292</v>
      </c>
      <c r="E1535">
        <v>3</v>
      </c>
      <c r="F1535">
        <v>2.6753268655084091E-2</v>
      </c>
      <c r="G1535">
        <v>5.9609832910141893E-7</v>
      </c>
      <c r="H1535">
        <v>8.661275169365436E-5</v>
      </c>
      <c r="I1535" t="s">
        <v>2250</v>
      </c>
      <c r="J1535" t="s">
        <v>462</v>
      </c>
      <c r="K1535" t="s">
        <v>417</v>
      </c>
    </row>
    <row r="1536" spans="1:12" hidden="1" x14ac:dyDescent="0.25">
      <c r="A1536" s="516">
        <v>1511</v>
      </c>
      <c r="B1536" t="s">
        <v>441</v>
      </c>
      <c r="C1536" t="s">
        <v>432</v>
      </c>
      <c r="D1536" t="s">
        <v>2292</v>
      </c>
      <c r="E1536">
        <v>4</v>
      </c>
      <c r="F1536">
        <v>1.654696284298399E-2</v>
      </c>
      <c r="G1536">
        <v>3.6868829112331958E-7</v>
      </c>
      <c r="H1536">
        <v>5.1118942784407733E-5</v>
      </c>
      <c r="I1536" t="s">
        <v>2251</v>
      </c>
      <c r="J1536" t="s">
        <v>1992</v>
      </c>
      <c r="K1536" t="s">
        <v>417</v>
      </c>
      <c r="L1536" t="s">
        <v>2295</v>
      </c>
    </row>
    <row r="1537" spans="1:12" hidden="1" x14ac:dyDescent="0.25">
      <c r="A1537" s="516">
        <v>1512</v>
      </c>
      <c r="B1537" t="s">
        <v>441</v>
      </c>
      <c r="C1537" t="s">
        <v>432</v>
      </c>
      <c r="D1537" t="s">
        <v>2292</v>
      </c>
      <c r="E1537">
        <v>4</v>
      </c>
      <c r="F1537">
        <v>4.1146549387728779E-8</v>
      </c>
      <c r="G1537">
        <v>9.1679972471898471E-13</v>
      </c>
      <c r="H1537">
        <v>9.8650667878707843E-10</v>
      </c>
      <c r="I1537" t="s">
        <v>2231</v>
      </c>
      <c r="L1537" t="s">
        <v>2295</v>
      </c>
    </row>
    <row r="1538" spans="1:12" hidden="1" x14ac:dyDescent="0.25">
      <c r="A1538" s="516">
        <v>1513</v>
      </c>
      <c r="B1538" t="s">
        <v>441</v>
      </c>
      <c r="C1538" t="s">
        <v>432</v>
      </c>
      <c r="D1538" t="s">
        <v>2292</v>
      </c>
      <c r="E1538">
        <v>4</v>
      </c>
      <c r="F1538">
        <v>3.4199255949413001E-3</v>
      </c>
      <c r="G1538">
        <v>7.6200480736707093E-8</v>
      </c>
      <c r="H1538">
        <v>1.082371738256408E-5</v>
      </c>
      <c r="I1538" t="s">
        <v>2251</v>
      </c>
      <c r="J1538" t="s">
        <v>419</v>
      </c>
      <c r="K1538" t="s">
        <v>417</v>
      </c>
      <c r="L1538" t="s">
        <v>2295</v>
      </c>
    </row>
    <row r="1539" spans="1:12" hidden="1" x14ac:dyDescent="0.25">
      <c r="A1539" s="516">
        <v>1514</v>
      </c>
      <c r="B1539" t="s">
        <v>441</v>
      </c>
      <c r="C1539" t="s">
        <v>432</v>
      </c>
      <c r="D1539" t="s">
        <v>2292</v>
      </c>
      <c r="E1539">
        <v>4</v>
      </c>
      <c r="F1539">
        <v>5.3308277704192052E-5</v>
      </c>
      <c r="G1539">
        <v>1.1877791710772711E-9</v>
      </c>
      <c r="H1539">
        <v>8.5097238472389624E-7</v>
      </c>
      <c r="I1539" t="s">
        <v>2231</v>
      </c>
      <c r="L1539" t="s">
        <v>2295</v>
      </c>
    </row>
    <row r="1540" spans="1:12" hidden="1" x14ac:dyDescent="0.25">
      <c r="A1540" s="516">
        <v>1515</v>
      </c>
      <c r="B1540" t="s">
        <v>441</v>
      </c>
      <c r="C1540" t="s">
        <v>432</v>
      </c>
      <c r="D1540" t="s">
        <v>2292</v>
      </c>
      <c r="E1540">
        <v>4</v>
      </c>
      <c r="F1540">
        <v>2.644569418531422E-3</v>
      </c>
      <c r="G1540">
        <v>5.892451617420266E-8</v>
      </c>
      <c r="H1540">
        <v>1.2277194154703439E-5</v>
      </c>
      <c r="I1540" t="s">
        <v>1454</v>
      </c>
      <c r="J1540" t="s">
        <v>1992</v>
      </c>
      <c r="K1540" t="s">
        <v>417</v>
      </c>
      <c r="L1540" t="s">
        <v>2295</v>
      </c>
    </row>
    <row r="1541" spans="1:12" hidden="1" x14ac:dyDescent="0.25">
      <c r="A1541" s="516">
        <v>1516</v>
      </c>
      <c r="B1541" t="s">
        <v>441</v>
      </c>
      <c r="C1541" t="s">
        <v>432</v>
      </c>
      <c r="D1541" t="s">
        <v>2292</v>
      </c>
      <c r="E1541">
        <v>4</v>
      </c>
      <c r="F1541">
        <v>7.9042190576464571E-4</v>
      </c>
      <c r="G1541">
        <v>1.7611649005809441E-8</v>
      </c>
      <c r="H1541">
        <v>2.3333258765765228E-6</v>
      </c>
      <c r="I1541" t="s">
        <v>2251</v>
      </c>
      <c r="J1541" t="s">
        <v>2252</v>
      </c>
      <c r="K1541" t="s">
        <v>417</v>
      </c>
      <c r="L1541" t="s">
        <v>2295</v>
      </c>
    </row>
    <row r="1542" spans="1:12" hidden="1" x14ac:dyDescent="0.25">
      <c r="A1542" s="516">
        <v>1517</v>
      </c>
      <c r="B1542" t="s">
        <v>441</v>
      </c>
      <c r="C1542" t="s">
        <v>432</v>
      </c>
      <c r="D1542" t="s">
        <v>2292</v>
      </c>
      <c r="E1542">
        <v>4</v>
      </c>
      <c r="F1542">
        <v>1.3188284484606911E-3</v>
      </c>
      <c r="G1542">
        <v>2.93852480096647E-8</v>
      </c>
      <c r="H1542">
        <v>2.8157606536467428E-6</v>
      </c>
      <c r="I1542" t="s">
        <v>1454</v>
      </c>
      <c r="J1542" t="s">
        <v>2252</v>
      </c>
      <c r="K1542" t="s">
        <v>417</v>
      </c>
      <c r="L1542" t="s">
        <v>2295</v>
      </c>
    </row>
    <row r="1543" spans="1:12" hidden="1" x14ac:dyDescent="0.25">
      <c r="A1543" s="516">
        <v>1518</v>
      </c>
      <c r="B1543" t="s">
        <v>441</v>
      </c>
      <c r="C1543" t="s">
        <v>432</v>
      </c>
      <c r="D1543" t="s">
        <v>2292</v>
      </c>
      <c r="E1543">
        <v>4</v>
      </c>
      <c r="F1543">
        <v>4.900174958454716E-4</v>
      </c>
      <c r="G1543">
        <v>1.0918240095063591E-8</v>
      </c>
      <c r="H1543">
        <v>6.3431531194027866E-6</v>
      </c>
      <c r="I1543" t="s">
        <v>1454</v>
      </c>
      <c r="J1543" t="s">
        <v>2253</v>
      </c>
      <c r="K1543" t="s">
        <v>417</v>
      </c>
      <c r="L1543" t="s">
        <v>2295</v>
      </c>
    </row>
    <row r="1544" spans="1:12" hidden="1" x14ac:dyDescent="0.25">
      <c r="A1544" s="516">
        <v>1519</v>
      </c>
      <c r="B1544" t="s">
        <v>441</v>
      </c>
      <c r="C1544" t="s">
        <v>432</v>
      </c>
      <c r="D1544" t="s">
        <v>2292</v>
      </c>
      <c r="E1544">
        <v>4</v>
      </c>
      <c r="F1544">
        <v>9.2954337387586274E-6</v>
      </c>
      <c r="G1544">
        <v>2.0711459939284779E-10</v>
      </c>
      <c r="H1544">
        <v>4.8698830950311433E-8</v>
      </c>
      <c r="I1544" t="s">
        <v>2231</v>
      </c>
      <c r="L1544" t="s">
        <v>2295</v>
      </c>
    </row>
    <row r="1545" spans="1:12" hidden="1" x14ac:dyDescent="0.25">
      <c r="A1545" s="516">
        <v>1520</v>
      </c>
      <c r="B1545" t="s">
        <v>441</v>
      </c>
      <c r="C1545" t="s">
        <v>432</v>
      </c>
      <c r="D1545" t="s">
        <v>2292</v>
      </c>
      <c r="E1545">
        <v>4</v>
      </c>
      <c r="F1545">
        <v>4.1717651643449549E-4</v>
      </c>
      <c r="G1545">
        <v>9.2952464086924016E-9</v>
      </c>
      <c r="H1545">
        <v>1.6482406647302429E-5</v>
      </c>
      <c r="I1545" t="s">
        <v>2254</v>
      </c>
      <c r="J1545" t="s">
        <v>462</v>
      </c>
      <c r="K1545" t="s">
        <v>925</v>
      </c>
      <c r="L1545" t="s">
        <v>2295</v>
      </c>
    </row>
    <row r="1546" spans="1:12" hidden="1" x14ac:dyDescent="0.25">
      <c r="A1546" s="516">
        <v>1521</v>
      </c>
      <c r="B1546" t="s">
        <v>441</v>
      </c>
      <c r="C1546" t="s">
        <v>432</v>
      </c>
      <c r="D1546" t="s">
        <v>2292</v>
      </c>
      <c r="E1546">
        <v>4</v>
      </c>
      <c r="F1546">
        <v>4.8063559125752849E-5</v>
      </c>
      <c r="G1546">
        <v>1.070919881039802E-9</v>
      </c>
      <c r="H1546">
        <v>1.740916309042453E-6</v>
      </c>
      <c r="I1546" t="s">
        <v>2231</v>
      </c>
      <c r="L1546" t="s">
        <v>2295</v>
      </c>
    </row>
    <row r="1547" spans="1:12" hidden="1" x14ac:dyDescent="0.25">
      <c r="A1547" s="516">
        <v>1522</v>
      </c>
      <c r="B1547" t="s">
        <v>441</v>
      </c>
      <c r="C1547" t="s">
        <v>432</v>
      </c>
      <c r="D1547" t="s">
        <v>2292</v>
      </c>
      <c r="E1547">
        <v>4</v>
      </c>
      <c r="F1547">
        <v>7.8847635119774274E-4</v>
      </c>
      <c r="G1547">
        <v>1.7568299468171311E-8</v>
      </c>
      <c r="H1547">
        <v>1.788553322473962E-5</v>
      </c>
      <c r="I1547" t="s">
        <v>2255</v>
      </c>
      <c r="J1547" t="s">
        <v>462</v>
      </c>
      <c r="K1547" t="s">
        <v>925</v>
      </c>
      <c r="L1547" t="s">
        <v>2295</v>
      </c>
    </row>
    <row r="1548" spans="1:12" hidden="1" x14ac:dyDescent="0.25">
      <c r="A1548" s="516">
        <v>1523</v>
      </c>
      <c r="B1548" t="s">
        <v>441</v>
      </c>
      <c r="C1548" t="s">
        <v>432</v>
      </c>
      <c r="D1548" t="s">
        <v>2292</v>
      </c>
      <c r="E1548">
        <v>4</v>
      </c>
      <c r="F1548">
        <v>2.2618110136091339E-4</v>
      </c>
      <c r="G1548">
        <v>5.0396150965253092E-9</v>
      </c>
      <c r="H1548">
        <v>3.8187562221732208E-5</v>
      </c>
      <c r="I1548" t="s">
        <v>2262</v>
      </c>
      <c r="J1548" t="s">
        <v>462</v>
      </c>
      <c r="K1548" t="s">
        <v>925</v>
      </c>
      <c r="L1548" t="s">
        <v>2295</v>
      </c>
    </row>
    <row r="1549" spans="1:12" x14ac:dyDescent="0.25">
      <c r="A1549" s="516">
        <v>1524</v>
      </c>
      <c r="B1549" t="s">
        <v>441</v>
      </c>
      <c r="C1549" t="s">
        <v>432</v>
      </c>
      <c r="D1549" t="s">
        <v>2292</v>
      </c>
      <c r="E1549">
        <v>3</v>
      </c>
      <c r="F1549">
        <v>4.6536197866872473E-5</v>
      </c>
      <c r="G1549">
        <v>1.036888245276304E-9</v>
      </c>
      <c r="H1549">
        <v>1.9987558083151011E-7</v>
      </c>
      <c r="I1549" t="s">
        <v>2231</v>
      </c>
    </row>
    <row r="1550" spans="1:12" x14ac:dyDescent="0.25">
      <c r="A1550" s="516">
        <v>1525</v>
      </c>
      <c r="B1550" t="s">
        <v>441</v>
      </c>
      <c r="C1550" t="s">
        <v>432</v>
      </c>
      <c r="D1550" t="s">
        <v>2292</v>
      </c>
      <c r="E1550">
        <v>3</v>
      </c>
      <c r="F1550">
        <v>1.3511586288999031E-7</v>
      </c>
      <c r="G1550">
        <v>3.0105607334270039E-12</v>
      </c>
      <c r="H1550">
        <v>-3.1091757018234902E-8</v>
      </c>
      <c r="I1550" t="s">
        <v>2231</v>
      </c>
    </row>
    <row r="1551" spans="1:12" x14ac:dyDescent="0.25">
      <c r="A1551" s="516">
        <v>1526</v>
      </c>
      <c r="B1551" t="s">
        <v>441</v>
      </c>
      <c r="C1551" t="s">
        <v>432</v>
      </c>
      <c r="D1551" t="s">
        <v>2292</v>
      </c>
      <c r="E1551">
        <v>3</v>
      </c>
      <c r="F1551">
        <v>2.4799132019479472E-7</v>
      </c>
      <c r="G1551">
        <v>5.5255757158361106E-12</v>
      </c>
      <c r="H1551">
        <v>-1.9987558083151011E-7</v>
      </c>
      <c r="I1551" t="s">
        <v>2231</v>
      </c>
    </row>
    <row r="1552" spans="1:12" x14ac:dyDescent="0.25">
      <c r="A1552" s="516">
        <v>1527</v>
      </c>
      <c r="B1552" t="s">
        <v>441</v>
      </c>
      <c r="C1552" t="s">
        <v>432</v>
      </c>
      <c r="D1552" t="s">
        <v>2292</v>
      </c>
      <c r="E1552">
        <v>3</v>
      </c>
      <c r="F1552">
        <v>1.7294736745376221E-5</v>
      </c>
      <c r="G1552">
        <v>3.8534968601709617E-10</v>
      </c>
      <c r="H1552">
        <v>-7.5508552758570464E-7</v>
      </c>
      <c r="I1552" t="s">
        <v>2231</v>
      </c>
    </row>
    <row r="1553" spans="1:12" x14ac:dyDescent="0.25">
      <c r="A1553" s="516">
        <v>1528</v>
      </c>
      <c r="B1553" t="s">
        <v>441</v>
      </c>
      <c r="C1553" t="s">
        <v>432</v>
      </c>
      <c r="D1553" t="s">
        <v>2292</v>
      </c>
      <c r="E1553">
        <v>3</v>
      </c>
      <c r="F1553">
        <v>1.8823424677361859E-4</v>
      </c>
      <c r="G1553">
        <v>4.1941088181796789E-9</v>
      </c>
      <c r="H1553">
        <v>7.1066873184536906E-7</v>
      </c>
      <c r="I1553" t="s">
        <v>2276</v>
      </c>
      <c r="J1553" t="s">
        <v>419</v>
      </c>
      <c r="K1553" t="s">
        <v>417</v>
      </c>
    </row>
    <row r="1554" spans="1:12" hidden="1" x14ac:dyDescent="0.25">
      <c r="A1554" s="516">
        <v>1529</v>
      </c>
      <c r="B1554" t="s">
        <v>441</v>
      </c>
      <c r="C1554" t="s">
        <v>432</v>
      </c>
      <c r="D1554" t="s">
        <v>2292</v>
      </c>
      <c r="E1554">
        <v>4</v>
      </c>
      <c r="F1554">
        <v>1.3611126871325389E-4</v>
      </c>
      <c r="G1554">
        <v>3.032739696142743E-9</v>
      </c>
      <c r="H1554">
        <v>2.8173751205277811E-8</v>
      </c>
      <c r="I1554" t="s">
        <v>2242</v>
      </c>
      <c r="J1554" t="s">
        <v>462</v>
      </c>
      <c r="K1554" t="s">
        <v>417</v>
      </c>
      <c r="L1554" t="s">
        <v>2295</v>
      </c>
    </row>
    <row r="1555" spans="1:12" hidden="1" x14ac:dyDescent="0.25">
      <c r="A1555" s="516">
        <v>1530</v>
      </c>
      <c r="B1555" t="s">
        <v>441</v>
      </c>
      <c r="C1555" t="s">
        <v>432</v>
      </c>
      <c r="D1555" t="s">
        <v>2292</v>
      </c>
      <c r="E1555">
        <v>4</v>
      </c>
      <c r="F1555">
        <v>4.606972533915713E-8</v>
      </c>
      <c r="G1555">
        <v>1.0264946183170059E-12</v>
      </c>
      <c r="H1555">
        <v>2.3478362893975461E-10</v>
      </c>
      <c r="I1555" t="s">
        <v>2231</v>
      </c>
      <c r="L1555" t="s">
        <v>2295</v>
      </c>
    </row>
    <row r="1556" spans="1:12" hidden="1" x14ac:dyDescent="0.25">
      <c r="A1556" s="516">
        <v>1531</v>
      </c>
      <c r="B1556" t="s">
        <v>441</v>
      </c>
      <c r="C1556" t="s">
        <v>432</v>
      </c>
      <c r="D1556" t="s">
        <v>2292</v>
      </c>
      <c r="E1556">
        <v>4</v>
      </c>
      <c r="F1556">
        <v>1.1736960552848051E-5</v>
      </c>
      <c r="G1556">
        <v>2.6151505688828892E-10</v>
      </c>
      <c r="H1556">
        <v>3.1743440245337098E-7</v>
      </c>
      <c r="I1556" t="s">
        <v>2231</v>
      </c>
      <c r="L1556" t="s">
        <v>2295</v>
      </c>
    </row>
    <row r="1557" spans="1:12" hidden="1" x14ac:dyDescent="0.25">
      <c r="A1557" s="516">
        <v>1532</v>
      </c>
      <c r="B1557" t="s">
        <v>441</v>
      </c>
      <c r="C1557" t="s">
        <v>432</v>
      </c>
      <c r="D1557" t="s">
        <v>2292</v>
      </c>
      <c r="E1557">
        <v>4</v>
      </c>
      <c r="F1557">
        <v>3.9987799576009898E-7</v>
      </c>
      <c r="G1557">
        <v>8.909812411715194E-12</v>
      </c>
      <c r="H1557">
        <v>-1.09883599317931E-8</v>
      </c>
      <c r="I1557" t="s">
        <v>2231</v>
      </c>
      <c r="L1557" t="s">
        <v>2295</v>
      </c>
    </row>
    <row r="1558" spans="1:12" hidden="1" x14ac:dyDescent="0.25">
      <c r="A1558" s="516">
        <v>1533</v>
      </c>
      <c r="B1558" t="s">
        <v>441</v>
      </c>
      <c r="C1558" t="s">
        <v>432</v>
      </c>
      <c r="D1558" t="s">
        <v>2292</v>
      </c>
      <c r="E1558">
        <v>4</v>
      </c>
      <c r="F1558">
        <v>2.4613403611243311E-6</v>
      </c>
      <c r="G1558">
        <v>5.4841929617346983E-11</v>
      </c>
      <c r="H1558">
        <v>5.1175184313311846E-7</v>
      </c>
      <c r="I1558" t="s">
        <v>2231</v>
      </c>
      <c r="L1558" t="s">
        <v>2295</v>
      </c>
    </row>
    <row r="1559" spans="1:12" hidden="1" x14ac:dyDescent="0.25">
      <c r="A1559" s="516">
        <v>1534</v>
      </c>
      <c r="B1559" t="s">
        <v>441</v>
      </c>
      <c r="C1559" t="s">
        <v>432</v>
      </c>
      <c r="D1559" t="s">
        <v>2292</v>
      </c>
      <c r="E1559">
        <v>4</v>
      </c>
      <c r="F1559">
        <v>5.5440901717651367E-6</v>
      </c>
      <c r="G1559">
        <v>1.2352968642389651E-10</v>
      </c>
      <c r="H1559">
        <v>5.4018250108495833E-7</v>
      </c>
      <c r="I1559" t="s">
        <v>2231</v>
      </c>
      <c r="L1559" t="s">
        <v>2295</v>
      </c>
    </row>
    <row r="1560" spans="1:12" hidden="1" x14ac:dyDescent="0.25">
      <c r="A1560" s="516">
        <v>1535</v>
      </c>
      <c r="B1560" t="s">
        <v>441</v>
      </c>
      <c r="C1560" t="s">
        <v>432</v>
      </c>
      <c r="D1560" t="s">
        <v>2292</v>
      </c>
      <c r="E1560">
        <v>4</v>
      </c>
      <c r="F1560">
        <v>7.296287032233501E-6</v>
      </c>
      <c r="G1560">
        <v>1.625709577634064E-10</v>
      </c>
      <c r="H1560">
        <v>5.1168148692866566E-9</v>
      </c>
      <c r="I1560" t="s">
        <v>2231</v>
      </c>
      <c r="L1560" t="s">
        <v>2295</v>
      </c>
    </row>
    <row r="1561" spans="1:12" hidden="1" x14ac:dyDescent="0.25">
      <c r="A1561" s="516">
        <v>1536</v>
      </c>
      <c r="B1561" t="s">
        <v>441</v>
      </c>
      <c r="C1561" t="s">
        <v>432</v>
      </c>
      <c r="D1561" t="s">
        <v>2292</v>
      </c>
      <c r="E1561">
        <v>4</v>
      </c>
      <c r="F1561">
        <v>4.069579288834184E-7</v>
      </c>
      <c r="G1561">
        <v>9.0675627172711654E-12</v>
      </c>
      <c r="H1561">
        <v>-1.64818292289578E-8</v>
      </c>
      <c r="I1561" t="s">
        <v>2231</v>
      </c>
      <c r="L1561" t="s">
        <v>2295</v>
      </c>
    </row>
    <row r="1562" spans="1:12" hidden="1" x14ac:dyDescent="0.25">
      <c r="A1562" s="516">
        <v>1537</v>
      </c>
      <c r="B1562" t="s">
        <v>441</v>
      </c>
      <c r="C1562" t="s">
        <v>432</v>
      </c>
      <c r="D1562" t="s">
        <v>2292</v>
      </c>
      <c r="E1562">
        <v>4</v>
      </c>
      <c r="F1562">
        <v>8.1988981219654465E-7</v>
      </c>
      <c r="G1562">
        <v>1.8268233067093249E-11</v>
      </c>
      <c r="H1562">
        <v>9.3914872913365522E-10</v>
      </c>
      <c r="I1562" t="s">
        <v>2231</v>
      </c>
      <c r="L1562" t="s">
        <v>2295</v>
      </c>
    </row>
    <row r="1563" spans="1:12" hidden="1" x14ac:dyDescent="0.25">
      <c r="A1563" s="516">
        <v>1538</v>
      </c>
      <c r="B1563" t="s">
        <v>441</v>
      </c>
      <c r="C1563" t="s">
        <v>432</v>
      </c>
      <c r="D1563" t="s">
        <v>2292</v>
      </c>
      <c r="E1563">
        <v>4</v>
      </c>
      <c r="F1563">
        <v>2.8909100474888241E-8</v>
      </c>
      <c r="G1563">
        <v>6.4413312298686493E-13</v>
      </c>
      <c r="H1563">
        <v>1.015261350314294E-15</v>
      </c>
      <c r="I1563" t="s">
        <v>2231</v>
      </c>
      <c r="L1563" t="s">
        <v>2295</v>
      </c>
    </row>
    <row r="1564" spans="1:12" hidden="1" x14ac:dyDescent="0.25">
      <c r="A1564" s="516">
        <v>1539</v>
      </c>
      <c r="B1564" t="s">
        <v>441</v>
      </c>
      <c r="C1564" t="s">
        <v>432</v>
      </c>
      <c r="D1564" t="s">
        <v>2292</v>
      </c>
      <c r="E1564">
        <v>4</v>
      </c>
      <c r="F1564">
        <v>1.295253719452039E-8</v>
      </c>
      <c r="G1564">
        <v>2.8859971762031099E-13</v>
      </c>
      <c r="H1564">
        <v>4.3478713014299679E-13</v>
      </c>
      <c r="I1564" t="s">
        <v>2231</v>
      </c>
      <c r="L1564" t="s">
        <v>2295</v>
      </c>
    </row>
    <row r="1565" spans="1:12" hidden="1" x14ac:dyDescent="0.25">
      <c r="A1565" s="516">
        <v>1540</v>
      </c>
      <c r="B1565" t="s">
        <v>441</v>
      </c>
      <c r="C1565" t="s">
        <v>432</v>
      </c>
      <c r="D1565" t="s">
        <v>2292</v>
      </c>
      <c r="E1565">
        <v>4</v>
      </c>
      <c r="F1565">
        <v>5.9353513590737622E-8</v>
      </c>
      <c r="G1565">
        <v>1.3224750490820301E-12</v>
      </c>
      <c r="H1565">
        <v>1.173953678135365E-9</v>
      </c>
      <c r="I1565" t="s">
        <v>2231</v>
      </c>
      <c r="L1565" t="s">
        <v>2295</v>
      </c>
    </row>
    <row r="1566" spans="1:12" hidden="1" x14ac:dyDescent="0.25">
      <c r="A1566" s="516">
        <v>1541</v>
      </c>
      <c r="B1566" t="s">
        <v>441</v>
      </c>
      <c r="C1566" t="s">
        <v>432</v>
      </c>
      <c r="D1566" t="s">
        <v>2292</v>
      </c>
      <c r="E1566">
        <v>4</v>
      </c>
      <c r="F1566">
        <v>3.1448032859439242E-7</v>
      </c>
      <c r="G1566">
        <v>7.0070390585622162E-12</v>
      </c>
      <c r="H1566">
        <v>1.173953678135365E-9</v>
      </c>
      <c r="I1566" t="s">
        <v>2231</v>
      </c>
      <c r="L1566" t="s">
        <v>2295</v>
      </c>
    </row>
    <row r="1567" spans="1:12" hidden="1" x14ac:dyDescent="0.25">
      <c r="A1567" s="516">
        <v>1542</v>
      </c>
      <c r="B1567" t="s">
        <v>441</v>
      </c>
      <c r="C1567" t="s">
        <v>432</v>
      </c>
      <c r="D1567" t="s">
        <v>2292</v>
      </c>
      <c r="E1567">
        <v>4</v>
      </c>
      <c r="F1567">
        <v>7.9848790595833752E-10</v>
      </c>
      <c r="G1567">
        <v>1.779137019427355E-14</v>
      </c>
      <c r="H1567">
        <v>-7.4167106976174657E-11</v>
      </c>
      <c r="I1567" t="s">
        <v>2231</v>
      </c>
      <c r="L1567" t="s">
        <v>2295</v>
      </c>
    </row>
    <row r="1568" spans="1:12" hidden="1" x14ac:dyDescent="0.25">
      <c r="A1568" s="516">
        <v>1543</v>
      </c>
      <c r="B1568" t="s">
        <v>441</v>
      </c>
      <c r="C1568" t="s">
        <v>432</v>
      </c>
      <c r="D1568" t="s">
        <v>2292</v>
      </c>
      <c r="E1568">
        <v>4</v>
      </c>
      <c r="F1568">
        <v>3.042583655923928E-8</v>
      </c>
      <c r="G1568">
        <v>6.779280157614966E-13</v>
      </c>
      <c r="H1568">
        <v>-2.9959218145958202E-9</v>
      </c>
      <c r="I1568" t="s">
        <v>2231</v>
      </c>
      <c r="L1568" t="s">
        <v>2295</v>
      </c>
    </row>
    <row r="1569" spans="1:12" x14ac:dyDescent="0.25">
      <c r="A1569" s="516">
        <v>1544</v>
      </c>
      <c r="B1569" t="s">
        <v>441</v>
      </c>
      <c r="C1569" t="s">
        <v>432</v>
      </c>
      <c r="D1569" t="s">
        <v>2292</v>
      </c>
      <c r="E1569">
        <v>2</v>
      </c>
      <c r="F1569">
        <v>0</v>
      </c>
      <c r="G1569">
        <v>0</v>
      </c>
      <c r="H1569">
        <v>0</v>
      </c>
      <c r="I1569" t="s">
        <v>2231</v>
      </c>
    </row>
    <row r="1570" spans="1:12" x14ac:dyDescent="0.25">
      <c r="A1570" s="568">
        <v>1545</v>
      </c>
      <c r="B1570" s="417" t="s">
        <v>441</v>
      </c>
      <c r="C1570" s="417" t="s">
        <v>432</v>
      </c>
      <c r="D1570" s="417" t="s">
        <v>2292</v>
      </c>
      <c r="E1570" s="417">
        <v>2</v>
      </c>
      <c r="F1570" s="417">
        <v>9.3688707369482208E-3</v>
      </c>
      <c r="G1570" s="417">
        <v>2.087508731685653E-7</v>
      </c>
      <c r="H1570" s="417">
        <v>6.0980602046066296E-4</v>
      </c>
      <c r="I1570" s="417" t="s">
        <v>1003</v>
      </c>
      <c r="J1570" s="417" t="s">
        <v>432</v>
      </c>
      <c r="K1570" s="417" t="s">
        <v>417</v>
      </c>
      <c r="L1570" s="417" t="s">
        <v>155</v>
      </c>
    </row>
    <row r="1571" spans="1:12" x14ac:dyDescent="0.25">
      <c r="A1571" s="516">
        <v>1546</v>
      </c>
      <c r="B1571" t="s">
        <v>441</v>
      </c>
      <c r="C1571" t="s">
        <v>432</v>
      </c>
      <c r="D1571" t="s">
        <v>2292</v>
      </c>
      <c r="E1571">
        <v>3</v>
      </c>
      <c r="F1571">
        <v>8.9242944214713259E-3</v>
      </c>
      <c r="G1571">
        <v>1.9884512287575091E-7</v>
      </c>
      <c r="H1571">
        <v>6.0980602046066296E-4</v>
      </c>
      <c r="I1571" t="s">
        <v>1000</v>
      </c>
      <c r="J1571" t="s">
        <v>432</v>
      </c>
      <c r="K1571" t="s">
        <v>417</v>
      </c>
    </row>
    <row r="1572" spans="1:12" hidden="1" x14ac:dyDescent="0.25">
      <c r="A1572" s="516">
        <v>1547</v>
      </c>
      <c r="B1572" t="s">
        <v>441</v>
      </c>
      <c r="C1572" t="s">
        <v>432</v>
      </c>
      <c r="D1572" t="s">
        <v>2292</v>
      </c>
      <c r="E1572">
        <v>4</v>
      </c>
      <c r="F1572">
        <v>8.4797181059944968E-3</v>
      </c>
      <c r="G1572">
        <v>1.8893937258293789E-7</v>
      </c>
      <c r="H1572">
        <v>6.0980602046066296E-4</v>
      </c>
      <c r="I1572" t="s">
        <v>998</v>
      </c>
      <c r="J1572" t="s">
        <v>432</v>
      </c>
      <c r="K1572" t="s">
        <v>417</v>
      </c>
      <c r="L1572" t="s">
        <v>2295</v>
      </c>
    </row>
    <row r="1573" spans="1:12" hidden="1" x14ac:dyDescent="0.25">
      <c r="A1573" s="516">
        <v>1548</v>
      </c>
      <c r="B1573" t="s">
        <v>441</v>
      </c>
      <c r="C1573" t="s">
        <v>432</v>
      </c>
      <c r="D1573" t="s">
        <v>2292</v>
      </c>
      <c r="E1573">
        <v>4</v>
      </c>
      <c r="F1573">
        <v>4.445763088521482E-4</v>
      </c>
      <c r="G1573">
        <v>9.9057501452062816E-9</v>
      </c>
      <c r="H1573">
        <v>6.0980602046066303E-5</v>
      </c>
      <c r="I1573" t="s">
        <v>506</v>
      </c>
      <c r="J1573" t="s">
        <v>432</v>
      </c>
      <c r="K1573" t="s">
        <v>433</v>
      </c>
      <c r="L1573" t="s">
        <v>2295</v>
      </c>
    </row>
    <row r="1574" spans="1:12" x14ac:dyDescent="0.25">
      <c r="A1574" s="516">
        <v>1549</v>
      </c>
      <c r="B1574" t="s">
        <v>441</v>
      </c>
      <c r="C1574" t="s">
        <v>432</v>
      </c>
      <c r="D1574" t="s">
        <v>2292</v>
      </c>
      <c r="E1574">
        <v>3</v>
      </c>
      <c r="F1574">
        <v>4.445763088521482E-4</v>
      </c>
      <c r="G1574">
        <v>9.9057501452062816E-9</v>
      </c>
      <c r="H1574">
        <v>6.0980602046066303E-5</v>
      </c>
      <c r="I1574" t="s">
        <v>506</v>
      </c>
      <c r="J1574" t="s">
        <v>432</v>
      </c>
      <c r="K1574" t="s">
        <v>433</v>
      </c>
    </row>
    <row r="1575" spans="1:12" hidden="1" x14ac:dyDescent="0.25">
      <c r="A1575" s="516">
        <v>1550</v>
      </c>
      <c r="B1575" t="s">
        <v>441</v>
      </c>
      <c r="C1575" t="s">
        <v>432</v>
      </c>
      <c r="D1575" t="s">
        <v>2292</v>
      </c>
      <c r="E1575">
        <v>4</v>
      </c>
      <c r="F1575">
        <v>1.4540060728493931E-4</v>
      </c>
      <c r="G1575">
        <v>3.239718487124485E-9</v>
      </c>
      <c r="H1575">
        <v>5.3300022630301139E-12</v>
      </c>
      <c r="I1575" t="s">
        <v>2277</v>
      </c>
      <c r="J1575" t="s">
        <v>462</v>
      </c>
      <c r="K1575" t="s">
        <v>1995</v>
      </c>
      <c r="L1575" t="s">
        <v>2295</v>
      </c>
    </row>
    <row r="1576" spans="1:12" hidden="1" x14ac:dyDescent="0.25">
      <c r="A1576" s="516">
        <v>1551</v>
      </c>
      <c r="B1576" t="s">
        <v>441</v>
      </c>
      <c r="C1576" t="s">
        <v>432</v>
      </c>
      <c r="D1576" t="s">
        <v>2292</v>
      </c>
      <c r="E1576">
        <v>4</v>
      </c>
      <c r="F1576">
        <v>4.0452939723416666E-6</v>
      </c>
      <c r="G1576">
        <v>9.0134518092938046E-11</v>
      </c>
      <c r="H1576">
        <v>2.0371767410342151E-7</v>
      </c>
      <c r="I1576" t="s">
        <v>2231</v>
      </c>
      <c r="L1576" t="s">
        <v>2295</v>
      </c>
    </row>
    <row r="1577" spans="1:12" hidden="1" x14ac:dyDescent="0.25">
      <c r="A1577" s="516">
        <v>1552</v>
      </c>
      <c r="B1577" t="s">
        <v>441</v>
      </c>
      <c r="C1577" t="s">
        <v>432</v>
      </c>
      <c r="D1577" t="s">
        <v>2292</v>
      </c>
      <c r="E1577">
        <v>4</v>
      </c>
      <c r="F1577">
        <v>2.4500010244304809E-6</v>
      </c>
      <c r="G1577">
        <v>5.4589274147711939E-11</v>
      </c>
      <c r="H1577">
        <v>1.044214083571819E-7</v>
      </c>
      <c r="I1577" t="s">
        <v>2231</v>
      </c>
      <c r="L1577" t="s">
        <v>2295</v>
      </c>
    </row>
    <row r="1578" spans="1:12" hidden="1" x14ac:dyDescent="0.25">
      <c r="A1578" s="516">
        <v>1553</v>
      </c>
      <c r="B1578" t="s">
        <v>441</v>
      </c>
      <c r="C1578" t="s">
        <v>432</v>
      </c>
      <c r="D1578" t="s">
        <v>2292</v>
      </c>
      <c r="E1578">
        <v>4</v>
      </c>
      <c r="F1578">
        <v>5.2537387122634019E-6</v>
      </c>
      <c r="G1578">
        <v>1.170602705894223E-10</v>
      </c>
      <c r="H1578">
        <v>3.1728043308528322E-7</v>
      </c>
      <c r="I1578" t="s">
        <v>2231</v>
      </c>
      <c r="L1578" t="s">
        <v>2295</v>
      </c>
    </row>
    <row r="1579" spans="1:12" hidden="1" x14ac:dyDescent="0.25">
      <c r="A1579" s="516">
        <v>1554</v>
      </c>
      <c r="B1579" t="s">
        <v>441</v>
      </c>
      <c r="C1579" t="s">
        <v>432</v>
      </c>
      <c r="D1579" t="s">
        <v>2292</v>
      </c>
      <c r="E1579">
        <v>4</v>
      </c>
      <c r="F1579">
        <v>2.535445259880826E-6</v>
      </c>
      <c r="G1579">
        <v>5.6493085104046042E-11</v>
      </c>
      <c r="H1579">
        <v>1.7671315260446161E-7</v>
      </c>
      <c r="I1579" t="s">
        <v>2231</v>
      </c>
      <c r="L1579" t="s">
        <v>2295</v>
      </c>
    </row>
    <row r="1580" spans="1:12" hidden="1" x14ac:dyDescent="0.25">
      <c r="A1580" s="516">
        <v>1555</v>
      </c>
      <c r="B1580" t="s">
        <v>441</v>
      </c>
      <c r="C1580" t="s">
        <v>432</v>
      </c>
      <c r="D1580" t="s">
        <v>2292</v>
      </c>
      <c r="E1580">
        <v>4</v>
      </c>
      <c r="F1580">
        <v>1.154811696799461E-6</v>
      </c>
      <c r="G1580">
        <v>2.573073712090562E-11</v>
      </c>
      <c r="H1580">
        <v>6.8275536233541985E-8</v>
      </c>
      <c r="I1580" t="s">
        <v>2231</v>
      </c>
      <c r="L1580" t="s">
        <v>2295</v>
      </c>
    </row>
    <row r="1581" spans="1:12" hidden="1" x14ac:dyDescent="0.25">
      <c r="A1581" s="516">
        <v>1556</v>
      </c>
      <c r="B1581" t="s">
        <v>441</v>
      </c>
      <c r="C1581" t="s">
        <v>432</v>
      </c>
      <c r="D1581" t="s">
        <v>2292</v>
      </c>
      <c r="E1581">
        <v>4</v>
      </c>
      <c r="F1581">
        <v>1.289381175350265E-5</v>
      </c>
      <c r="G1581">
        <v>2.8729123686165172E-10</v>
      </c>
      <c r="H1581">
        <v>8.1067158757296726E-7</v>
      </c>
      <c r="I1581" t="s">
        <v>2231</v>
      </c>
      <c r="L1581" t="s">
        <v>2295</v>
      </c>
    </row>
    <row r="1582" spans="1:12" hidden="1" x14ac:dyDescent="0.25">
      <c r="A1582" s="516">
        <v>1557</v>
      </c>
      <c r="B1582" t="s">
        <v>441</v>
      </c>
      <c r="C1582" t="s">
        <v>432</v>
      </c>
      <c r="D1582" t="s">
        <v>2292</v>
      </c>
      <c r="E1582">
        <v>4</v>
      </c>
      <c r="F1582">
        <v>1.7864204416643119E-6</v>
      </c>
      <c r="G1582">
        <v>3.9803818145651101E-11</v>
      </c>
      <c r="H1582">
        <v>1.124538243846574E-7</v>
      </c>
      <c r="I1582" t="s">
        <v>2231</v>
      </c>
      <c r="L1582" t="s">
        <v>2295</v>
      </c>
    </row>
    <row r="1583" spans="1:12" hidden="1" x14ac:dyDescent="0.25">
      <c r="A1583" s="516">
        <v>1558</v>
      </c>
      <c r="B1583" t="s">
        <v>441</v>
      </c>
      <c r="C1583" t="s">
        <v>432</v>
      </c>
      <c r="D1583" t="s">
        <v>2292</v>
      </c>
      <c r="E1583">
        <v>4</v>
      </c>
      <c r="F1583">
        <v>3.7497412553676721E-6</v>
      </c>
      <c r="G1583">
        <v>8.3549211339548027E-11</v>
      </c>
      <c r="H1583">
        <v>2.0884281671436361E-7</v>
      </c>
      <c r="I1583" t="s">
        <v>2231</v>
      </c>
      <c r="L1583" t="s">
        <v>2295</v>
      </c>
    </row>
    <row r="1584" spans="1:12" hidden="1" x14ac:dyDescent="0.25">
      <c r="A1584" s="516">
        <v>1559</v>
      </c>
      <c r="B1584" t="s">
        <v>441</v>
      </c>
      <c r="C1584" t="s">
        <v>432</v>
      </c>
      <c r="D1584" t="s">
        <v>2292</v>
      </c>
      <c r="E1584">
        <v>4</v>
      </c>
      <c r="F1584">
        <v>1.613483254833409E-6</v>
      </c>
      <c r="G1584">
        <v>3.5950548123267853E-11</v>
      </c>
      <c r="H1584">
        <v>1.044214083571819E-7</v>
      </c>
      <c r="I1584" t="s">
        <v>2231</v>
      </c>
      <c r="L1584" t="s">
        <v>2295</v>
      </c>
    </row>
    <row r="1585" spans="1:12" hidden="1" x14ac:dyDescent="0.25">
      <c r="A1585" s="516">
        <v>1560</v>
      </c>
      <c r="B1585" t="s">
        <v>441</v>
      </c>
      <c r="C1585" t="s">
        <v>432</v>
      </c>
      <c r="D1585" t="s">
        <v>2292</v>
      </c>
      <c r="E1585">
        <v>4</v>
      </c>
      <c r="F1585">
        <v>2.551646731035805E-6</v>
      </c>
      <c r="G1585">
        <v>5.6854075381868902E-11</v>
      </c>
      <c r="H1585">
        <v>1.044214083571819E-7</v>
      </c>
      <c r="I1585" t="s">
        <v>2231</v>
      </c>
      <c r="L1585" t="s">
        <v>2295</v>
      </c>
    </row>
    <row r="1586" spans="1:12" hidden="1" x14ac:dyDescent="0.25">
      <c r="A1586" s="516">
        <v>1561</v>
      </c>
      <c r="B1586" t="s">
        <v>441</v>
      </c>
      <c r="C1586" t="s">
        <v>432</v>
      </c>
      <c r="D1586" t="s">
        <v>2292</v>
      </c>
      <c r="E1586">
        <v>4</v>
      </c>
      <c r="F1586">
        <v>2.347060948381249E-4</v>
      </c>
      <c r="G1586">
        <v>5.2295632644625599E-9</v>
      </c>
      <c r="H1586">
        <v>5.798008747587617E-5</v>
      </c>
      <c r="I1586" t="s">
        <v>2258</v>
      </c>
      <c r="J1586" t="s">
        <v>432</v>
      </c>
      <c r="K1586" t="s">
        <v>433</v>
      </c>
      <c r="L1586" t="s">
        <v>2295</v>
      </c>
    </row>
    <row r="1587" spans="1:12" hidden="1" x14ac:dyDescent="0.25">
      <c r="A1587" s="516">
        <v>1562</v>
      </c>
      <c r="B1587" t="s">
        <v>441</v>
      </c>
      <c r="C1587" t="s">
        <v>432</v>
      </c>
      <c r="D1587" t="s">
        <v>2292</v>
      </c>
      <c r="E1587">
        <v>4</v>
      </c>
      <c r="F1587">
        <v>1.219293871947615E-5</v>
      </c>
      <c r="G1587">
        <v>2.716748555558092E-10</v>
      </c>
      <c r="H1587">
        <v>1.6724524654590221E-6</v>
      </c>
      <c r="I1587" t="s">
        <v>2231</v>
      </c>
      <c r="L1587" t="s">
        <v>2295</v>
      </c>
    </row>
    <row r="1588" spans="1:12" hidden="1" x14ac:dyDescent="0.25">
      <c r="A1588" s="516">
        <v>1563</v>
      </c>
      <c r="B1588" t="s">
        <v>441</v>
      </c>
      <c r="C1588" t="s">
        <v>432</v>
      </c>
      <c r="D1588" t="s">
        <v>2292</v>
      </c>
      <c r="E1588">
        <v>4</v>
      </c>
      <c r="F1588">
        <v>2.8606677772925521E-7</v>
      </c>
      <c r="G1588">
        <v>6.3739474385097347E-12</v>
      </c>
      <c r="H1588">
        <v>2.409724808242658E-8</v>
      </c>
      <c r="I1588" t="s">
        <v>2231</v>
      </c>
      <c r="L1588" t="s">
        <v>2295</v>
      </c>
    </row>
    <row r="1589" spans="1:12" hidden="1" x14ac:dyDescent="0.25">
      <c r="A1589" s="516">
        <v>1564</v>
      </c>
      <c r="B1589" t="s">
        <v>441</v>
      </c>
      <c r="C1589" t="s">
        <v>432</v>
      </c>
      <c r="D1589" t="s">
        <v>2292</v>
      </c>
      <c r="E1589">
        <v>4</v>
      </c>
      <c r="F1589">
        <v>1.774134622930415E-6</v>
      </c>
      <c r="G1589">
        <v>3.9530073800115697E-11</v>
      </c>
      <c r="H1589">
        <v>6.927958823697639E-8</v>
      </c>
      <c r="I1589" t="s">
        <v>2231</v>
      </c>
      <c r="L1589" t="s">
        <v>2295</v>
      </c>
    </row>
    <row r="1590" spans="1:12" hidden="1" x14ac:dyDescent="0.25">
      <c r="A1590" s="516">
        <v>1565</v>
      </c>
      <c r="B1590" t="s">
        <v>441</v>
      </c>
      <c r="C1590" t="s">
        <v>432</v>
      </c>
      <c r="D1590" t="s">
        <v>2292</v>
      </c>
      <c r="E1590">
        <v>4</v>
      </c>
      <c r="F1590">
        <v>1.745084088716374E-6</v>
      </c>
      <c r="G1590">
        <v>3.8882789345728008E-11</v>
      </c>
      <c r="H1590">
        <v>1.9277798465941261E-7</v>
      </c>
      <c r="I1590" t="s">
        <v>2231</v>
      </c>
      <c r="L1590" t="s">
        <v>2295</v>
      </c>
    </row>
    <row r="1591" spans="1:12" hidden="1" x14ac:dyDescent="0.25">
      <c r="A1591" s="516">
        <v>1566</v>
      </c>
      <c r="B1591" t="s">
        <v>441</v>
      </c>
      <c r="C1591" t="s">
        <v>432</v>
      </c>
      <c r="D1591" t="s">
        <v>2292</v>
      </c>
      <c r="E1591">
        <v>4</v>
      </c>
      <c r="F1591">
        <v>8.3445316452500134E-6</v>
      </c>
      <c r="G1591">
        <v>1.8592723883562449E-10</v>
      </c>
      <c r="H1591">
        <v>4.137798711353674E-7</v>
      </c>
      <c r="I1591" t="s">
        <v>2231</v>
      </c>
      <c r="L1591" t="s">
        <v>2295</v>
      </c>
    </row>
    <row r="1592" spans="1:12" hidden="1" x14ac:dyDescent="0.25">
      <c r="A1592" s="516">
        <v>1567</v>
      </c>
      <c r="B1592" t="s">
        <v>441</v>
      </c>
      <c r="C1592" t="s">
        <v>432</v>
      </c>
      <c r="D1592" t="s">
        <v>2292</v>
      </c>
      <c r="E1592">
        <v>4</v>
      </c>
      <c r="F1592">
        <v>1.178979810860931E-7</v>
      </c>
      <c r="G1592">
        <v>2.626923477497965E-12</v>
      </c>
      <c r="H1592">
        <v>8.032416027475526E-9</v>
      </c>
      <c r="I1592" t="s">
        <v>2231</v>
      </c>
      <c r="L1592" t="s">
        <v>2295</v>
      </c>
    </row>
    <row r="1593" spans="1:12" hidden="1" x14ac:dyDescent="0.25">
      <c r="A1593" s="516">
        <v>1568</v>
      </c>
      <c r="B1593" t="s">
        <v>441</v>
      </c>
      <c r="C1593" t="s">
        <v>432</v>
      </c>
      <c r="D1593" t="s">
        <v>2292</v>
      </c>
      <c r="E1593">
        <v>4</v>
      </c>
      <c r="F1593">
        <v>1.837540904152055E-6</v>
      </c>
      <c r="G1593">
        <v>4.094284989032148E-11</v>
      </c>
      <c r="H1593">
        <v>6.927958823697639E-8</v>
      </c>
      <c r="I1593" t="s">
        <v>2231</v>
      </c>
      <c r="L1593" t="s">
        <v>2295</v>
      </c>
    </row>
    <row r="1594" spans="1:12" hidden="1" x14ac:dyDescent="0.25">
      <c r="A1594" s="516">
        <v>1569</v>
      </c>
      <c r="B1594" t="s">
        <v>441</v>
      </c>
      <c r="C1594" t="s">
        <v>432</v>
      </c>
      <c r="D1594" t="s">
        <v>2292</v>
      </c>
      <c r="E1594">
        <v>4</v>
      </c>
      <c r="F1594">
        <v>1.3687921854141429E-7</v>
      </c>
      <c r="G1594">
        <v>3.049850637437505E-12</v>
      </c>
      <c r="H1594">
        <v>1.204862404121329E-8</v>
      </c>
      <c r="I1594" t="s">
        <v>2231</v>
      </c>
      <c r="L1594" t="s">
        <v>2295</v>
      </c>
    </row>
    <row r="1595" spans="1:12" hidden="1" x14ac:dyDescent="0.25">
      <c r="A1595" s="516">
        <v>1570</v>
      </c>
      <c r="B1595" t="s">
        <v>441</v>
      </c>
      <c r="C1595" t="s">
        <v>432</v>
      </c>
      <c r="D1595" t="s">
        <v>2292</v>
      </c>
      <c r="E1595">
        <v>4</v>
      </c>
      <c r="F1595">
        <v>1.4328429247372209E-10</v>
      </c>
      <c r="G1595">
        <v>3.1925641846321999E-15</v>
      </c>
      <c r="H1595">
        <v>1.8233200011773819E-13</v>
      </c>
      <c r="I1595" t="s">
        <v>2231</v>
      </c>
      <c r="L1595" t="s">
        <v>2295</v>
      </c>
    </row>
    <row r="1596" spans="1:12" x14ac:dyDescent="0.25">
      <c r="A1596" s="568">
        <v>1571</v>
      </c>
      <c r="B1596" s="417" t="s">
        <v>441</v>
      </c>
      <c r="C1596" s="417" t="s">
        <v>432</v>
      </c>
      <c r="D1596" s="417" t="s">
        <v>2292</v>
      </c>
      <c r="E1596" s="417">
        <v>2</v>
      </c>
      <c r="F1596" s="417">
        <v>0.84084014734509682</v>
      </c>
      <c r="G1596" s="417">
        <v>1.8735034336768881E-5</v>
      </c>
      <c r="H1596" s="417">
        <v>1.345215447737791E-5</v>
      </c>
      <c r="I1596" s="417" t="s">
        <v>2090</v>
      </c>
      <c r="J1596" s="417" t="s">
        <v>432</v>
      </c>
      <c r="K1596" s="417" t="s">
        <v>1047</v>
      </c>
    </row>
    <row r="1597" spans="1:12" x14ac:dyDescent="0.25">
      <c r="A1597" s="516">
        <v>1572</v>
      </c>
      <c r="B1597" t="s">
        <v>441</v>
      </c>
      <c r="C1597" t="s">
        <v>432</v>
      </c>
      <c r="D1597" t="s">
        <v>2292</v>
      </c>
      <c r="E1597">
        <v>3</v>
      </c>
      <c r="F1597">
        <v>7.0009059721938584E-3</v>
      </c>
      <c r="G1597">
        <v>1.5598947575431459E-7</v>
      </c>
      <c r="H1597">
        <v>1.775618624925329E-3</v>
      </c>
      <c r="I1597" t="s">
        <v>1034</v>
      </c>
      <c r="J1597" t="s">
        <v>432</v>
      </c>
      <c r="K1597" t="s">
        <v>433</v>
      </c>
      <c r="L1597" t="str">
        <f>O9</f>
        <v>Energy use, vertical</v>
      </c>
    </row>
    <row r="1598" spans="1:12" hidden="1" x14ac:dyDescent="0.25">
      <c r="A1598" s="516">
        <v>1573</v>
      </c>
      <c r="B1598" t="s">
        <v>441</v>
      </c>
      <c r="C1598" t="s">
        <v>432</v>
      </c>
      <c r="D1598" t="s">
        <v>2292</v>
      </c>
      <c r="E1598">
        <v>4</v>
      </c>
      <c r="F1598">
        <v>2.6326633028314709E-5</v>
      </c>
      <c r="G1598">
        <v>5.8659232116156169E-10</v>
      </c>
      <c r="H1598">
        <v>6.6771443756444723E-6</v>
      </c>
      <c r="I1598" t="s">
        <v>2231</v>
      </c>
      <c r="L1598" t="s">
        <v>2295</v>
      </c>
    </row>
    <row r="1599" spans="1:12" hidden="1" x14ac:dyDescent="0.25">
      <c r="A1599" s="516">
        <v>1574</v>
      </c>
      <c r="B1599" t="s">
        <v>441</v>
      </c>
      <c r="C1599" t="s">
        <v>432</v>
      </c>
      <c r="D1599" t="s">
        <v>2292</v>
      </c>
      <c r="E1599">
        <v>4</v>
      </c>
      <c r="F1599">
        <v>2.4187536096177999E-5</v>
      </c>
      <c r="G1599">
        <v>5.3893040278171745E-10</v>
      </c>
      <c r="H1599">
        <v>1.2685391188773391E-5</v>
      </c>
      <c r="I1599" t="s">
        <v>2231</v>
      </c>
      <c r="L1599" t="s">
        <v>2295</v>
      </c>
    </row>
    <row r="1600" spans="1:12" hidden="1" x14ac:dyDescent="0.25">
      <c r="A1600" s="516">
        <v>1575</v>
      </c>
      <c r="B1600" t="s">
        <v>441</v>
      </c>
      <c r="C1600" t="s">
        <v>432</v>
      </c>
      <c r="D1600" t="s">
        <v>2292</v>
      </c>
      <c r="E1600">
        <v>4</v>
      </c>
      <c r="F1600">
        <v>6.0177790877407808E-3</v>
      </c>
      <c r="G1600">
        <v>1.3408410409028821E-7</v>
      </c>
      <c r="H1600">
        <v>1.762933233736555E-3</v>
      </c>
      <c r="I1600" t="s">
        <v>2259</v>
      </c>
      <c r="J1600" t="s">
        <v>432</v>
      </c>
      <c r="K1600" t="s">
        <v>433</v>
      </c>
      <c r="L1600" t="s">
        <v>2295</v>
      </c>
    </row>
    <row r="1601" spans="1:12" hidden="1" x14ac:dyDescent="0.25">
      <c r="A1601" s="516">
        <v>1576</v>
      </c>
      <c r="B1601" t="s">
        <v>441</v>
      </c>
      <c r="C1601" t="s">
        <v>432</v>
      </c>
      <c r="D1601" t="s">
        <v>2292</v>
      </c>
      <c r="E1601">
        <v>4</v>
      </c>
      <c r="F1601">
        <v>7.5349285607629603E-8</v>
      </c>
      <c r="G1601">
        <v>1.6788820771310881E-12</v>
      </c>
      <c r="H1601">
        <v>9.5883405745967752E-11</v>
      </c>
      <c r="I1601" t="s">
        <v>2231</v>
      </c>
      <c r="L1601" t="s">
        <v>2295</v>
      </c>
    </row>
    <row r="1602" spans="1:12" hidden="1" x14ac:dyDescent="0.25">
      <c r="A1602" s="516">
        <v>1577</v>
      </c>
      <c r="B1602" t="s">
        <v>441</v>
      </c>
      <c r="C1602" t="s">
        <v>432</v>
      </c>
      <c r="D1602" t="s">
        <v>2292</v>
      </c>
      <c r="E1602">
        <v>4</v>
      </c>
      <c r="F1602">
        <v>9.3253738269419523E-4</v>
      </c>
      <c r="G1602">
        <v>2.0778170429017169E-8</v>
      </c>
      <c r="H1602">
        <v>3.3075811248947343E-11</v>
      </c>
      <c r="I1602" t="s">
        <v>2260</v>
      </c>
      <c r="J1602" t="s">
        <v>462</v>
      </c>
      <c r="K1602" t="s">
        <v>1995</v>
      </c>
      <c r="L1602" t="s">
        <v>2295</v>
      </c>
    </row>
    <row r="1603" spans="1:12" x14ac:dyDescent="0.25">
      <c r="A1603" s="516">
        <v>1578</v>
      </c>
      <c r="B1603" t="s">
        <v>441</v>
      </c>
      <c r="C1603" t="s">
        <v>432</v>
      </c>
      <c r="D1603" t="s">
        <v>2292</v>
      </c>
      <c r="E1603">
        <v>3</v>
      </c>
      <c r="F1603">
        <v>0.68182947176519215</v>
      </c>
      <c r="G1603">
        <v>1.5192065466516231E-5</v>
      </c>
      <c r="H1603">
        <v>8.9945686730693111E-4</v>
      </c>
      <c r="I1603" t="s">
        <v>460</v>
      </c>
      <c r="J1603" t="s">
        <v>462</v>
      </c>
      <c r="K1603" t="s">
        <v>417</v>
      </c>
      <c r="L1603" t="str">
        <f>O12</f>
        <v>Casing, steel</v>
      </c>
    </row>
    <row r="1604" spans="1:12" hidden="1" x14ac:dyDescent="0.25">
      <c r="A1604" s="516">
        <v>1579</v>
      </c>
      <c r="B1604" t="s">
        <v>441</v>
      </c>
      <c r="C1604" t="s">
        <v>432</v>
      </c>
      <c r="D1604" t="s">
        <v>2292</v>
      </c>
      <c r="E1604">
        <v>4</v>
      </c>
      <c r="F1604">
        <v>8.1170342732832454E-2</v>
      </c>
      <c r="G1604">
        <v>1.808582954832173E-6</v>
      </c>
      <c r="H1604">
        <v>1.172163618297076E-4</v>
      </c>
      <c r="I1604" t="s">
        <v>580</v>
      </c>
      <c r="J1604" t="s">
        <v>419</v>
      </c>
      <c r="K1604" t="s">
        <v>417</v>
      </c>
      <c r="L1604" t="s">
        <v>2295</v>
      </c>
    </row>
    <row r="1605" spans="1:12" hidden="1" x14ac:dyDescent="0.25">
      <c r="A1605" s="516">
        <v>1580</v>
      </c>
      <c r="B1605" t="s">
        <v>441</v>
      </c>
      <c r="C1605" t="s">
        <v>432</v>
      </c>
      <c r="D1605" t="s">
        <v>2292</v>
      </c>
      <c r="E1605">
        <v>4</v>
      </c>
      <c r="F1605">
        <v>0.58529068622138591</v>
      </c>
      <c r="G1605">
        <v>1.304105321085276E-5</v>
      </c>
      <c r="H1605">
        <v>7.8224050547722357E-4</v>
      </c>
      <c r="I1605" t="s">
        <v>580</v>
      </c>
      <c r="J1605" t="s">
        <v>1992</v>
      </c>
      <c r="K1605" t="s">
        <v>417</v>
      </c>
      <c r="L1605" t="s">
        <v>2295</v>
      </c>
    </row>
    <row r="1606" spans="1:12" hidden="1" x14ac:dyDescent="0.25">
      <c r="A1606" s="516">
        <v>1581</v>
      </c>
      <c r="B1606" t="s">
        <v>441</v>
      </c>
      <c r="C1606" t="s">
        <v>432</v>
      </c>
      <c r="D1606" t="s">
        <v>2292</v>
      </c>
      <c r="E1606">
        <v>4</v>
      </c>
      <c r="F1606">
        <v>4.3322983654112629E-3</v>
      </c>
      <c r="G1606">
        <v>9.6529356845511965E-8</v>
      </c>
      <c r="H1606">
        <v>1.7116664184850899E-4</v>
      </c>
      <c r="I1606" t="s">
        <v>2254</v>
      </c>
      <c r="J1606" t="s">
        <v>462</v>
      </c>
      <c r="K1606" t="s">
        <v>925</v>
      </c>
      <c r="L1606" t="s">
        <v>2295</v>
      </c>
    </row>
    <row r="1607" spans="1:12" hidden="1" x14ac:dyDescent="0.25">
      <c r="A1607" s="516">
        <v>1582</v>
      </c>
      <c r="B1607" t="s">
        <v>441</v>
      </c>
      <c r="C1607" t="s">
        <v>432</v>
      </c>
      <c r="D1607" t="s">
        <v>2292</v>
      </c>
      <c r="E1607">
        <v>4</v>
      </c>
      <c r="F1607">
        <v>4.9913087250452151E-4</v>
      </c>
      <c r="G1607">
        <v>1.1121298221118E-8</v>
      </c>
      <c r="H1607">
        <v>1.8079083032869311E-5</v>
      </c>
      <c r="I1607" t="s">
        <v>2261</v>
      </c>
      <c r="J1607" t="s">
        <v>462</v>
      </c>
      <c r="K1607" t="s">
        <v>925</v>
      </c>
      <c r="L1607" t="s">
        <v>2295</v>
      </c>
    </row>
    <row r="1608" spans="1:12" hidden="1" x14ac:dyDescent="0.25">
      <c r="A1608" s="516">
        <v>1583</v>
      </c>
      <c r="B1608" t="s">
        <v>441</v>
      </c>
      <c r="C1608" t="s">
        <v>432</v>
      </c>
      <c r="D1608" t="s">
        <v>2292</v>
      </c>
      <c r="E1608">
        <v>4</v>
      </c>
      <c r="F1608">
        <v>8.1881761625855459E-3</v>
      </c>
      <c r="G1608">
        <v>1.8244343118715531E-7</v>
      </c>
      <c r="H1608">
        <v>1.8573784309888129E-4</v>
      </c>
      <c r="I1608" t="s">
        <v>2255</v>
      </c>
      <c r="J1608" t="s">
        <v>462</v>
      </c>
      <c r="K1608" t="s">
        <v>925</v>
      </c>
      <c r="L1608" t="s">
        <v>2295</v>
      </c>
    </row>
    <row r="1609" spans="1:12" hidden="1" x14ac:dyDescent="0.25">
      <c r="A1609" s="516">
        <v>1584</v>
      </c>
      <c r="B1609" t="s">
        <v>441</v>
      </c>
      <c r="C1609" t="s">
        <v>432</v>
      </c>
      <c r="D1609" t="s">
        <v>2292</v>
      </c>
      <c r="E1609">
        <v>4</v>
      </c>
      <c r="F1609">
        <v>2.3488474952704482E-3</v>
      </c>
      <c r="G1609">
        <v>5.2335439280190117E-8</v>
      </c>
      <c r="H1609">
        <v>3.9657053279562588E-4</v>
      </c>
      <c r="I1609" t="s">
        <v>2262</v>
      </c>
      <c r="J1609" t="s">
        <v>462</v>
      </c>
      <c r="K1609" t="s">
        <v>925</v>
      </c>
      <c r="L1609" t="s">
        <v>2295</v>
      </c>
    </row>
    <row r="1610" spans="1:12" x14ac:dyDescent="0.25">
      <c r="A1610" s="516">
        <v>1585</v>
      </c>
      <c r="B1610" t="s">
        <v>441</v>
      </c>
      <c r="C1610" t="s">
        <v>432</v>
      </c>
      <c r="D1610" t="s">
        <v>2292</v>
      </c>
      <c r="E1610">
        <v>3</v>
      </c>
      <c r="F1610">
        <v>7.6578762566174172E-2</v>
      </c>
      <c r="G1610">
        <v>1.70627645536972E-6</v>
      </c>
      <c r="H1610">
        <v>9.4973176160183628E-4</v>
      </c>
      <c r="I1610" t="s">
        <v>1060</v>
      </c>
      <c r="J1610" t="s">
        <v>459</v>
      </c>
      <c r="K1610" t="s">
        <v>417</v>
      </c>
      <c r="L1610" t="str">
        <f>O11</f>
        <v>Casing, cement</v>
      </c>
    </row>
    <row r="1611" spans="1:12" hidden="1" x14ac:dyDescent="0.25">
      <c r="A1611" s="516">
        <v>1586</v>
      </c>
      <c r="B1611" t="s">
        <v>441</v>
      </c>
      <c r="C1611" t="s">
        <v>432</v>
      </c>
      <c r="D1611" t="s">
        <v>2292</v>
      </c>
      <c r="E1611">
        <v>4</v>
      </c>
      <c r="F1611">
        <v>6.9389713956410359E-2</v>
      </c>
      <c r="G1611">
        <v>1.5460949119718551E-6</v>
      </c>
      <c r="H1611">
        <v>9.4973176160183628E-4</v>
      </c>
      <c r="I1611" t="s">
        <v>2263</v>
      </c>
      <c r="J1611" t="s">
        <v>459</v>
      </c>
      <c r="K1611" t="s">
        <v>417</v>
      </c>
      <c r="L1611" t="s">
        <v>2295</v>
      </c>
    </row>
    <row r="1612" spans="1:12" hidden="1" x14ac:dyDescent="0.25">
      <c r="A1612" s="516">
        <v>1587</v>
      </c>
      <c r="B1612" t="s">
        <v>441</v>
      </c>
      <c r="C1612" t="s">
        <v>432</v>
      </c>
      <c r="D1612" t="s">
        <v>2292</v>
      </c>
      <c r="E1612">
        <v>4</v>
      </c>
      <c r="F1612">
        <v>4.4932875213845019E-4</v>
      </c>
      <c r="G1612">
        <v>1.001164088845105E-8</v>
      </c>
      <c r="H1612">
        <v>2.3743294040045909E-5</v>
      </c>
      <c r="I1612" t="s">
        <v>2264</v>
      </c>
      <c r="J1612" t="s">
        <v>459</v>
      </c>
      <c r="K1612" t="s">
        <v>925</v>
      </c>
      <c r="L1612" t="s">
        <v>2295</v>
      </c>
    </row>
    <row r="1613" spans="1:12" hidden="1" x14ac:dyDescent="0.25">
      <c r="A1613" s="516">
        <v>1588</v>
      </c>
      <c r="B1613" t="s">
        <v>441</v>
      </c>
      <c r="C1613" t="s">
        <v>432</v>
      </c>
      <c r="D1613" t="s">
        <v>2292</v>
      </c>
      <c r="E1613">
        <v>4</v>
      </c>
      <c r="F1613">
        <v>1.9275826032737039E-3</v>
      </c>
      <c r="G1613">
        <v>4.2949098438409359E-8</v>
      </c>
      <c r="H1613">
        <v>3.13411481328606E-6</v>
      </c>
      <c r="I1613" t="s">
        <v>2265</v>
      </c>
      <c r="J1613" t="s">
        <v>459</v>
      </c>
      <c r="K1613" t="s">
        <v>925</v>
      </c>
      <c r="L1613" t="s">
        <v>2295</v>
      </c>
    </row>
    <row r="1614" spans="1:12" hidden="1" x14ac:dyDescent="0.25">
      <c r="A1614" s="516">
        <v>1589</v>
      </c>
      <c r="B1614" t="s">
        <v>441</v>
      </c>
      <c r="C1614" t="s">
        <v>432</v>
      </c>
      <c r="D1614" t="s">
        <v>2292</v>
      </c>
      <c r="E1614">
        <v>4</v>
      </c>
      <c r="F1614">
        <v>4.812137299421055E-3</v>
      </c>
      <c r="G1614">
        <v>1.072208050752103E-7</v>
      </c>
      <c r="H1614">
        <v>1.015263253152363E-4</v>
      </c>
      <c r="I1614" t="s">
        <v>2266</v>
      </c>
      <c r="J1614" t="s">
        <v>419</v>
      </c>
      <c r="K1614" t="s">
        <v>925</v>
      </c>
      <c r="L1614" t="s">
        <v>2295</v>
      </c>
    </row>
    <row r="1615" spans="1:12" x14ac:dyDescent="0.25">
      <c r="A1615" s="516">
        <v>1590</v>
      </c>
      <c r="B1615" t="s">
        <v>441</v>
      </c>
      <c r="C1615" t="s">
        <v>432</v>
      </c>
      <c r="D1615" t="s">
        <v>2292</v>
      </c>
      <c r="E1615">
        <v>3</v>
      </c>
      <c r="F1615">
        <v>5.5603613231559698E-6</v>
      </c>
      <c r="G1615">
        <v>1.2389222926984471E-10</v>
      </c>
      <c r="H1615">
        <v>3.7989270464073449E-4</v>
      </c>
      <c r="I1615" t="s">
        <v>2231</v>
      </c>
    </row>
    <row r="1616" spans="1:12" x14ac:dyDescent="0.25">
      <c r="A1616" s="516">
        <v>1591</v>
      </c>
      <c r="B1616" t="s">
        <v>441</v>
      </c>
      <c r="C1616" t="s">
        <v>432</v>
      </c>
      <c r="D1616" t="s">
        <v>2292</v>
      </c>
      <c r="E1616">
        <v>3</v>
      </c>
      <c r="F1616">
        <v>0</v>
      </c>
      <c r="G1616">
        <v>0</v>
      </c>
      <c r="H1616">
        <v>0</v>
      </c>
      <c r="I1616" t="s">
        <v>2231</v>
      </c>
    </row>
    <row r="1617" spans="1:12" x14ac:dyDescent="0.25">
      <c r="A1617" s="516">
        <v>1592</v>
      </c>
      <c r="B1617" t="s">
        <v>441</v>
      </c>
      <c r="C1617" t="s">
        <v>432</v>
      </c>
      <c r="D1617" t="s">
        <v>2292</v>
      </c>
      <c r="E1617">
        <v>3</v>
      </c>
      <c r="F1617">
        <v>0</v>
      </c>
      <c r="G1617">
        <v>0</v>
      </c>
      <c r="H1617">
        <v>0</v>
      </c>
      <c r="I1617" t="s">
        <v>2231</v>
      </c>
    </row>
    <row r="1618" spans="1:12" x14ac:dyDescent="0.25">
      <c r="A1618" s="516">
        <v>1593</v>
      </c>
      <c r="B1618" t="s">
        <v>441</v>
      </c>
      <c r="C1618" t="s">
        <v>432</v>
      </c>
      <c r="D1618" t="s">
        <v>2292</v>
      </c>
      <c r="E1618">
        <v>3</v>
      </c>
      <c r="F1618">
        <v>0</v>
      </c>
      <c r="G1618">
        <v>0</v>
      </c>
      <c r="H1618">
        <v>0</v>
      </c>
      <c r="I1618" t="s">
        <v>2231</v>
      </c>
    </row>
    <row r="1619" spans="1:12" x14ac:dyDescent="0.25">
      <c r="A1619" s="516">
        <v>1594</v>
      </c>
      <c r="B1619" t="s">
        <v>441</v>
      </c>
      <c r="C1619" t="s">
        <v>432</v>
      </c>
      <c r="D1619" t="s">
        <v>2292</v>
      </c>
      <c r="E1619">
        <v>3</v>
      </c>
      <c r="F1619">
        <v>4.3908756789997382E-3</v>
      </c>
      <c r="G1619">
        <v>9.7834537128471688E-8</v>
      </c>
      <c r="H1619">
        <v>3.2613403314955022E-4</v>
      </c>
      <c r="I1619" t="s">
        <v>1069</v>
      </c>
      <c r="J1619" t="s">
        <v>462</v>
      </c>
      <c r="K1619" t="s">
        <v>434</v>
      </c>
      <c r="L1619" t="str">
        <f>O10</f>
        <v>Energy use, vertical</v>
      </c>
    </row>
    <row r="1620" spans="1:12" hidden="1" x14ac:dyDescent="0.25">
      <c r="A1620" s="516">
        <v>1595</v>
      </c>
      <c r="B1620" t="s">
        <v>441</v>
      </c>
      <c r="C1620" t="s">
        <v>432</v>
      </c>
      <c r="D1620" t="s">
        <v>2292</v>
      </c>
      <c r="E1620">
        <v>4</v>
      </c>
      <c r="F1620">
        <v>2.5437654751199962E-3</v>
      </c>
      <c r="G1620">
        <v>5.6678470541084637E-8</v>
      </c>
      <c r="H1620">
        <v>7.6315364083128775E-6</v>
      </c>
      <c r="I1620" t="s">
        <v>2267</v>
      </c>
      <c r="J1620" t="s">
        <v>462</v>
      </c>
      <c r="K1620" t="s">
        <v>417</v>
      </c>
      <c r="L1620" t="s">
        <v>2295</v>
      </c>
    </row>
    <row r="1621" spans="1:12" hidden="1" x14ac:dyDescent="0.25">
      <c r="A1621" s="516">
        <v>1596</v>
      </c>
      <c r="B1621" t="s">
        <v>441</v>
      </c>
      <c r="C1621" t="s">
        <v>432</v>
      </c>
      <c r="D1621" t="s">
        <v>2292</v>
      </c>
      <c r="E1621">
        <v>4</v>
      </c>
      <c r="F1621">
        <v>9.6118011372028994E-6</v>
      </c>
      <c r="G1621">
        <v>2.141636848719395E-10</v>
      </c>
      <c r="H1621">
        <v>6.033479645880081E-14</v>
      </c>
      <c r="I1621" t="s">
        <v>2231</v>
      </c>
      <c r="L1621" t="s">
        <v>2295</v>
      </c>
    </row>
    <row r="1622" spans="1:12" hidden="1" x14ac:dyDescent="0.25">
      <c r="A1622" s="516">
        <v>1597</v>
      </c>
      <c r="B1622" t="s">
        <v>441</v>
      </c>
      <c r="C1622" t="s">
        <v>432</v>
      </c>
      <c r="D1622" t="s">
        <v>2292</v>
      </c>
      <c r="E1622">
        <v>4</v>
      </c>
      <c r="F1622">
        <v>5.4215364169663304E-6</v>
      </c>
      <c r="G1622">
        <v>1.207990261295406E-10</v>
      </c>
      <c r="H1622">
        <v>3.8020705641319267E-9</v>
      </c>
      <c r="I1622" t="s">
        <v>2231</v>
      </c>
      <c r="L1622" t="s">
        <v>2295</v>
      </c>
    </row>
    <row r="1623" spans="1:12" hidden="1" x14ac:dyDescent="0.25">
      <c r="A1623" s="516">
        <v>1598</v>
      </c>
      <c r="B1623" t="s">
        <v>441</v>
      </c>
      <c r="C1623" t="s">
        <v>432</v>
      </c>
      <c r="D1623" t="s">
        <v>2292</v>
      </c>
      <c r="E1623">
        <v>4</v>
      </c>
      <c r="F1623">
        <v>2.543677605728466E-5</v>
      </c>
      <c r="G1623">
        <v>5.6676512694432504E-10</v>
      </c>
      <c r="H1623">
        <v>1.8048909689501339E-8</v>
      </c>
      <c r="I1623" t="s">
        <v>2231</v>
      </c>
      <c r="L1623" t="s">
        <v>2295</v>
      </c>
    </row>
    <row r="1624" spans="1:12" hidden="1" x14ac:dyDescent="0.25">
      <c r="A1624" s="516">
        <v>1599</v>
      </c>
      <c r="B1624" t="s">
        <v>441</v>
      </c>
      <c r="C1624" t="s">
        <v>432</v>
      </c>
      <c r="D1624" t="s">
        <v>2292</v>
      </c>
      <c r="E1624">
        <v>4</v>
      </c>
      <c r="F1624">
        <v>1.598590644837426E-9</v>
      </c>
      <c r="G1624">
        <v>3.5618721009018107E-14</v>
      </c>
      <c r="H1624">
        <v>-1.4848420681396731E-10</v>
      </c>
      <c r="I1624" t="s">
        <v>2231</v>
      </c>
      <c r="L1624" t="s">
        <v>2295</v>
      </c>
    </row>
    <row r="1625" spans="1:12" hidden="1" x14ac:dyDescent="0.25">
      <c r="A1625" s="516">
        <v>1600</v>
      </c>
      <c r="B1625" t="s">
        <v>441</v>
      </c>
      <c r="C1625" t="s">
        <v>432</v>
      </c>
      <c r="D1625" t="s">
        <v>2292</v>
      </c>
      <c r="E1625">
        <v>4</v>
      </c>
      <c r="F1625">
        <v>1.3460402158509521E-7</v>
      </c>
      <c r="G1625">
        <v>2.9991562299045879E-12</v>
      </c>
      <c r="H1625">
        <v>-1.5704593544881591E-8</v>
      </c>
      <c r="I1625" t="s">
        <v>2231</v>
      </c>
      <c r="L1625" t="s">
        <v>2295</v>
      </c>
    </row>
    <row r="1626" spans="1:12" hidden="1" x14ac:dyDescent="0.25">
      <c r="A1626" s="516">
        <v>1601</v>
      </c>
      <c r="B1626" t="s">
        <v>441</v>
      </c>
      <c r="C1626" t="s">
        <v>432</v>
      </c>
      <c r="D1626" t="s">
        <v>2292</v>
      </c>
      <c r="E1626">
        <v>4</v>
      </c>
      <c r="F1626">
        <v>6.0913205224538879E-8</v>
      </c>
      <c r="G1626">
        <v>1.357227048503443E-12</v>
      </c>
      <c r="H1626">
        <v>-5.9979024725856444E-9</v>
      </c>
      <c r="I1626" t="s">
        <v>2231</v>
      </c>
      <c r="L1626" t="s">
        <v>2295</v>
      </c>
    </row>
    <row r="1627" spans="1:12" x14ac:dyDescent="0.25">
      <c r="A1627" s="516">
        <v>1602</v>
      </c>
      <c r="B1627" t="s">
        <v>441</v>
      </c>
      <c r="C1627" t="s">
        <v>432</v>
      </c>
      <c r="D1627" t="s">
        <v>2292</v>
      </c>
      <c r="E1627">
        <v>3</v>
      </c>
      <c r="F1627">
        <v>9.9626018394023529E-3</v>
      </c>
      <c r="G1627">
        <v>2.219799900541087E-7</v>
      </c>
      <c r="H1627">
        <v>-3.4494136018575578E-3</v>
      </c>
      <c r="I1627" t="s">
        <v>1073</v>
      </c>
      <c r="J1627" t="s">
        <v>432</v>
      </c>
      <c r="K1627" t="s">
        <v>417</v>
      </c>
      <c r="L1627" t="str">
        <f>O17</f>
        <v>Drilling waste</v>
      </c>
    </row>
    <row r="1628" spans="1:12" hidden="1" x14ac:dyDescent="0.25">
      <c r="A1628" s="516">
        <v>1603</v>
      </c>
      <c r="B1628" t="s">
        <v>441</v>
      </c>
      <c r="C1628" t="s">
        <v>432</v>
      </c>
      <c r="D1628" t="s">
        <v>2292</v>
      </c>
      <c r="E1628">
        <v>4</v>
      </c>
      <c r="F1628">
        <v>-1.404760675278308E-3</v>
      </c>
      <c r="G1628">
        <v>-3.1299932061260428E-8</v>
      </c>
      <c r="H1628">
        <v>2.0696481611145348E-3</v>
      </c>
      <c r="I1628" t="s">
        <v>2268</v>
      </c>
      <c r="J1628" t="s">
        <v>432</v>
      </c>
      <c r="K1628" t="s">
        <v>417</v>
      </c>
      <c r="L1628" t="s">
        <v>2295</v>
      </c>
    </row>
    <row r="1629" spans="1:12" hidden="1" x14ac:dyDescent="0.25">
      <c r="A1629" s="516">
        <v>1604</v>
      </c>
      <c r="B1629" t="s">
        <v>441</v>
      </c>
      <c r="C1629" t="s">
        <v>432</v>
      </c>
      <c r="D1629" t="s">
        <v>2292</v>
      </c>
      <c r="E1629">
        <v>4</v>
      </c>
      <c r="F1629">
        <v>-4.2780554426136413E-3</v>
      </c>
      <c r="G1629">
        <v>-9.5320752541413425E-8</v>
      </c>
      <c r="H1629">
        <v>1.3797654407430231E-3</v>
      </c>
      <c r="I1629" t="s">
        <v>2269</v>
      </c>
      <c r="J1629" t="s">
        <v>432</v>
      </c>
      <c r="K1629" t="s">
        <v>417</v>
      </c>
      <c r="L1629" t="s">
        <v>2295</v>
      </c>
    </row>
    <row r="1630" spans="1:12" hidden="1" x14ac:dyDescent="0.25">
      <c r="A1630" s="516">
        <v>1605</v>
      </c>
      <c r="B1630" t="s">
        <v>441</v>
      </c>
      <c r="C1630" t="s">
        <v>432</v>
      </c>
      <c r="D1630" t="s">
        <v>2292</v>
      </c>
      <c r="E1630">
        <v>4</v>
      </c>
      <c r="F1630">
        <v>-6.6518228013716322E-5</v>
      </c>
      <c r="G1630">
        <v>-1.4821143945051471E-9</v>
      </c>
      <c r="H1630">
        <v>-1.227991242261291E-5</v>
      </c>
      <c r="I1630" t="s">
        <v>2231</v>
      </c>
      <c r="L1630" t="s">
        <v>2295</v>
      </c>
    </row>
    <row r="1631" spans="1:12" hidden="1" x14ac:dyDescent="0.25">
      <c r="A1631" s="516">
        <v>1606</v>
      </c>
      <c r="B1631" t="s">
        <v>441</v>
      </c>
      <c r="C1631" t="s">
        <v>432</v>
      </c>
      <c r="D1631" t="s">
        <v>2292</v>
      </c>
      <c r="E1631">
        <v>4</v>
      </c>
      <c r="F1631">
        <v>-4.2132674945696714E-3</v>
      </c>
      <c r="G1631">
        <v>-9.387719108083723E-8</v>
      </c>
      <c r="H1631">
        <v>-8.8891388519869285E-5</v>
      </c>
      <c r="I1631" t="s">
        <v>2266</v>
      </c>
      <c r="J1631" t="s">
        <v>419</v>
      </c>
      <c r="K1631" t="s">
        <v>925</v>
      </c>
      <c r="L1631" t="s">
        <v>2295</v>
      </c>
    </row>
    <row r="1632" spans="1:12" x14ac:dyDescent="0.25">
      <c r="A1632" s="516">
        <v>1607</v>
      </c>
      <c r="B1632" t="s">
        <v>441</v>
      </c>
      <c r="C1632" t="s">
        <v>432</v>
      </c>
      <c r="D1632" t="s">
        <v>2292</v>
      </c>
      <c r="E1632">
        <v>3</v>
      </c>
      <c r="F1632">
        <v>6.1072000766822107E-2</v>
      </c>
      <c r="G1632">
        <v>1.360765223918349E-6</v>
      </c>
      <c r="H1632">
        <v>2.4911397180329472E-10</v>
      </c>
      <c r="I1632" t="s">
        <v>1038</v>
      </c>
      <c r="J1632" t="s">
        <v>432</v>
      </c>
      <c r="K1632" t="s">
        <v>416</v>
      </c>
      <c r="L1632" t="str">
        <f>O22</f>
        <v>Drilling equipment</v>
      </c>
    </row>
    <row r="1633" spans="1:12" hidden="1" x14ac:dyDescent="0.25">
      <c r="A1633" s="516">
        <v>1608</v>
      </c>
      <c r="B1633" t="s">
        <v>441</v>
      </c>
      <c r="C1633" t="s">
        <v>432</v>
      </c>
      <c r="D1633" t="s">
        <v>2292</v>
      </c>
      <c r="E1633">
        <v>4</v>
      </c>
      <c r="F1633">
        <v>1.3218785445351E-3</v>
      </c>
      <c r="G1633">
        <v>2.9453208197894209E-8</v>
      </c>
      <c r="H1633">
        <v>1.743797802623063E-6</v>
      </c>
      <c r="I1633" t="s">
        <v>460</v>
      </c>
      <c r="J1633" t="s">
        <v>462</v>
      </c>
      <c r="K1633" t="s">
        <v>417</v>
      </c>
      <c r="L1633" t="s">
        <v>2295</v>
      </c>
    </row>
    <row r="1634" spans="1:12" hidden="1" x14ac:dyDescent="0.25">
      <c r="A1634" s="516">
        <v>1609</v>
      </c>
      <c r="B1634" t="s">
        <v>441</v>
      </c>
      <c r="C1634" t="s">
        <v>432</v>
      </c>
      <c r="D1634" t="s">
        <v>2292</v>
      </c>
      <c r="E1634">
        <v>4</v>
      </c>
      <c r="F1634">
        <v>5.0567970242378912E-3</v>
      </c>
      <c r="G1634">
        <v>1.126721484247645E-7</v>
      </c>
      <c r="H1634">
        <v>7.4734191540988415E-7</v>
      </c>
      <c r="I1634" t="s">
        <v>1494</v>
      </c>
      <c r="J1634" t="s">
        <v>462</v>
      </c>
      <c r="K1634" t="s">
        <v>417</v>
      </c>
      <c r="L1634" t="s">
        <v>2295</v>
      </c>
    </row>
    <row r="1635" spans="1:12" hidden="1" x14ac:dyDescent="0.25">
      <c r="A1635" s="516">
        <v>1610</v>
      </c>
      <c r="B1635" t="s">
        <v>441</v>
      </c>
      <c r="C1635" t="s">
        <v>432</v>
      </c>
      <c r="D1635" t="s">
        <v>2292</v>
      </c>
      <c r="E1635">
        <v>4</v>
      </c>
      <c r="F1635">
        <v>2.0086555456948971E-2</v>
      </c>
      <c r="G1635">
        <v>4.4755511185041167E-7</v>
      </c>
      <c r="H1635">
        <v>2.4911397180329471E-4</v>
      </c>
      <c r="I1635" t="s">
        <v>1060</v>
      </c>
      <c r="J1635" t="s">
        <v>459</v>
      </c>
      <c r="K1635" t="s">
        <v>417</v>
      </c>
      <c r="L1635" t="s">
        <v>2295</v>
      </c>
    </row>
    <row r="1636" spans="1:12" hidden="1" x14ac:dyDescent="0.25">
      <c r="A1636" s="516">
        <v>1611</v>
      </c>
      <c r="B1636" t="s">
        <v>441</v>
      </c>
      <c r="C1636" t="s">
        <v>432</v>
      </c>
      <c r="D1636" t="s">
        <v>2292</v>
      </c>
      <c r="E1636">
        <v>4</v>
      </c>
      <c r="F1636">
        <v>2.6135598381637759E-2</v>
      </c>
      <c r="G1636">
        <v>5.8233581571720844E-7</v>
      </c>
      <c r="H1636">
        <v>7.4734191540988412E-5</v>
      </c>
      <c r="I1636" t="s">
        <v>1105</v>
      </c>
      <c r="J1636" t="s">
        <v>462</v>
      </c>
      <c r="K1636" t="s">
        <v>417</v>
      </c>
      <c r="L1636" t="s">
        <v>2295</v>
      </c>
    </row>
    <row r="1637" spans="1:12" hidden="1" x14ac:dyDescent="0.25">
      <c r="A1637" s="516">
        <v>1612</v>
      </c>
      <c r="B1637" t="s">
        <v>441</v>
      </c>
      <c r="C1637" t="s">
        <v>432</v>
      </c>
      <c r="D1637" t="s">
        <v>2292</v>
      </c>
      <c r="E1637">
        <v>4</v>
      </c>
      <c r="F1637">
        <v>1.823098570927758E-6</v>
      </c>
      <c r="G1637">
        <v>4.062105554009379E-11</v>
      </c>
      <c r="H1637">
        <v>1.2455698590164741E-4</v>
      </c>
      <c r="I1637" t="s">
        <v>2231</v>
      </c>
      <c r="L1637" t="s">
        <v>2295</v>
      </c>
    </row>
    <row r="1638" spans="1:12" hidden="1" x14ac:dyDescent="0.25">
      <c r="A1638" s="516">
        <v>1613</v>
      </c>
      <c r="B1638" t="s">
        <v>441</v>
      </c>
      <c r="C1638" t="s">
        <v>432</v>
      </c>
      <c r="D1638" t="s">
        <v>2292</v>
      </c>
      <c r="E1638">
        <v>4</v>
      </c>
      <c r="F1638">
        <v>2.2743170521731838E-3</v>
      </c>
      <c r="G1638">
        <v>5.0674802100851487E-8</v>
      </c>
      <c r="H1638">
        <v>1.1210128731148261E-3</v>
      </c>
      <c r="I1638" t="s">
        <v>1107</v>
      </c>
      <c r="J1638" t="s">
        <v>432</v>
      </c>
      <c r="K1638" t="s">
        <v>417</v>
      </c>
      <c r="L1638" t="s">
        <v>2295</v>
      </c>
    </row>
    <row r="1639" spans="1:12" hidden="1" x14ac:dyDescent="0.25">
      <c r="A1639" s="516">
        <v>1614</v>
      </c>
      <c r="B1639" t="s">
        <v>441</v>
      </c>
      <c r="C1639" t="s">
        <v>432</v>
      </c>
      <c r="D1639" t="s">
        <v>2292</v>
      </c>
      <c r="E1639">
        <v>4</v>
      </c>
      <c r="F1639">
        <v>3.2251533833575579E-4</v>
      </c>
      <c r="G1639">
        <v>7.1860697386219459E-9</v>
      </c>
      <c r="H1639">
        <v>-6.7260772386889571E-5</v>
      </c>
      <c r="I1639" t="s">
        <v>533</v>
      </c>
      <c r="J1639" t="s">
        <v>432</v>
      </c>
      <c r="K1639" t="s">
        <v>417</v>
      </c>
      <c r="L1639" t="s">
        <v>2295</v>
      </c>
    </row>
    <row r="1640" spans="1:12" hidden="1" x14ac:dyDescent="0.25">
      <c r="A1640" s="516">
        <v>1615</v>
      </c>
      <c r="B1640" t="s">
        <v>441</v>
      </c>
      <c r="C1640" t="s">
        <v>432</v>
      </c>
      <c r="D1640" t="s">
        <v>2292</v>
      </c>
      <c r="E1640">
        <v>4</v>
      </c>
      <c r="F1640">
        <v>5.8459207013433273E-3</v>
      </c>
      <c r="G1640">
        <v>1.3025487117320609E-7</v>
      </c>
      <c r="H1640">
        <v>-1.3452154477377909E-3</v>
      </c>
      <c r="I1640" t="s">
        <v>1448</v>
      </c>
      <c r="J1640" t="s">
        <v>432</v>
      </c>
      <c r="K1640" t="s">
        <v>417</v>
      </c>
      <c r="L1640" t="s">
        <v>2295</v>
      </c>
    </row>
    <row r="1641" spans="1:12" hidden="1" x14ac:dyDescent="0.25">
      <c r="A1641" s="516">
        <v>1616</v>
      </c>
      <c r="B1641" t="s">
        <v>441</v>
      </c>
      <c r="C1641" t="s">
        <v>432</v>
      </c>
      <c r="D1641" t="s">
        <v>2292</v>
      </c>
      <c r="E1641">
        <v>4</v>
      </c>
      <c r="F1641">
        <v>2.6595169039204541E-5</v>
      </c>
      <c r="G1641">
        <v>5.9257565985033039E-10</v>
      </c>
      <c r="H1641">
        <v>-7.4734191540988415E-7</v>
      </c>
      <c r="I1641" t="s">
        <v>2231</v>
      </c>
      <c r="L1641" t="s">
        <v>2295</v>
      </c>
    </row>
    <row r="1642" spans="1:12" x14ac:dyDescent="0.25">
      <c r="A1642" s="568">
        <v>1617</v>
      </c>
      <c r="B1642" s="417" t="s">
        <v>441</v>
      </c>
      <c r="C1642" s="417" t="s">
        <v>432</v>
      </c>
      <c r="D1642" s="417" t="s">
        <v>2292</v>
      </c>
      <c r="E1642" s="417">
        <v>2</v>
      </c>
      <c r="F1642" s="417">
        <v>6.7065165358848544E-2</v>
      </c>
      <c r="G1642" s="417">
        <v>1.4943008843789571E-6</v>
      </c>
      <c r="H1642" s="417">
        <v>4.7082540670822703E-5</v>
      </c>
      <c r="I1642" s="417" t="s">
        <v>2091</v>
      </c>
      <c r="J1642" s="417" t="s">
        <v>432</v>
      </c>
      <c r="K1642" s="417" t="s">
        <v>1047</v>
      </c>
    </row>
    <row r="1643" spans="1:12" x14ac:dyDescent="0.25">
      <c r="A1643" s="516">
        <v>1618</v>
      </c>
      <c r="B1643" t="s">
        <v>441</v>
      </c>
      <c r="C1643" t="s">
        <v>432</v>
      </c>
      <c r="D1643" t="s">
        <v>2292</v>
      </c>
      <c r="E1643">
        <v>3</v>
      </c>
      <c r="F1643">
        <v>3.6384843775632107E-2</v>
      </c>
      <c r="G1643">
        <v>8.1070260456375225E-7</v>
      </c>
      <c r="H1643">
        <v>9.2281779714812485E-3</v>
      </c>
      <c r="I1643" t="s">
        <v>1034</v>
      </c>
      <c r="J1643" t="s">
        <v>432</v>
      </c>
      <c r="K1643" t="s">
        <v>433</v>
      </c>
      <c r="L1643" t="str">
        <f>O15</f>
        <v>Energy use, horizontal</v>
      </c>
    </row>
    <row r="1644" spans="1:12" hidden="1" x14ac:dyDescent="0.25">
      <c r="A1644" s="516">
        <v>1619</v>
      </c>
      <c r="B1644" t="s">
        <v>441</v>
      </c>
      <c r="C1644" t="s">
        <v>432</v>
      </c>
      <c r="D1644" t="s">
        <v>2292</v>
      </c>
      <c r="E1644">
        <v>4</v>
      </c>
      <c r="F1644">
        <v>1.3682378161886081E-4</v>
      </c>
      <c r="G1644">
        <v>3.048615429234323E-9</v>
      </c>
      <c r="H1644">
        <v>3.4702202249265933E-5</v>
      </c>
      <c r="I1644" t="s">
        <v>2270</v>
      </c>
      <c r="L1644" t="s">
        <v>2295</v>
      </c>
    </row>
    <row r="1645" spans="1:12" hidden="1" x14ac:dyDescent="0.25">
      <c r="A1645" s="516">
        <v>1620</v>
      </c>
      <c r="B1645" t="s">
        <v>441</v>
      </c>
      <c r="C1645" t="s">
        <v>432</v>
      </c>
      <c r="D1645" t="s">
        <v>2292</v>
      </c>
      <c r="E1645">
        <v>4</v>
      </c>
      <c r="F1645">
        <v>1.2570654793426931E-4</v>
      </c>
      <c r="G1645">
        <v>2.8009087093918629E-9</v>
      </c>
      <c r="H1645">
        <v>6.5928035381349892E-5</v>
      </c>
      <c r="I1645" t="s">
        <v>2293</v>
      </c>
      <c r="J1645" t="s">
        <v>432</v>
      </c>
      <c r="K1645" t="s">
        <v>433</v>
      </c>
      <c r="L1645" t="s">
        <v>2295</v>
      </c>
    </row>
    <row r="1646" spans="1:12" hidden="1" x14ac:dyDescent="0.25">
      <c r="A1646" s="516">
        <v>1621</v>
      </c>
      <c r="B1646" t="s">
        <v>441</v>
      </c>
      <c r="C1646" t="s">
        <v>432</v>
      </c>
      <c r="D1646" t="s">
        <v>2292</v>
      </c>
      <c r="E1646">
        <v>4</v>
      </c>
      <c r="F1646">
        <v>3.127537390922859E-2</v>
      </c>
      <c r="G1646">
        <v>6.9685683531497721E-7</v>
      </c>
      <c r="H1646">
        <v>9.162249936099898E-3</v>
      </c>
      <c r="I1646" t="s">
        <v>2259</v>
      </c>
      <c r="J1646" t="s">
        <v>432</v>
      </c>
      <c r="K1646" t="s">
        <v>433</v>
      </c>
      <c r="L1646" t="s">
        <v>2295</v>
      </c>
    </row>
    <row r="1647" spans="1:12" hidden="1" x14ac:dyDescent="0.25">
      <c r="A1647" s="516">
        <v>1622</v>
      </c>
      <c r="B1647" t="s">
        <v>441</v>
      </c>
      <c r="C1647" t="s">
        <v>432</v>
      </c>
      <c r="D1647" t="s">
        <v>2292</v>
      </c>
      <c r="E1647">
        <v>4</v>
      </c>
      <c r="F1647">
        <v>3.916024577858983E-7</v>
      </c>
      <c r="G1647">
        <v>8.725422443429996E-12</v>
      </c>
      <c r="H1647">
        <v>4.9832161045998741E-10</v>
      </c>
      <c r="I1647" t="s">
        <v>2231</v>
      </c>
      <c r="L1647" t="s">
        <v>2295</v>
      </c>
    </row>
    <row r="1648" spans="1:12" hidden="1" x14ac:dyDescent="0.25">
      <c r="A1648" s="516">
        <v>1623</v>
      </c>
      <c r="B1648" t="s">
        <v>441</v>
      </c>
      <c r="C1648" t="s">
        <v>432</v>
      </c>
      <c r="D1648" t="s">
        <v>2292</v>
      </c>
      <c r="E1648">
        <v>4</v>
      </c>
      <c r="F1648">
        <v>4.8465480209317164E-3</v>
      </c>
      <c r="G1648">
        <v>1.0798752161591171E-7</v>
      </c>
      <c r="H1648">
        <v>1.719003554433E-10</v>
      </c>
      <c r="I1648" t="s">
        <v>2260</v>
      </c>
      <c r="J1648" t="s">
        <v>462</v>
      </c>
      <c r="K1648" t="s">
        <v>1995</v>
      </c>
      <c r="L1648" t="s">
        <v>2295</v>
      </c>
    </row>
    <row r="1649" spans="1:12" x14ac:dyDescent="0.25">
      <c r="A1649" s="516">
        <v>1624</v>
      </c>
      <c r="B1649" t="s">
        <v>441</v>
      </c>
      <c r="C1649" t="s">
        <v>432</v>
      </c>
      <c r="D1649" t="s">
        <v>2292</v>
      </c>
      <c r="E1649">
        <v>3</v>
      </c>
      <c r="F1649">
        <v>2.2820093035553841E-2</v>
      </c>
      <c r="G1649">
        <v>5.0846195669804656E-7</v>
      </c>
      <c r="H1649">
        <v>1.6949714641496169E-3</v>
      </c>
      <c r="I1649" t="s">
        <v>1069</v>
      </c>
      <c r="J1649" t="s">
        <v>462</v>
      </c>
      <c r="K1649" t="s">
        <v>434</v>
      </c>
      <c r="L1649" t="str">
        <f>O16</f>
        <v>Energy use, horizontal</v>
      </c>
    </row>
    <row r="1650" spans="1:12" hidden="1" x14ac:dyDescent="0.25">
      <c r="A1650" s="516">
        <v>1625</v>
      </c>
      <c r="B1650" t="s">
        <v>441</v>
      </c>
      <c r="C1650" t="s">
        <v>432</v>
      </c>
      <c r="D1650" t="s">
        <v>2292</v>
      </c>
      <c r="E1650">
        <v>4</v>
      </c>
      <c r="F1650">
        <v>1.322036173342353E-2</v>
      </c>
      <c r="G1650">
        <v>2.9456720376904291E-7</v>
      </c>
      <c r="H1650">
        <v>3.9662332430598193E-5</v>
      </c>
      <c r="I1650" t="s">
        <v>2267</v>
      </c>
      <c r="J1650" t="s">
        <v>462</v>
      </c>
      <c r="K1650" t="s">
        <v>417</v>
      </c>
      <c r="L1650" t="s">
        <v>2295</v>
      </c>
    </row>
    <row r="1651" spans="1:12" hidden="1" x14ac:dyDescent="0.25">
      <c r="A1651" s="516">
        <v>1626</v>
      </c>
      <c r="B1651" t="s">
        <v>441</v>
      </c>
      <c r="C1651" t="s">
        <v>432</v>
      </c>
      <c r="D1651" t="s">
        <v>2292</v>
      </c>
      <c r="E1651">
        <v>4</v>
      </c>
      <c r="F1651">
        <v>4.9954089394801413E-5</v>
      </c>
      <c r="G1651">
        <v>1.1130434043006259E-9</v>
      </c>
      <c r="H1651">
        <v>3.1356972256265062E-13</v>
      </c>
      <c r="I1651" t="s">
        <v>2231</v>
      </c>
      <c r="L1651" t="s">
        <v>2295</v>
      </c>
    </row>
    <row r="1652" spans="1:12" hidden="1" x14ac:dyDescent="0.25">
      <c r="A1652" s="516">
        <v>1627</v>
      </c>
      <c r="B1652" t="s">
        <v>441</v>
      </c>
      <c r="C1652" t="s">
        <v>432</v>
      </c>
      <c r="D1652" t="s">
        <v>2292</v>
      </c>
      <c r="E1652">
        <v>4</v>
      </c>
      <c r="F1652">
        <v>2.817660404791941E-5</v>
      </c>
      <c r="G1652">
        <v>6.2781213051980402E-10</v>
      </c>
      <c r="H1652">
        <v>1.9759977358547381E-8</v>
      </c>
      <c r="I1652" t="s">
        <v>2231</v>
      </c>
      <c r="L1652" t="s">
        <v>2295</v>
      </c>
    </row>
    <row r="1653" spans="1:12" hidden="1" x14ac:dyDescent="0.25">
      <c r="A1653" s="516">
        <v>1628</v>
      </c>
      <c r="B1653" t="s">
        <v>441</v>
      </c>
      <c r="C1653" t="s">
        <v>432</v>
      </c>
      <c r="D1653" t="s">
        <v>2292</v>
      </c>
      <c r="E1653">
        <v>4</v>
      </c>
      <c r="F1653">
        <v>1.3219905061944681E-4</v>
      </c>
      <c r="G1653">
        <v>2.94557028522459E-9</v>
      </c>
      <c r="H1653">
        <v>9.3803110908974122E-8</v>
      </c>
      <c r="I1653" t="s">
        <v>502</v>
      </c>
      <c r="J1653" t="s">
        <v>1992</v>
      </c>
      <c r="K1653" t="s">
        <v>417</v>
      </c>
      <c r="L1653" t="s">
        <v>2295</v>
      </c>
    </row>
    <row r="1654" spans="1:12" hidden="1" x14ac:dyDescent="0.25">
      <c r="A1654" s="516">
        <v>1629</v>
      </c>
      <c r="B1654" t="s">
        <v>441</v>
      </c>
      <c r="C1654" t="s">
        <v>432</v>
      </c>
      <c r="D1654" t="s">
        <v>2292</v>
      </c>
      <c r="E1654">
        <v>4</v>
      </c>
      <c r="F1654">
        <v>8.3081348477774102E-9</v>
      </c>
      <c r="G1654">
        <v>1.851162698868289E-13</v>
      </c>
      <c r="H1654">
        <v>-7.716965046427933E-10</v>
      </c>
      <c r="I1654" t="s">
        <v>2231</v>
      </c>
      <c r="L1654" t="s">
        <v>2295</v>
      </c>
    </row>
    <row r="1655" spans="1:12" hidden="1" x14ac:dyDescent="0.25">
      <c r="A1655" s="516">
        <v>1630</v>
      </c>
      <c r="B1655" t="s">
        <v>441</v>
      </c>
      <c r="C1655" t="s">
        <v>432</v>
      </c>
      <c r="D1655" t="s">
        <v>2292</v>
      </c>
      <c r="E1655">
        <v>4</v>
      </c>
      <c r="F1655">
        <v>6.9955893085802514E-7</v>
      </c>
      <c r="G1655">
        <v>1.5587101343341749E-11</v>
      </c>
      <c r="H1655">
        <v>-8.1619319693741971E-8</v>
      </c>
      <c r="I1655" t="s">
        <v>2231</v>
      </c>
      <c r="L1655" t="s">
        <v>2295</v>
      </c>
    </row>
    <row r="1656" spans="1:12" hidden="1" x14ac:dyDescent="0.25">
      <c r="A1656" s="516">
        <v>1631</v>
      </c>
      <c r="B1656" t="s">
        <v>441</v>
      </c>
      <c r="C1656" t="s">
        <v>432</v>
      </c>
      <c r="D1656" t="s">
        <v>2292</v>
      </c>
      <c r="E1656">
        <v>4</v>
      </c>
      <c r="F1656">
        <v>3.165758067271038E-7</v>
      </c>
      <c r="G1656">
        <v>7.0537290922056548E-12</v>
      </c>
      <c r="H1656">
        <v>-3.1172071916589303E-8</v>
      </c>
      <c r="I1656" t="s">
        <v>2231</v>
      </c>
      <c r="L1656" t="s">
        <v>2295</v>
      </c>
    </row>
    <row r="1657" spans="1:12" x14ac:dyDescent="0.25">
      <c r="A1657" s="516">
        <v>1632</v>
      </c>
      <c r="B1657" t="s">
        <v>441</v>
      </c>
      <c r="C1657" t="s">
        <v>432</v>
      </c>
      <c r="D1657" t="s">
        <v>2292</v>
      </c>
      <c r="E1657">
        <v>3</v>
      </c>
      <c r="F1657">
        <v>7.860228739629627E-3</v>
      </c>
      <c r="G1657">
        <v>1.7513632739443829E-7</v>
      </c>
      <c r="H1657">
        <v>-2.7214958868432108E-3</v>
      </c>
      <c r="I1657" t="s">
        <v>1073</v>
      </c>
      <c r="J1657" t="s">
        <v>432</v>
      </c>
      <c r="K1657" t="s">
        <v>417</v>
      </c>
      <c r="L1657" t="str">
        <f>O17</f>
        <v>Drilling waste</v>
      </c>
    </row>
    <row r="1658" spans="1:12" hidden="1" x14ac:dyDescent="0.25">
      <c r="A1658" s="516">
        <v>1633</v>
      </c>
      <c r="B1658" t="s">
        <v>441</v>
      </c>
      <c r="C1658" t="s">
        <v>432</v>
      </c>
      <c r="D1658" t="s">
        <v>2292</v>
      </c>
      <c r="E1658">
        <v>4</v>
      </c>
      <c r="F1658">
        <v>-1.108318932154218E-3</v>
      </c>
      <c r="G1658">
        <v>-2.4694816625446158E-8</v>
      </c>
      <c r="H1658">
        <v>1.6328975321059269E-3</v>
      </c>
      <c r="I1658" t="s">
        <v>2268</v>
      </c>
      <c r="J1658" t="s">
        <v>432</v>
      </c>
      <c r="K1658" t="s">
        <v>417</v>
      </c>
      <c r="L1658" t="s">
        <v>2295</v>
      </c>
    </row>
    <row r="1659" spans="1:12" hidden="1" x14ac:dyDescent="0.25">
      <c r="A1659" s="516">
        <v>1634</v>
      </c>
      <c r="B1659" t="s">
        <v>441</v>
      </c>
      <c r="C1659" t="s">
        <v>432</v>
      </c>
      <c r="D1659" t="s">
        <v>2292</v>
      </c>
      <c r="E1659">
        <v>4</v>
      </c>
      <c r="F1659">
        <v>-3.3752723316480418E-3</v>
      </c>
      <c r="G1659">
        <v>-7.5205546772517328E-8</v>
      </c>
      <c r="H1659">
        <v>1.088598354737285E-3</v>
      </c>
      <c r="I1659" t="s">
        <v>2269</v>
      </c>
      <c r="J1659" t="s">
        <v>432</v>
      </c>
      <c r="K1659" t="s">
        <v>417</v>
      </c>
      <c r="L1659" t="s">
        <v>2295</v>
      </c>
    </row>
    <row r="1660" spans="1:12" hidden="1" x14ac:dyDescent="0.25">
      <c r="A1660" s="516">
        <v>1635</v>
      </c>
      <c r="B1660" t="s">
        <v>441</v>
      </c>
      <c r="C1660" t="s">
        <v>432</v>
      </c>
      <c r="D1660" t="s">
        <v>2292</v>
      </c>
      <c r="E1660">
        <v>4</v>
      </c>
      <c r="F1660">
        <v>-5.2481118484005899E-5</v>
      </c>
      <c r="G1660">
        <v>-1.169348965953154E-9</v>
      </c>
      <c r="H1660">
        <v>-9.6885253571618308E-6</v>
      </c>
      <c r="I1660" t="s">
        <v>2231</v>
      </c>
      <c r="L1660" t="s">
        <v>2295</v>
      </c>
    </row>
    <row r="1661" spans="1:12" hidden="1" x14ac:dyDescent="0.25">
      <c r="A1661" s="516">
        <v>1636</v>
      </c>
      <c r="B1661" t="s">
        <v>441</v>
      </c>
      <c r="C1661" t="s">
        <v>432</v>
      </c>
      <c r="D1661" t="s">
        <v>2292</v>
      </c>
      <c r="E1661">
        <v>4</v>
      </c>
      <c r="F1661">
        <v>-3.3241563581899E-3</v>
      </c>
      <c r="G1661">
        <v>-7.4066615049383719E-8</v>
      </c>
      <c r="H1661">
        <v>-7.013294900394956E-5</v>
      </c>
      <c r="I1661" t="s">
        <v>2266</v>
      </c>
      <c r="J1661" t="s">
        <v>419</v>
      </c>
      <c r="K1661" t="s">
        <v>925</v>
      </c>
      <c r="L1661" t="s">
        <v>2295</v>
      </c>
    </row>
    <row r="1662" spans="1:12" x14ac:dyDescent="0.25">
      <c r="A1662" s="568">
        <v>1637</v>
      </c>
      <c r="B1662" s="417" t="s">
        <v>441</v>
      </c>
      <c r="C1662" s="417" t="s">
        <v>432</v>
      </c>
      <c r="D1662" s="417" t="s">
        <v>2292</v>
      </c>
      <c r="E1662" s="417">
        <v>2</v>
      </c>
      <c r="F1662" s="417">
        <v>4.6623377003661044E-3</v>
      </c>
      <c r="G1662" s="417">
        <v>1.03883071213679E-7</v>
      </c>
      <c r="H1662" s="417">
        <v>1.1210128731148259E-9</v>
      </c>
      <c r="I1662" s="417" t="s">
        <v>1517</v>
      </c>
      <c r="J1662" s="417" t="s">
        <v>432</v>
      </c>
      <c r="K1662" s="417" t="s">
        <v>416</v>
      </c>
      <c r="L1662" s="417" t="s">
        <v>829</v>
      </c>
    </row>
    <row r="1663" spans="1:12" x14ac:dyDescent="0.25">
      <c r="A1663" s="516">
        <v>1638</v>
      </c>
      <c r="B1663" t="s">
        <v>441</v>
      </c>
      <c r="C1663" t="s">
        <v>432</v>
      </c>
      <c r="D1663" t="s">
        <v>2292</v>
      </c>
      <c r="E1663">
        <v>3</v>
      </c>
      <c r="F1663">
        <v>4.6623378735849794E-3</v>
      </c>
      <c r="G1663">
        <v>1.038830750732254E-7</v>
      </c>
      <c r="H1663">
        <v>5.7822432923703427E-5</v>
      </c>
      <c r="I1663" t="s">
        <v>1060</v>
      </c>
      <c r="J1663" t="s">
        <v>459</v>
      </c>
      <c r="K1663" t="s">
        <v>417</v>
      </c>
    </row>
    <row r="1664" spans="1:12" hidden="1" x14ac:dyDescent="0.25">
      <c r="A1664" s="516">
        <v>1639</v>
      </c>
      <c r="B1664" t="s">
        <v>441</v>
      </c>
      <c r="C1664" t="s">
        <v>432</v>
      </c>
      <c r="D1664" t="s">
        <v>2292</v>
      </c>
      <c r="E1664">
        <v>4</v>
      </c>
      <c r="F1664">
        <v>4.2246476774371704E-3</v>
      </c>
      <c r="G1664">
        <v>9.4130756657426911E-8</v>
      </c>
      <c r="H1664">
        <v>5.7822432923703427E-5</v>
      </c>
      <c r="I1664" t="s">
        <v>2263</v>
      </c>
      <c r="J1664" t="s">
        <v>459</v>
      </c>
      <c r="K1664" t="s">
        <v>417</v>
      </c>
      <c r="L1664" t="s">
        <v>2295</v>
      </c>
    </row>
    <row r="1665" spans="1:12" hidden="1" x14ac:dyDescent="0.25">
      <c r="A1665" s="516">
        <v>1640</v>
      </c>
      <c r="B1665" t="s">
        <v>441</v>
      </c>
      <c r="C1665" t="s">
        <v>432</v>
      </c>
      <c r="D1665" t="s">
        <v>2292</v>
      </c>
      <c r="E1665">
        <v>4</v>
      </c>
      <c r="F1665">
        <v>2.735644176772224E-5</v>
      </c>
      <c r="G1665">
        <v>6.0953782650407272E-10</v>
      </c>
      <c r="H1665">
        <v>1.4455608230925861E-6</v>
      </c>
      <c r="I1665" t="s">
        <v>2231</v>
      </c>
      <c r="L1665" t="s">
        <v>2295</v>
      </c>
    </row>
    <row r="1666" spans="1:12" hidden="1" x14ac:dyDescent="0.25">
      <c r="A1666" s="516">
        <v>1641</v>
      </c>
      <c r="B1666" t="s">
        <v>441</v>
      </c>
      <c r="C1666" t="s">
        <v>432</v>
      </c>
      <c r="D1666" t="s">
        <v>2292</v>
      </c>
      <c r="E1666">
        <v>4</v>
      </c>
      <c r="F1666">
        <v>1.173568372555056E-4</v>
      </c>
      <c r="G1666">
        <v>2.6148660748166121E-9</v>
      </c>
      <c r="H1666">
        <v>1.9081402864822129E-7</v>
      </c>
      <c r="I1666" t="s">
        <v>2265</v>
      </c>
      <c r="J1666" t="s">
        <v>459</v>
      </c>
      <c r="K1666" t="s">
        <v>925</v>
      </c>
      <c r="L1666" t="s">
        <v>2295</v>
      </c>
    </row>
    <row r="1667" spans="1:12" hidden="1" x14ac:dyDescent="0.25">
      <c r="A1667" s="516">
        <v>1642</v>
      </c>
      <c r="B1667" t="s">
        <v>441</v>
      </c>
      <c r="C1667" t="s">
        <v>432</v>
      </c>
      <c r="D1667" t="s">
        <v>2292</v>
      </c>
      <c r="E1667">
        <v>4</v>
      </c>
      <c r="F1667">
        <v>2.9297691986853591E-4</v>
      </c>
      <c r="G1667">
        <v>6.5279145756167652E-9</v>
      </c>
      <c r="H1667">
        <v>6.1812180795438962E-6</v>
      </c>
      <c r="I1667" t="s">
        <v>2266</v>
      </c>
      <c r="J1667" t="s">
        <v>419</v>
      </c>
      <c r="K1667" t="s">
        <v>925</v>
      </c>
      <c r="L1667" t="s">
        <v>2295</v>
      </c>
    </row>
    <row r="1668" spans="1:12" hidden="1" x14ac:dyDescent="0.25">
      <c r="A1668" s="516">
        <v>1643</v>
      </c>
      <c r="B1668" t="s">
        <v>441</v>
      </c>
      <c r="C1668" t="s">
        <v>432</v>
      </c>
      <c r="D1668" t="s">
        <v>2292</v>
      </c>
      <c r="E1668">
        <v>1</v>
      </c>
      <c r="F1668">
        <v>4.6844353684740732E-4</v>
      </c>
      <c r="G1668">
        <v>1.043754365842818E-8</v>
      </c>
      <c r="H1668">
        <v>3.0490301023033151E-5</v>
      </c>
      <c r="I1668" t="s">
        <v>1003</v>
      </c>
      <c r="J1668" t="s">
        <v>432</v>
      </c>
      <c r="K1668" t="s">
        <v>417</v>
      </c>
      <c r="L1668" t="s">
        <v>823</v>
      </c>
    </row>
    <row r="1669" spans="1:12" x14ac:dyDescent="0.25">
      <c r="A1669" s="568">
        <v>1644</v>
      </c>
      <c r="B1669" s="417" t="s">
        <v>441</v>
      </c>
      <c r="C1669" s="417" t="s">
        <v>432</v>
      </c>
      <c r="D1669" s="417" t="s">
        <v>2292</v>
      </c>
      <c r="E1669" s="417">
        <v>2</v>
      </c>
      <c r="F1669" s="417">
        <v>4.4621472107356669E-4</v>
      </c>
      <c r="G1669" s="417">
        <v>9.9422561437875563E-9</v>
      </c>
      <c r="H1669" s="417">
        <v>3.0490301023033151E-5</v>
      </c>
      <c r="I1669" s="417" t="s">
        <v>1000</v>
      </c>
      <c r="J1669" s="417" t="s">
        <v>432</v>
      </c>
      <c r="K1669" s="417" t="s">
        <v>417</v>
      </c>
    </row>
    <row r="1670" spans="1:12" x14ac:dyDescent="0.25">
      <c r="A1670" s="516">
        <v>1645</v>
      </c>
      <c r="B1670" t="s">
        <v>441</v>
      </c>
      <c r="C1670" t="s">
        <v>432</v>
      </c>
      <c r="D1670" t="s">
        <v>2292</v>
      </c>
      <c r="E1670">
        <v>3</v>
      </c>
      <c r="F1670">
        <v>4.2398590529972449E-4</v>
      </c>
      <c r="G1670">
        <v>9.4469686291468918E-9</v>
      </c>
      <c r="H1670">
        <v>3.0490301023033151E-5</v>
      </c>
      <c r="I1670" t="s">
        <v>998</v>
      </c>
      <c r="J1670" t="s">
        <v>432</v>
      </c>
      <c r="K1670" t="s">
        <v>417</v>
      </c>
    </row>
    <row r="1671" spans="1:12" hidden="1" x14ac:dyDescent="0.25">
      <c r="A1671" s="516">
        <v>1646</v>
      </c>
      <c r="B1671" t="s">
        <v>441</v>
      </c>
      <c r="C1671" t="s">
        <v>432</v>
      </c>
      <c r="D1671" t="s">
        <v>2292</v>
      </c>
      <c r="E1671">
        <v>4</v>
      </c>
      <c r="F1671">
        <v>3.0365995382923631E-4</v>
      </c>
      <c r="G1671">
        <v>6.7659467493974092E-9</v>
      </c>
      <c r="H1671">
        <v>3.1760730232326302E-5</v>
      </c>
      <c r="I1671" t="s">
        <v>996</v>
      </c>
      <c r="J1671" t="s">
        <v>432</v>
      </c>
      <c r="K1671" t="s">
        <v>417</v>
      </c>
      <c r="L1671" t="s">
        <v>2295</v>
      </c>
    </row>
    <row r="1672" spans="1:12" hidden="1" x14ac:dyDescent="0.25">
      <c r="A1672" s="516">
        <v>1647</v>
      </c>
      <c r="B1672" t="s">
        <v>441</v>
      </c>
      <c r="C1672" t="s">
        <v>432</v>
      </c>
      <c r="D1672" t="s">
        <v>2292</v>
      </c>
      <c r="E1672">
        <v>4</v>
      </c>
      <c r="F1672">
        <v>7.2782634478988454E-5</v>
      </c>
      <c r="G1672">
        <v>1.621693683858682E-9</v>
      </c>
      <c r="H1672">
        <v>3.8213860155779714E-6</v>
      </c>
      <c r="I1672" t="s">
        <v>2231</v>
      </c>
      <c r="L1672" t="s">
        <v>2295</v>
      </c>
    </row>
    <row r="1673" spans="1:12" hidden="1" x14ac:dyDescent="0.25">
      <c r="A1673" s="516">
        <v>1648</v>
      </c>
      <c r="B1673" t="s">
        <v>441</v>
      </c>
      <c r="C1673" t="s">
        <v>432</v>
      </c>
      <c r="D1673" t="s">
        <v>2292</v>
      </c>
      <c r="E1673">
        <v>4</v>
      </c>
      <c r="F1673">
        <v>3.1896000244884592E-5</v>
      </c>
      <c r="G1673">
        <v>7.1068521368812126E-10</v>
      </c>
      <c r="H1673">
        <v>4.2076615411785742E-8</v>
      </c>
      <c r="I1673" t="s">
        <v>2231</v>
      </c>
      <c r="L1673" t="s">
        <v>2295</v>
      </c>
    </row>
    <row r="1674" spans="1:12" hidden="1" x14ac:dyDescent="0.25">
      <c r="A1674" s="516">
        <v>1649</v>
      </c>
      <c r="B1674" t="s">
        <v>441</v>
      </c>
      <c r="C1674" t="s">
        <v>432</v>
      </c>
      <c r="D1674" t="s">
        <v>2292</v>
      </c>
      <c r="E1674">
        <v>4</v>
      </c>
      <c r="F1674">
        <v>1.5647331219211408E-5</v>
      </c>
      <c r="G1674">
        <v>3.4864330467132871E-10</v>
      </c>
      <c r="H1674">
        <v>4.2076615411785742E-8</v>
      </c>
      <c r="I1674" t="s">
        <v>2231</v>
      </c>
      <c r="L1674" t="s">
        <v>2295</v>
      </c>
    </row>
    <row r="1675" spans="1:12" x14ac:dyDescent="0.25">
      <c r="A1675" s="516">
        <v>1650</v>
      </c>
      <c r="B1675" t="s">
        <v>441</v>
      </c>
      <c r="C1675" t="s">
        <v>432</v>
      </c>
      <c r="D1675" t="s">
        <v>2292</v>
      </c>
      <c r="E1675">
        <v>3</v>
      </c>
      <c r="F1675">
        <v>2.2228815442607411E-5</v>
      </c>
      <c r="G1675">
        <v>4.9528750726031414E-10</v>
      </c>
      <c r="H1675">
        <v>3.049030102303315E-6</v>
      </c>
      <c r="I1675" t="s">
        <v>2231</v>
      </c>
    </row>
    <row r="1676" spans="1:12" x14ac:dyDescent="0.25">
      <c r="A1676" s="516">
        <v>1651</v>
      </c>
      <c r="B1676" t="s">
        <v>441</v>
      </c>
      <c r="C1676" t="s">
        <v>432</v>
      </c>
      <c r="D1676" t="s">
        <v>2292</v>
      </c>
      <c r="E1676">
        <v>2</v>
      </c>
      <c r="F1676">
        <v>2.2228815442607411E-5</v>
      </c>
      <c r="G1676">
        <v>4.9528750726031414E-10</v>
      </c>
      <c r="H1676">
        <v>3.049030102303315E-6</v>
      </c>
      <c r="I1676" t="s">
        <v>2231</v>
      </c>
    </row>
    <row r="1677" spans="1:12" hidden="1" x14ac:dyDescent="0.25">
      <c r="L1677" t="s">
        <v>2295</v>
      </c>
    </row>
  </sheetData>
  <autoFilter ref="A24:L1677" xr:uid="{1BBC3349-3C80-428F-A675-04612647CB7F}">
    <filterColumn colId="4">
      <filters>
        <filter val="2"/>
        <filter val="3"/>
      </filters>
    </filterColumn>
  </autoFilter>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BC63B-4115-4EE1-9429-C24B83887CAD}">
  <sheetPr>
    <tabColor rgb="FFFFFF00"/>
  </sheetPr>
  <dimension ref="A2:BE161"/>
  <sheetViews>
    <sheetView topLeftCell="B1" zoomScale="55" zoomScaleNormal="55" workbookViewId="0">
      <pane xSplit="1" ySplit="3" topLeftCell="C55" activePane="bottomRight" state="frozenSplit"/>
      <selection activeCell="B1" sqref="B1"/>
      <selection pane="topRight" activeCell="O1" sqref="O1"/>
      <selection pane="bottomLeft" activeCell="B22" sqref="B22"/>
      <selection pane="bottomRight" activeCell="B78" sqref="B78"/>
    </sheetView>
  </sheetViews>
  <sheetFormatPr defaultRowHeight="15" x14ac:dyDescent="0.25"/>
  <cols>
    <col min="2" max="2" width="23" customWidth="1"/>
    <col min="3" max="3" width="14.85546875" customWidth="1"/>
    <col min="6" max="6" width="9.5703125" customWidth="1"/>
    <col min="8" max="8" width="14.85546875" bestFit="1" customWidth="1"/>
    <col min="57" max="57" width="11" bestFit="1" customWidth="1"/>
  </cols>
  <sheetData>
    <row r="2" spans="2:57" x14ac:dyDescent="0.25">
      <c r="C2" s="90" t="str">
        <f>C78</f>
        <v>AGS_1001</v>
      </c>
      <c r="D2" s="487"/>
      <c r="E2" s="487"/>
      <c r="F2" s="487"/>
      <c r="G2" s="487"/>
      <c r="H2" s="80"/>
      <c r="I2" t="str">
        <f>C79</f>
        <v>AGS_1101</v>
      </c>
      <c r="O2" s="90" t="str">
        <f>C80</f>
        <v>AGS_1104</v>
      </c>
      <c r="P2" s="487"/>
      <c r="Q2" s="487"/>
      <c r="R2" s="487"/>
      <c r="S2" s="487"/>
      <c r="T2" s="80"/>
      <c r="U2" t="e">
        <f>#REF!</f>
        <v>#REF!</v>
      </c>
      <c r="AA2" s="90" t="str">
        <f>C81</f>
        <v>AGS_1111</v>
      </c>
      <c r="AB2" s="487"/>
      <c r="AC2" s="487"/>
      <c r="AD2" s="487"/>
      <c r="AE2" s="487"/>
      <c r="AF2" s="80"/>
      <c r="AG2" t="str">
        <f>C82</f>
        <v>AGS_1114</v>
      </c>
      <c r="AM2" s="90" t="str">
        <f>C83</f>
        <v>AGS_1116</v>
      </c>
      <c r="AN2" s="487"/>
      <c r="AO2" s="487"/>
      <c r="AP2" s="487"/>
      <c r="AQ2" s="487"/>
      <c r="AR2" s="80"/>
      <c r="AS2" t="str">
        <f>C84</f>
        <v>AGS_1118</v>
      </c>
      <c r="AY2" s="90" t="str">
        <f>C85</f>
        <v>BAU_AGS</v>
      </c>
      <c r="AZ2" s="487"/>
      <c r="BA2" s="487"/>
      <c r="BB2" s="487"/>
      <c r="BC2" s="487"/>
      <c r="BD2" s="80"/>
    </row>
    <row r="3" spans="2:57" x14ac:dyDescent="0.25">
      <c r="B3" s="512"/>
      <c r="C3" s="90">
        <v>2020</v>
      </c>
      <c r="D3" s="487">
        <v>2022</v>
      </c>
      <c r="E3" s="487">
        <v>2025</v>
      </c>
      <c r="F3" s="487">
        <v>2030</v>
      </c>
      <c r="G3" s="487">
        <v>2040</v>
      </c>
      <c r="H3" s="80">
        <v>2050</v>
      </c>
      <c r="I3">
        <v>2020</v>
      </c>
      <c r="J3">
        <v>2022</v>
      </c>
      <c r="K3">
        <v>2025</v>
      </c>
      <c r="L3">
        <v>2030</v>
      </c>
      <c r="M3">
        <v>2040</v>
      </c>
      <c r="N3">
        <v>2050</v>
      </c>
      <c r="O3" s="90">
        <v>2020</v>
      </c>
      <c r="P3" s="487">
        <v>2022</v>
      </c>
      <c r="Q3" s="487">
        <v>2025</v>
      </c>
      <c r="R3" s="487">
        <v>2030</v>
      </c>
      <c r="S3" s="487">
        <v>2040</v>
      </c>
      <c r="T3" s="80">
        <v>2050</v>
      </c>
      <c r="U3">
        <v>2020</v>
      </c>
      <c r="V3">
        <v>2022</v>
      </c>
      <c r="W3">
        <v>2025</v>
      </c>
      <c r="X3">
        <v>2030</v>
      </c>
      <c r="Y3">
        <v>2040</v>
      </c>
      <c r="Z3">
        <v>2050</v>
      </c>
      <c r="AA3" s="90">
        <v>2020</v>
      </c>
      <c r="AB3" s="487">
        <v>2022</v>
      </c>
      <c r="AC3" s="487">
        <v>2025</v>
      </c>
      <c r="AD3" s="487">
        <v>2030</v>
      </c>
      <c r="AE3" s="487">
        <v>2040</v>
      </c>
      <c r="AF3" s="80">
        <v>2050</v>
      </c>
      <c r="AG3">
        <v>2020</v>
      </c>
      <c r="AH3">
        <v>2022</v>
      </c>
      <c r="AI3">
        <v>2025</v>
      </c>
      <c r="AJ3">
        <v>2030</v>
      </c>
      <c r="AK3">
        <v>2040</v>
      </c>
      <c r="AL3">
        <v>2050</v>
      </c>
      <c r="AM3" s="90">
        <v>2020</v>
      </c>
      <c r="AN3" s="487">
        <v>2022</v>
      </c>
      <c r="AO3" s="487">
        <v>2025</v>
      </c>
      <c r="AP3" s="487">
        <v>2030</v>
      </c>
      <c r="AQ3" s="487">
        <v>2040</v>
      </c>
      <c r="AR3" s="80">
        <v>2050</v>
      </c>
      <c r="AS3">
        <v>2020</v>
      </c>
      <c r="AT3">
        <v>2022</v>
      </c>
      <c r="AU3">
        <v>2025</v>
      </c>
      <c r="AV3">
        <v>2030</v>
      </c>
      <c r="AW3">
        <v>2040</v>
      </c>
      <c r="AX3">
        <v>2050</v>
      </c>
      <c r="AY3" s="90">
        <v>2020</v>
      </c>
      <c r="AZ3" s="487">
        <v>2022</v>
      </c>
      <c r="BA3" s="487">
        <v>2025</v>
      </c>
      <c r="BB3" s="487">
        <v>2030</v>
      </c>
      <c r="BC3" s="487">
        <v>2040</v>
      </c>
      <c r="BD3" s="80">
        <v>2050</v>
      </c>
    </row>
    <row r="4" spans="2:57" x14ac:dyDescent="0.25">
      <c r="B4" t="s">
        <v>1920</v>
      </c>
      <c r="C4" s="90">
        <v>37.049471864590089</v>
      </c>
      <c r="D4" s="487">
        <v>29.323008790067178</v>
      </c>
      <c r="E4" s="487">
        <v>37.245942821914134</v>
      </c>
      <c r="F4" s="487">
        <v>37.416473298179902</v>
      </c>
      <c r="G4" s="487">
        <v>37.586996599240258</v>
      </c>
      <c r="H4" s="80">
        <v>37.587005061590858</v>
      </c>
      <c r="I4">
        <v>37.049503441124962</v>
      </c>
      <c r="J4">
        <v>29.323086321495936</v>
      </c>
      <c r="K4">
        <v>37.2460378675366</v>
      </c>
      <c r="L4">
        <v>37.416547678649749</v>
      </c>
      <c r="M4">
        <v>37.587018553059139</v>
      </c>
      <c r="N4">
        <v>37.587046920525815</v>
      </c>
      <c r="O4" s="90">
        <v>37.049467957200036</v>
      </c>
      <c r="P4" s="487">
        <v>29.323003500492714</v>
      </c>
      <c r="Q4" s="487">
        <v>37.245931136418598</v>
      </c>
      <c r="R4" s="487">
        <v>37.416467354849694</v>
      </c>
      <c r="S4" s="487">
        <v>37.587002926746102</v>
      </c>
      <c r="T4" s="80">
        <v>37.587003433708695</v>
      </c>
      <c r="U4">
        <v>986.77052058090862</v>
      </c>
      <c r="V4">
        <v>2889.9771371582046</v>
      </c>
      <c r="W4">
        <v>2896.811926462929</v>
      </c>
      <c r="X4">
        <v>2897.8416941001888</v>
      </c>
      <c r="Y4">
        <v>2926.9368577431983</v>
      </c>
      <c r="Z4">
        <v>2951.8203538619164</v>
      </c>
      <c r="AA4" s="90">
        <v>37.049467513718369</v>
      </c>
      <c r="AB4" s="487">
        <v>29.323002288818067</v>
      </c>
      <c r="AC4" s="487">
        <v>37.245929751144679</v>
      </c>
      <c r="AD4" s="487">
        <v>37.416466157009701</v>
      </c>
      <c r="AE4" s="487">
        <v>37.587001761849073</v>
      </c>
      <c r="AF4" s="80">
        <v>37.587002031514757</v>
      </c>
      <c r="AG4">
        <v>37.049467726435807</v>
      </c>
      <c r="AH4">
        <v>29.323002337958616</v>
      </c>
      <c r="AI4">
        <v>37.2459303733662</v>
      </c>
      <c r="AJ4">
        <v>37.416466330854995</v>
      </c>
      <c r="AK4">
        <v>37.587000319441543</v>
      </c>
      <c r="AL4">
        <v>37.587001060897066</v>
      </c>
      <c r="AM4" s="90">
        <v>37.049844302751701</v>
      </c>
      <c r="AN4" s="487">
        <v>29.324048551410566</v>
      </c>
      <c r="AO4" s="487">
        <v>37.247063911068651</v>
      </c>
      <c r="AP4" s="487">
        <v>37.417302807792964</v>
      </c>
      <c r="AQ4" s="487">
        <v>37.58691331478132</v>
      </c>
      <c r="AR4" s="80">
        <v>37.587030465457438</v>
      </c>
      <c r="AS4">
        <v>37.049468145831128</v>
      </c>
      <c r="AT4">
        <v>29.323004077198284</v>
      </c>
      <c r="AU4">
        <v>37.245931650113008</v>
      </c>
      <c r="AV4">
        <v>37.416467981759602</v>
      </c>
      <c r="AW4">
        <v>37.587003491727828</v>
      </c>
      <c r="AX4">
        <v>37.587003826914405</v>
      </c>
      <c r="AY4" s="90">
        <v>37.049482327771806</v>
      </c>
      <c r="AZ4" s="487">
        <v>29.323018372496378</v>
      </c>
      <c r="BA4" s="487">
        <v>37.245876787260165</v>
      </c>
      <c r="BB4" s="487">
        <v>37.416295831314827</v>
      </c>
      <c r="BC4" s="487">
        <v>37.492450355005801</v>
      </c>
      <c r="BD4" s="80">
        <v>37.03182057179022</v>
      </c>
    </row>
    <row r="5" spans="2:57" x14ac:dyDescent="0.25">
      <c r="B5" t="s">
        <v>713</v>
      </c>
      <c r="C5" s="90">
        <v>22.98889409648628</v>
      </c>
      <c r="D5" s="487">
        <v>22.988550469501046</v>
      </c>
      <c r="E5" s="487">
        <v>17.780538663393404</v>
      </c>
      <c r="F5" s="487">
        <v>18.75020015566826</v>
      </c>
      <c r="G5" s="487">
        <v>9.1168730003024496</v>
      </c>
      <c r="H5" s="80">
        <v>0</v>
      </c>
      <c r="I5">
        <v>22.988925732028623</v>
      </c>
      <c r="J5">
        <v>22.986786441754578</v>
      </c>
      <c r="K5">
        <v>17.891643907607936</v>
      </c>
      <c r="L5">
        <v>18.832862164193322</v>
      </c>
      <c r="M5">
        <v>9.1168441449293969</v>
      </c>
      <c r="N5">
        <v>0</v>
      </c>
      <c r="O5" s="90">
        <v>22.988890181169872</v>
      </c>
      <c r="P5" s="487">
        <v>22.98887730453804</v>
      </c>
      <c r="Q5" s="487">
        <v>17.761682245563929</v>
      </c>
      <c r="R5" s="487">
        <v>18.737814326029927</v>
      </c>
      <c r="S5" s="487">
        <v>9.1168891580629872</v>
      </c>
      <c r="T5" s="80">
        <v>0</v>
      </c>
      <c r="U5">
        <v>974.48347666790164</v>
      </c>
      <c r="V5">
        <v>975.3072458528294</v>
      </c>
      <c r="W5">
        <v>1129.3093012537418</v>
      </c>
      <c r="X5">
        <v>1108.1095481792793</v>
      </c>
      <c r="Y5">
        <v>826.32091399591013</v>
      </c>
      <c r="Z5">
        <v>0</v>
      </c>
      <c r="AA5" s="90">
        <v>22.988889737775676</v>
      </c>
      <c r="AB5" s="487">
        <v>22.988883802165113</v>
      </c>
      <c r="AC5" s="487">
        <v>18.013253055722874</v>
      </c>
      <c r="AD5" s="487">
        <v>18.935067305216897</v>
      </c>
      <c r="AE5" s="487">
        <v>9.1168890906522488</v>
      </c>
      <c r="AF5" s="80">
        <v>0</v>
      </c>
      <c r="AG5">
        <v>22.988889950850862</v>
      </c>
      <c r="AH5">
        <v>22.988859965482156</v>
      </c>
      <c r="AI5">
        <v>18.041793880062023</v>
      </c>
      <c r="AJ5">
        <v>18.957428221244399</v>
      </c>
      <c r="AK5">
        <v>9.1168876435058923</v>
      </c>
      <c r="AL5">
        <v>0</v>
      </c>
      <c r="AM5" s="90">
        <v>22.989267230183994</v>
      </c>
      <c r="AN5" s="487">
        <v>22.912465636832607</v>
      </c>
      <c r="AO5" s="487">
        <v>18.059154083764778</v>
      </c>
      <c r="AP5" s="487">
        <v>18.93912933231158</v>
      </c>
      <c r="AQ5" s="487">
        <v>9.1167565348380357</v>
      </c>
      <c r="AR5" s="80">
        <v>0</v>
      </c>
      <c r="AS5">
        <v>22.988890373128793</v>
      </c>
      <c r="AT5">
        <v>22.988880755485113</v>
      </c>
      <c r="AU5">
        <v>17.978270521988076</v>
      </c>
      <c r="AV5">
        <v>18.907639977791678</v>
      </c>
      <c r="AW5">
        <v>9.1168895751611405</v>
      </c>
      <c r="AX5">
        <v>0</v>
      </c>
      <c r="AY5" s="90">
        <v>22.988904647894831</v>
      </c>
      <c r="AZ5" s="487">
        <v>22.894558392280189</v>
      </c>
      <c r="BA5" s="487">
        <v>12.5936346385508</v>
      </c>
      <c r="BB5" s="487">
        <v>12.216857688341195</v>
      </c>
      <c r="BC5" s="487">
        <v>2.9889610334622883</v>
      </c>
      <c r="BD5" s="80">
        <v>0</v>
      </c>
    </row>
    <row r="6" spans="2:57" x14ac:dyDescent="0.25">
      <c r="B6" t="s">
        <v>1921</v>
      </c>
      <c r="C6" s="90">
        <v>-0.89180081193358018</v>
      </c>
      <c r="D6" s="487">
        <v>-1.115003349248272</v>
      </c>
      <c r="E6" s="487">
        <v>-0.39378513060744541</v>
      </c>
      <c r="F6" s="487">
        <v>-0.87745867457210613</v>
      </c>
      <c r="G6" s="487">
        <v>-0.91342613587174193</v>
      </c>
      <c r="H6" s="80">
        <v>-0.96295552274407803</v>
      </c>
      <c r="I6">
        <v>-0.8918057442876629</v>
      </c>
      <c r="J6">
        <v>-1.1191509062520706</v>
      </c>
      <c r="K6">
        <v>-0.45391936029015045</v>
      </c>
      <c r="L6">
        <v>-0.87754313094246861</v>
      </c>
      <c r="M6">
        <v>-0.91352962599618093</v>
      </c>
      <c r="N6">
        <v>-0.96231831798483425</v>
      </c>
      <c r="O6" s="90">
        <v>-0.89180020148164574</v>
      </c>
      <c r="P6" s="487">
        <v>-1.113486316717208</v>
      </c>
      <c r="Q6" s="487">
        <v>-0.3887720822211419</v>
      </c>
      <c r="R6" s="487">
        <v>-0.87744099546876886</v>
      </c>
      <c r="S6" s="487">
        <v>-0.91339537348314592</v>
      </c>
      <c r="T6" s="80">
        <v>-0.96149703828160282</v>
      </c>
      <c r="U6">
        <v>-149.2406475570759</v>
      </c>
      <c r="V6">
        <v>-216.22798157102289</v>
      </c>
      <c r="W6">
        <v>-214.14255005803687</v>
      </c>
      <c r="X6">
        <v>-226.33117777714926</v>
      </c>
      <c r="Y6">
        <v>-237.47692846709089</v>
      </c>
      <c r="Z6">
        <v>-231.02149124786789</v>
      </c>
      <c r="AA6" s="90">
        <v>-0.89180013234916777</v>
      </c>
      <c r="AB6" s="487">
        <v>-1.1134589326782951</v>
      </c>
      <c r="AC6" s="487">
        <v>-0.47651038777290128</v>
      </c>
      <c r="AD6" s="487">
        <v>-0.87665471486187696</v>
      </c>
      <c r="AE6" s="487">
        <v>-0.91115844514472999</v>
      </c>
      <c r="AF6" s="80">
        <v>-0.94767226188634535</v>
      </c>
      <c r="AG6">
        <v>-0.89180016557331665</v>
      </c>
      <c r="AH6">
        <v>-1.1135866205375617</v>
      </c>
      <c r="AI6">
        <v>-0.47596409933044198</v>
      </c>
      <c r="AJ6">
        <v>-0.87643085494451378</v>
      </c>
      <c r="AK6">
        <v>-0.90877019502222423</v>
      </c>
      <c r="AL6">
        <v>-0.93600108606384724</v>
      </c>
      <c r="AM6" s="90">
        <v>-0.89185898781773176</v>
      </c>
      <c r="AN6" s="487">
        <v>-1.1358085455686762</v>
      </c>
      <c r="AO6" s="487">
        <v>-0.65729405683981323</v>
      </c>
      <c r="AP6" s="487">
        <v>-0.87714669908156373</v>
      </c>
      <c r="AQ6" s="487">
        <v>-0.90945847601815999</v>
      </c>
      <c r="AR6" s="80">
        <v>-0.9372266776861885</v>
      </c>
      <c r="AS6">
        <v>-0.89180023141006803</v>
      </c>
      <c r="AT6">
        <v>-1.1134821025589738</v>
      </c>
      <c r="AU6">
        <v>-0.49851119829960983</v>
      </c>
      <c r="AV6">
        <v>-0.87642969836115192</v>
      </c>
      <c r="AW6">
        <v>-0.90876823380899541</v>
      </c>
      <c r="AX6">
        <v>-0.93599723684298919</v>
      </c>
      <c r="AY6" s="90">
        <v>-0.89180247449208938</v>
      </c>
      <c r="AZ6" s="487">
        <v>-1.1260290538514657</v>
      </c>
      <c r="BA6" s="487">
        <v>-0.21621335235491798</v>
      </c>
      <c r="BB6" s="487">
        <v>-0.88066335209031821</v>
      </c>
      <c r="BC6" s="487">
        <v>-0.86759115933323983</v>
      </c>
      <c r="BD6" s="80">
        <v>-0.87693670113851907</v>
      </c>
    </row>
    <row r="7" spans="2:57" x14ac:dyDescent="0.25">
      <c r="B7" t="s">
        <v>1922</v>
      </c>
      <c r="C7" s="90">
        <v>3.1090235595785887E-2</v>
      </c>
      <c r="D7" s="487">
        <v>4.765348665648575E-2</v>
      </c>
      <c r="E7" s="487">
        <v>9.5870453042751873E-3</v>
      </c>
      <c r="F7" s="487">
        <v>4.7653138594699426E-2</v>
      </c>
      <c r="G7" s="487">
        <v>7.8464633880612339E-3</v>
      </c>
      <c r="H7" s="80">
        <v>2.5440004322362288E-3</v>
      </c>
      <c r="I7">
        <v>3.1132430705888729E-2</v>
      </c>
      <c r="J7">
        <v>4.7695679072998966E-2</v>
      </c>
      <c r="K7">
        <v>2.6223181127320028E-2</v>
      </c>
      <c r="L7">
        <v>4.7694514182594752E-2</v>
      </c>
      <c r="M7">
        <v>2.019416802341106E-2</v>
      </c>
      <c r="N7">
        <v>6.8980655846120923E-3</v>
      </c>
      <c r="O7" s="90">
        <v>3.1085059033883793E-2</v>
      </c>
      <c r="P7" s="487">
        <v>4.7648307693322782E-2</v>
      </c>
      <c r="Q7" s="487">
        <v>1.3886401873623516E-3</v>
      </c>
      <c r="R7" s="487">
        <v>4.7648287733170834E-2</v>
      </c>
      <c r="S7" s="487">
        <v>1.5401243683966397E-3</v>
      </c>
      <c r="T7" s="80">
        <v>9.3040942501033331E-5</v>
      </c>
      <c r="U7">
        <v>1273.436410530737</v>
      </c>
      <c r="V7">
        <v>1250.7699031886457</v>
      </c>
      <c r="W7">
        <v>1265.2606352817779</v>
      </c>
      <c r="X7">
        <v>1049.9845477285708</v>
      </c>
      <c r="Y7">
        <v>2529.1714636431279</v>
      </c>
      <c r="Z7">
        <v>1485.2509050045026</v>
      </c>
      <c r="AA7" s="90">
        <v>3.1084466677274797E-2</v>
      </c>
      <c r="AB7" s="487">
        <v>4.7647714949920712E-2</v>
      </c>
      <c r="AC7" s="487">
        <v>1.2859944847863354E-3</v>
      </c>
      <c r="AD7" s="487">
        <v>4.7647700184889868E-2</v>
      </c>
      <c r="AE7" s="487">
        <v>1.4575378808941346E-3</v>
      </c>
      <c r="AF7" s="80">
        <v>5.7709560348300928E-5</v>
      </c>
      <c r="AG7">
        <v>3.1084745743754381E-2</v>
      </c>
      <c r="AH7">
        <v>4.7647993009463263E-2</v>
      </c>
      <c r="AI7">
        <v>1.9832953224011205E-3</v>
      </c>
      <c r="AJ7">
        <v>4.7647933744032853E-2</v>
      </c>
      <c r="AK7">
        <v>1.8766601629885728E-3</v>
      </c>
      <c r="AL7">
        <v>4.1698580214501673E-4</v>
      </c>
      <c r="AM7" s="90">
        <v>3.1588903870315592E-2</v>
      </c>
      <c r="AN7" s="487">
        <v>4.8152174429989987E-2</v>
      </c>
      <c r="AO7" s="487">
        <v>4.8131704873695065E-2</v>
      </c>
      <c r="AP7" s="487">
        <v>4.8145199778080551E-2</v>
      </c>
      <c r="AQ7" s="487">
        <v>4.8274586280795673E-2</v>
      </c>
      <c r="AR7" s="80">
        <v>2.9174378634998291E-2</v>
      </c>
      <c r="AS7">
        <v>3.1085315774415482E-2</v>
      </c>
      <c r="AT7">
        <v>4.7648563695646934E-2</v>
      </c>
      <c r="AU7">
        <v>1.4498555985896528E-3</v>
      </c>
      <c r="AV7">
        <v>4.764853996649808E-2</v>
      </c>
      <c r="AW7">
        <v>3.9452904939754367E-3</v>
      </c>
      <c r="AX7">
        <v>2.617258538372923E-4</v>
      </c>
      <c r="AY7" s="90">
        <v>1.1510613035812869E-2</v>
      </c>
      <c r="AZ7" s="487">
        <v>7.887329028091198E-3</v>
      </c>
      <c r="BA7" s="487">
        <v>4.7654301409110832E-2</v>
      </c>
      <c r="BB7" s="487">
        <v>4.7657068454731416E-2</v>
      </c>
      <c r="BC7" s="487">
        <v>4.7653021353254436E-2</v>
      </c>
      <c r="BD7" s="80">
        <v>4.7658258676476141E-2</v>
      </c>
    </row>
    <row r="8" spans="2:57" x14ac:dyDescent="0.25">
      <c r="B8" t="s">
        <v>1923</v>
      </c>
      <c r="C8" s="90">
        <v>0</v>
      </c>
      <c r="D8" s="487">
        <v>7.1567000878591097E-4</v>
      </c>
      <c r="E8" s="487">
        <v>1.1709992311284957E-2</v>
      </c>
      <c r="F8" s="487">
        <v>5.5906007623847606E-3</v>
      </c>
      <c r="G8" s="487">
        <v>3.9070875752256484E-2</v>
      </c>
      <c r="H8" s="80">
        <v>0.49131748802155295</v>
      </c>
      <c r="I8">
        <v>0</v>
      </c>
      <c r="J8">
        <v>1.6434728314447468E-3</v>
      </c>
      <c r="K8">
        <v>3.3456158581522177E-2</v>
      </c>
      <c r="L8">
        <v>1.5390336282810575E-2</v>
      </c>
      <c r="M8">
        <v>4.7908677138242893E-2</v>
      </c>
      <c r="N8">
        <v>0.63125774145019886</v>
      </c>
      <c r="O8" s="90">
        <v>0</v>
      </c>
      <c r="P8" s="487">
        <v>5.9529948989885601E-5</v>
      </c>
      <c r="Q8" s="487">
        <v>7.4732959758623562E-4</v>
      </c>
      <c r="R8" s="487">
        <v>3.9756822818726032E-4</v>
      </c>
      <c r="S8" s="487">
        <v>1.5310028585616753E-2</v>
      </c>
      <c r="T8" s="80">
        <v>0.46360391330875023</v>
      </c>
      <c r="U8">
        <v>0</v>
      </c>
      <c r="V8">
        <v>340.64155330272524</v>
      </c>
      <c r="W8">
        <v>340.29591348820821</v>
      </c>
      <c r="X8">
        <v>258.07595102650174</v>
      </c>
      <c r="Y8">
        <v>19797.009796038183</v>
      </c>
      <c r="Z8">
        <v>10840.443433418715</v>
      </c>
      <c r="AA8" s="90">
        <v>0</v>
      </c>
      <c r="AB8" s="487">
        <v>5.2934975722113286E-5</v>
      </c>
      <c r="AC8" s="487">
        <v>5.5094293111462877E-4</v>
      </c>
      <c r="AD8" s="487">
        <v>3.1147691166553032E-4</v>
      </c>
      <c r="AE8" s="487">
        <v>1.8946699533615326E-2</v>
      </c>
      <c r="AF8" s="80">
        <v>4.279906965673254E-3</v>
      </c>
      <c r="AG8">
        <v>0</v>
      </c>
      <c r="AH8">
        <v>1.3905784660014846E-4</v>
      </c>
      <c r="AI8">
        <v>1.6302027412230385E-3</v>
      </c>
      <c r="AJ8">
        <v>8.5527399997472036E-4</v>
      </c>
      <c r="AK8">
        <v>4.6189404671848296E-2</v>
      </c>
      <c r="AL8">
        <v>3.7046109357682607E-3</v>
      </c>
      <c r="AM8" s="90">
        <v>0</v>
      </c>
      <c r="AN8" s="487">
        <v>2.7110155735190068E-3</v>
      </c>
      <c r="AO8" s="487">
        <v>9.5595190632528693E-2</v>
      </c>
      <c r="AP8" s="487">
        <v>4.7808845513048266E-2</v>
      </c>
      <c r="AQ8" s="487">
        <v>0.11197407193195853</v>
      </c>
      <c r="AR8" s="80">
        <v>0.23393516954097293</v>
      </c>
      <c r="AS8">
        <v>0</v>
      </c>
      <c r="AT8">
        <v>7.3667629285655063E-5</v>
      </c>
      <c r="AU8">
        <v>7.6536258884933497E-4</v>
      </c>
      <c r="AV8">
        <v>4.2872705202275107E-4</v>
      </c>
      <c r="AW8">
        <v>6.7475041690673754E-2</v>
      </c>
      <c r="AX8">
        <v>1.4411564129232877E-3</v>
      </c>
      <c r="AY8" s="90">
        <v>0</v>
      </c>
      <c r="AZ8" s="487">
        <v>3.2340462146573153E-3</v>
      </c>
      <c r="BA8" s="487">
        <v>0.177210207915068</v>
      </c>
      <c r="BB8" s="487">
        <v>0.32740267783168603</v>
      </c>
      <c r="BC8" s="487">
        <v>4.8046011492321012</v>
      </c>
      <c r="BD8" s="80">
        <v>5.3341675099221737</v>
      </c>
    </row>
    <row r="9" spans="2:57" x14ac:dyDescent="0.25">
      <c r="B9" t="s">
        <v>1924</v>
      </c>
      <c r="C9" s="90">
        <v>0.64303790824332296</v>
      </c>
      <c r="D9" s="487">
        <v>0.20600458832753149</v>
      </c>
      <c r="E9" s="487">
        <v>0.23662455409980743</v>
      </c>
      <c r="F9" s="487">
        <v>0.58840326281114919</v>
      </c>
      <c r="G9" s="487">
        <v>0.77637357297949494</v>
      </c>
      <c r="H9" s="80">
        <v>0.42119515148302861</v>
      </c>
      <c r="I9">
        <v>0.64636781036159241</v>
      </c>
      <c r="J9">
        <v>0.21182690128244303</v>
      </c>
      <c r="K9">
        <v>0.35924525628211468</v>
      </c>
      <c r="L9">
        <v>0.70297513238242326</v>
      </c>
      <c r="M9">
        <v>0.94696254044171102</v>
      </c>
      <c r="N9">
        <v>0.54007774145023502</v>
      </c>
      <c r="O9" s="90">
        <v>0.63092640335503825</v>
      </c>
      <c r="P9" s="487">
        <v>0.20046809979931435</v>
      </c>
      <c r="Q9" s="487">
        <v>0.16661863278216074</v>
      </c>
      <c r="R9" s="487">
        <v>0.53473617167188447</v>
      </c>
      <c r="S9" s="487">
        <v>0.67627178260024456</v>
      </c>
      <c r="T9" s="80">
        <v>0.23912176068601923</v>
      </c>
      <c r="U9">
        <v>2864.1562808623521</v>
      </c>
      <c r="V9">
        <v>4126.1694124073383</v>
      </c>
      <c r="W9">
        <v>4331.8809319400061</v>
      </c>
      <c r="X9">
        <v>4047.684373816156</v>
      </c>
      <c r="Y9">
        <v>13045.520550779545</v>
      </c>
      <c r="Z9">
        <v>9074.8496706493952</v>
      </c>
      <c r="AA9" s="90">
        <v>0.63086304732617471</v>
      </c>
      <c r="AB9" s="487">
        <v>0.20033799658877954</v>
      </c>
      <c r="AC9" s="487">
        <v>0.16492162366682633</v>
      </c>
      <c r="AD9" s="487">
        <v>0.60559460872195336</v>
      </c>
      <c r="AE9" s="487">
        <v>0.72331004525235432</v>
      </c>
      <c r="AF9" s="80">
        <v>0.20752710938916932</v>
      </c>
      <c r="AG9">
        <v>0.63125866079199566</v>
      </c>
      <c r="AH9">
        <v>0.20136968498647395</v>
      </c>
      <c r="AI9">
        <v>0.17094147996399225</v>
      </c>
      <c r="AJ9">
        <v>0.63081544978886994</v>
      </c>
      <c r="AK9">
        <v>0.71998422710230858</v>
      </c>
      <c r="AL9">
        <v>0.19262203510191678</v>
      </c>
      <c r="AM9" s="90">
        <v>0.64742323007708302</v>
      </c>
      <c r="AN9" s="487">
        <v>0.21935482227222255</v>
      </c>
      <c r="AO9" s="487">
        <v>0.76583054266407113</v>
      </c>
      <c r="AP9" s="487">
        <v>1.3412388277204339</v>
      </c>
      <c r="AQ9" s="487">
        <v>1.7375234609782126</v>
      </c>
      <c r="AR9" s="80">
        <v>0.84431566011538872</v>
      </c>
      <c r="AS9">
        <v>0.63098808689096353</v>
      </c>
      <c r="AT9">
        <v>0.2005251865711295</v>
      </c>
      <c r="AU9">
        <v>0.16042558862381912</v>
      </c>
      <c r="AV9">
        <v>0.6528426138925234</v>
      </c>
      <c r="AW9">
        <v>0.76284092386509039</v>
      </c>
      <c r="AX9">
        <v>0.18272993817960076</v>
      </c>
      <c r="AY9" s="90">
        <v>0.46023229067002014</v>
      </c>
      <c r="AZ9" s="487">
        <v>0.18616030451810436</v>
      </c>
      <c r="BA9" s="487">
        <v>0.57738235925794157</v>
      </c>
      <c r="BB9" s="487">
        <v>1.5887041066337004</v>
      </c>
      <c r="BC9" s="487">
        <v>6.6555658675428138</v>
      </c>
      <c r="BD9" s="80">
        <v>9.0337767486422909</v>
      </c>
    </row>
    <row r="10" spans="2:57" x14ac:dyDescent="0.25">
      <c r="B10" t="s">
        <v>1925</v>
      </c>
      <c r="C10" s="90">
        <v>0.26649348742604012</v>
      </c>
      <c r="D10" s="487">
        <v>0.30732857191348112</v>
      </c>
      <c r="E10" s="487">
        <v>0.36404901280050422</v>
      </c>
      <c r="F10" s="487">
        <v>0.36564881548233868</v>
      </c>
      <c r="G10" s="487">
        <v>0.36587274319231444</v>
      </c>
      <c r="H10" s="80">
        <v>0.61101919679630601</v>
      </c>
      <c r="I10">
        <v>0.26651467168387116</v>
      </c>
      <c r="J10">
        <v>0.3074876057925679</v>
      </c>
      <c r="K10">
        <v>0.42717359697461832</v>
      </c>
      <c r="L10">
        <v>0.43474046662166965</v>
      </c>
      <c r="M10">
        <v>0.43999756079096164</v>
      </c>
      <c r="N10">
        <v>0.6917911793853283</v>
      </c>
      <c r="O10" s="90">
        <v>0.26649086542859773</v>
      </c>
      <c r="P10" s="487">
        <v>0.30721480401120427</v>
      </c>
      <c r="Q10" s="487">
        <v>0.34221516211577924</v>
      </c>
      <c r="R10" s="487">
        <v>0.34224152047911599</v>
      </c>
      <c r="S10" s="487">
        <v>0.34224494258422028</v>
      </c>
      <c r="T10" s="80">
        <v>0.59267797555363377</v>
      </c>
      <c r="U10">
        <v>636.77135095386677</v>
      </c>
      <c r="V10">
        <v>637.31622127413175</v>
      </c>
      <c r="W10">
        <v>637.71194859269508</v>
      </c>
      <c r="X10">
        <v>638.10404859461642</v>
      </c>
      <c r="Y10">
        <v>696.81356997348348</v>
      </c>
      <c r="Z10">
        <v>825.06621373801636</v>
      </c>
      <c r="AA10" s="90">
        <v>0.26649056856258418</v>
      </c>
      <c r="AB10" s="487">
        <v>0.30721369688747324</v>
      </c>
      <c r="AC10" s="487">
        <v>0.34986240055819762</v>
      </c>
      <c r="AD10" s="487">
        <v>0.34986327326054639</v>
      </c>
      <c r="AE10" s="487">
        <v>0.34986523536046304</v>
      </c>
      <c r="AF10" s="80">
        <v>0.84384581957941307</v>
      </c>
      <c r="AG10">
        <v>0.26649071120098689</v>
      </c>
      <c r="AH10">
        <v>0.30722916877325984</v>
      </c>
      <c r="AI10">
        <v>0.32684738509437933</v>
      </c>
      <c r="AJ10">
        <v>0.32689255117442573</v>
      </c>
      <c r="AK10">
        <v>0.33242710963001115</v>
      </c>
      <c r="AL10">
        <v>0.80872005356196774</v>
      </c>
      <c r="AM10" s="90">
        <v>0.26674334558900048</v>
      </c>
      <c r="AN10" s="487">
        <v>0.30778749172521863</v>
      </c>
      <c r="AO10" s="487">
        <v>0.45936135528462491</v>
      </c>
      <c r="AP10" s="487">
        <v>0.49123710123555897</v>
      </c>
      <c r="AQ10" s="487">
        <v>0.51037893693587355</v>
      </c>
      <c r="AR10" s="80">
        <v>0.87298105052741581</v>
      </c>
      <c r="AS10">
        <v>0.26649099401864351</v>
      </c>
      <c r="AT10">
        <v>0.30721741587132423</v>
      </c>
      <c r="AU10">
        <v>0.36735689587953968</v>
      </c>
      <c r="AV10">
        <v>0.36735979658284612</v>
      </c>
      <c r="AW10">
        <v>0.368328590900112</v>
      </c>
      <c r="AX10">
        <v>0.84869358742081458</v>
      </c>
      <c r="AY10" s="90">
        <v>0.26650062841896921</v>
      </c>
      <c r="AZ10" s="487">
        <v>0.30774994215141244</v>
      </c>
      <c r="BA10" s="487">
        <v>0.31633259780278439</v>
      </c>
      <c r="BB10" s="487">
        <v>0.32280163311114612</v>
      </c>
      <c r="BC10" s="487">
        <v>0.3229389551959374</v>
      </c>
      <c r="BD10" s="80">
        <v>0.32908286603930109</v>
      </c>
    </row>
    <row r="11" spans="2:57" x14ac:dyDescent="0.25">
      <c r="B11" t="s">
        <v>732</v>
      </c>
      <c r="C11" s="90">
        <v>2.2929723754548288</v>
      </c>
      <c r="D11" s="487">
        <v>2.4847861153864197</v>
      </c>
      <c r="E11" s="487">
        <v>2.5489128985212739</v>
      </c>
      <c r="F11" s="487">
        <v>2.5371302799796656</v>
      </c>
      <c r="G11" s="487">
        <v>2.5859924296361001</v>
      </c>
      <c r="H11" s="80">
        <v>3.0606293712193509</v>
      </c>
      <c r="I11">
        <v>2.2930141690480457</v>
      </c>
      <c r="J11">
        <v>2.4848288123254663</v>
      </c>
      <c r="K11">
        <v>2.5490112275994368</v>
      </c>
      <c r="L11">
        <v>2.5372368249241459</v>
      </c>
      <c r="M11">
        <v>2.5871160434878151</v>
      </c>
      <c r="N11">
        <v>3.0726431950461661</v>
      </c>
      <c r="O11" s="90">
        <v>2.2929680241064783</v>
      </c>
      <c r="P11" s="487">
        <v>2.4847806119037248</v>
      </c>
      <c r="Q11" s="487">
        <v>2.5488960519309525</v>
      </c>
      <c r="R11" s="487">
        <v>2.5371168654162091</v>
      </c>
      <c r="S11" s="487">
        <v>2.5856682582749975</v>
      </c>
      <c r="T11" s="80">
        <v>3.0575602201062058</v>
      </c>
      <c r="U11">
        <v>1281.3251116728379</v>
      </c>
      <c r="V11">
        <v>1282.9780013400336</v>
      </c>
      <c r="W11">
        <v>1279.7853309271909</v>
      </c>
      <c r="X11">
        <v>1281.2236930788902</v>
      </c>
      <c r="Y11">
        <v>12918.454833426213</v>
      </c>
      <c r="Z11">
        <v>8388.4620916789609</v>
      </c>
      <c r="AA11" s="90">
        <v>2.2929673505337451</v>
      </c>
      <c r="AB11" s="487">
        <v>2.4847800170442089</v>
      </c>
      <c r="AC11" s="487">
        <v>2.5488951254539023</v>
      </c>
      <c r="AD11" s="487">
        <v>2.537116118855721</v>
      </c>
      <c r="AE11" s="487">
        <v>2.5858317678647822</v>
      </c>
      <c r="AF11" s="80">
        <v>3.0575501542818642</v>
      </c>
      <c r="AG11">
        <v>2.2929671608316471</v>
      </c>
      <c r="AH11">
        <v>2.4847803406952678</v>
      </c>
      <c r="AI11">
        <v>2.5488963687846415</v>
      </c>
      <c r="AJ11">
        <v>2.5371168721589794</v>
      </c>
      <c r="AK11">
        <v>2.5868148694686566</v>
      </c>
      <c r="AL11">
        <v>3.0575517740180569</v>
      </c>
      <c r="AM11" s="90">
        <v>2.2934699574966144</v>
      </c>
      <c r="AN11" s="487">
        <v>2.4852858883298166</v>
      </c>
      <c r="AO11" s="487">
        <v>2.5496451005776111</v>
      </c>
      <c r="AP11" s="487">
        <v>2.5383235205582597</v>
      </c>
      <c r="AQ11" s="487">
        <v>2.5957756027154453</v>
      </c>
      <c r="AR11" s="80">
        <v>3.0626017535493455</v>
      </c>
      <c r="AS11">
        <v>2.2929679378311429</v>
      </c>
      <c r="AT11">
        <v>2.4847808768227009</v>
      </c>
      <c r="AU11">
        <v>2.5488961106457255</v>
      </c>
      <c r="AV11">
        <v>2.5371170464053212</v>
      </c>
      <c r="AW11">
        <v>2.5866347066597215</v>
      </c>
      <c r="AX11">
        <v>3.0575535703600045</v>
      </c>
      <c r="AY11" s="90">
        <v>2.2291122045102854</v>
      </c>
      <c r="AZ11" s="487">
        <v>2.4225428269317875</v>
      </c>
      <c r="BA11" s="487">
        <v>2.6375107524637977</v>
      </c>
      <c r="BB11" s="487">
        <v>2.4733033469282693</v>
      </c>
      <c r="BC11" s="487">
        <v>2.5473698200697501</v>
      </c>
      <c r="BD11" s="80">
        <v>2.6533516380856947</v>
      </c>
    </row>
    <row r="12" spans="2:57" x14ac:dyDescent="0.25">
      <c r="B12" t="s">
        <v>1926</v>
      </c>
      <c r="C12" s="90">
        <v>0.1603980642741854</v>
      </c>
      <c r="D12" s="487">
        <v>0.16043007755481703</v>
      </c>
      <c r="E12" s="487">
        <v>0.39081190226440088</v>
      </c>
      <c r="F12" s="487">
        <v>0.7381358343791421</v>
      </c>
      <c r="G12" s="487">
        <v>1.2654055179999351</v>
      </c>
      <c r="H12" s="80">
        <v>3.4025390976994361</v>
      </c>
      <c r="I12">
        <v>0.15358763111047485</v>
      </c>
      <c r="J12">
        <v>0.15370183743214721</v>
      </c>
      <c r="K12">
        <v>0.38546268134177419</v>
      </c>
      <c r="L12">
        <v>0.75596132978229158</v>
      </c>
      <c r="M12">
        <v>1.2724855484302509</v>
      </c>
      <c r="N12">
        <v>3.3931044474954999</v>
      </c>
      <c r="O12" s="90">
        <v>0.16675551853068074</v>
      </c>
      <c r="P12" s="487">
        <v>0.16675741938261773</v>
      </c>
      <c r="Q12" s="487">
        <v>0.42149869231124459</v>
      </c>
      <c r="R12" s="487">
        <v>0.73319927629298198</v>
      </c>
      <c r="S12" s="487">
        <v>1.2619603985673893</v>
      </c>
      <c r="T12" s="80">
        <v>3.4038817375259525</v>
      </c>
      <c r="U12">
        <v>958.30206907687443</v>
      </c>
      <c r="V12">
        <v>964.20721732129118</v>
      </c>
      <c r="W12">
        <v>975.52051651526654</v>
      </c>
      <c r="X12">
        <v>4225.2327505206349</v>
      </c>
      <c r="Y12">
        <v>9136.0431314828329</v>
      </c>
      <c r="Z12">
        <v>9427.5343855749779</v>
      </c>
      <c r="AA12" s="90">
        <v>0.16689094944564811</v>
      </c>
      <c r="AB12" s="487">
        <v>0.16689176066051975</v>
      </c>
      <c r="AC12" s="487">
        <v>0.40987867596752225</v>
      </c>
      <c r="AD12" s="487">
        <v>0.73214073827394555</v>
      </c>
      <c r="AE12" s="487">
        <v>1.2618889703186815</v>
      </c>
      <c r="AF12" s="80">
        <v>3.3798311228490263</v>
      </c>
      <c r="AG12">
        <v>0.16574937544010707</v>
      </c>
      <c r="AH12">
        <v>0.16575340548300627</v>
      </c>
      <c r="AI12">
        <v>0.39729653491468964</v>
      </c>
      <c r="AJ12">
        <v>0.73569911668485644</v>
      </c>
      <c r="AK12">
        <v>1.2622098755390032</v>
      </c>
      <c r="AL12">
        <v>3.2937269225540211</v>
      </c>
      <c r="AM12" s="90">
        <v>0.14683344833444514</v>
      </c>
      <c r="AN12" s="487">
        <v>0.14727859674307203</v>
      </c>
      <c r="AO12" s="487">
        <v>0.417608749823006</v>
      </c>
      <c r="AP12" s="487">
        <v>0.82162546532481329</v>
      </c>
      <c r="AQ12" s="487">
        <v>1.3000612640739935</v>
      </c>
      <c r="AR12" s="80">
        <v>3.2807825937824258</v>
      </c>
      <c r="AS12">
        <v>0.16668183874122774</v>
      </c>
      <c r="AT12">
        <v>0.16668371264643944</v>
      </c>
      <c r="AU12">
        <v>0.42076597399741322</v>
      </c>
      <c r="AV12">
        <v>0.73459999475953075</v>
      </c>
      <c r="AW12">
        <v>1.2619619185078246</v>
      </c>
      <c r="AX12">
        <v>3.2905748561085186</v>
      </c>
      <c r="AY12" s="90">
        <v>0.27901236587305495</v>
      </c>
      <c r="AZ12" s="487">
        <v>0.27917219985854597</v>
      </c>
      <c r="BA12" s="487">
        <v>0.33946759670112003</v>
      </c>
      <c r="BB12" s="487">
        <v>0.36139309992465496</v>
      </c>
      <c r="BC12" s="487">
        <v>0.89697787722524558</v>
      </c>
      <c r="BD12" s="80">
        <v>0.96784819493884788</v>
      </c>
    </row>
    <row r="13" spans="2:57" x14ac:dyDescent="0.25">
      <c r="B13" s="417" t="s">
        <v>674</v>
      </c>
      <c r="C13" s="517">
        <v>2.5986111111111141</v>
      </c>
      <c r="D13" s="518">
        <v>3.5618965003941874</v>
      </c>
      <c r="E13" s="518">
        <v>8.0000140583294588</v>
      </c>
      <c r="F13" s="518">
        <v>10.256895972374926</v>
      </c>
      <c r="G13" s="518">
        <v>20.489910888298926</v>
      </c>
      <c r="H13" s="519">
        <v>35.232579742976121</v>
      </c>
      <c r="I13" s="417">
        <v>2.5986111111111141</v>
      </c>
      <c r="J13" s="417">
        <v>3.5619989669187238</v>
      </c>
      <c r="K13" s="417">
        <v>8.0000960505479366</v>
      </c>
      <c r="L13" s="417">
        <v>10.257718179090661</v>
      </c>
      <c r="M13" s="417">
        <v>20.539975279748887</v>
      </c>
      <c r="N13" s="417">
        <v>36.110298993053554</v>
      </c>
      <c r="O13" s="517">
        <v>2.5986111111111141</v>
      </c>
      <c r="P13" s="518">
        <v>3.5618212253099348</v>
      </c>
      <c r="Q13" s="518">
        <v>8.0000030231380563</v>
      </c>
      <c r="R13" s="518">
        <v>10.256698657506691</v>
      </c>
      <c r="S13" s="518">
        <v>20.485811494607685</v>
      </c>
      <c r="T13" s="519">
        <v>34.733709495368053</v>
      </c>
      <c r="U13" s="417">
        <v>2.5986111111111141</v>
      </c>
      <c r="V13" s="417">
        <v>23.534712581931867</v>
      </c>
      <c r="W13" s="417">
        <v>2211.2564381255943</v>
      </c>
      <c r="X13" s="417">
        <v>3812.6479916302105</v>
      </c>
      <c r="Y13" s="417">
        <v>10865.527488082374</v>
      </c>
      <c r="Z13" s="417">
        <v>10856.221310356754</v>
      </c>
      <c r="AA13" s="517">
        <v>2.5986111111111141</v>
      </c>
      <c r="AB13" s="518">
        <v>3.5618207487662912</v>
      </c>
      <c r="AC13" s="518">
        <v>8.0000019677718512</v>
      </c>
      <c r="AD13" s="518">
        <v>10.256694814858681</v>
      </c>
      <c r="AE13" s="518">
        <v>20.696618544103139</v>
      </c>
      <c r="AF13" s="519">
        <v>32.856609763509745</v>
      </c>
      <c r="AG13" s="417">
        <v>2.5986111111111141</v>
      </c>
      <c r="AH13" s="417">
        <v>3.5618303132491254</v>
      </c>
      <c r="AI13" s="417">
        <v>8.000002577252431</v>
      </c>
      <c r="AJ13" s="417">
        <v>10.256703542469717</v>
      </c>
      <c r="AK13" s="417">
        <v>21.256123484379295</v>
      </c>
      <c r="AL13" s="417">
        <v>29.367383858039297</v>
      </c>
      <c r="AM13" s="517">
        <v>2.5986111111111141</v>
      </c>
      <c r="AN13" s="518">
        <v>3.5620433694953086</v>
      </c>
      <c r="AO13" s="518">
        <v>8.001318586379897</v>
      </c>
      <c r="AP13" s="518">
        <v>10.261565687707497</v>
      </c>
      <c r="AQ13" s="518">
        <v>20.728096223657033</v>
      </c>
      <c r="AR13" s="519">
        <v>28.844831209600798</v>
      </c>
      <c r="AS13" s="417">
        <v>2.5986111111111141</v>
      </c>
      <c r="AT13" s="417">
        <v>3.5618223144146017</v>
      </c>
      <c r="AU13" s="417">
        <v>8.0000034325801437</v>
      </c>
      <c r="AV13" s="417">
        <v>10.256696724359472</v>
      </c>
      <c r="AW13" s="417">
        <v>20.797134183153151</v>
      </c>
      <c r="AX13" s="417">
        <v>28.908010582248718</v>
      </c>
      <c r="AY13" s="517">
        <v>2.5986111111111141</v>
      </c>
      <c r="AZ13" s="518">
        <v>3.5622809285169525</v>
      </c>
      <c r="BA13" s="518">
        <v>5.6297103397316217</v>
      </c>
      <c r="BB13" s="518">
        <v>6.4123784479856027</v>
      </c>
      <c r="BC13" s="518">
        <v>5.0241901610314867</v>
      </c>
      <c r="BD13" s="519">
        <v>3.7701524486246623</v>
      </c>
    </row>
    <row r="14" spans="2:57" x14ac:dyDescent="0.25">
      <c r="B14" s="417" t="s">
        <v>675</v>
      </c>
      <c r="C14" s="517">
        <v>0.14555555555555569</v>
      </c>
      <c r="D14" s="518">
        <v>0.15147027057943718</v>
      </c>
      <c r="E14" s="518">
        <v>0.54532426325302674</v>
      </c>
      <c r="F14" s="518">
        <v>1.5319543920693768</v>
      </c>
      <c r="G14" s="518">
        <v>4.3070623317615651</v>
      </c>
      <c r="H14" s="519">
        <v>8.509688639311376</v>
      </c>
      <c r="I14" s="417">
        <v>0.14555555555555569</v>
      </c>
      <c r="J14" s="417">
        <v>0.15147071789082539</v>
      </c>
      <c r="K14" s="417">
        <v>0.5451188811942167</v>
      </c>
      <c r="L14" s="417">
        <v>1.5445030574010323</v>
      </c>
      <c r="M14" s="417">
        <v>4.322330071657678</v>
      </c>
      <c r="N14" s="417">
        <v>7.6530355402372852</v>
      </c>
      <c r="O14" s="517">
        <v>0.14555555555555569</v>
      </c>
      <c r="P14" s="518">
        <v>0.15147002077104968</v>
      </c>
      <c r="Q14" s="518">
        <v>0.54539573139137787</v>
      </c>
      <c r="R14" s="518">
        <v>1.5293039903307655</v>
      </c>
      <c r="S14" s="518">
        <v>4.3004101683363398</v>
      </c>
      <c r="T14" s="519">
        <v>8.5066822792649042</v>
      </c>
      <c r="U14" s="417">
        <v>0.14555555555555569</v>
      </c>
      <c r="V14" s="417">
        <v>12.425167625934044</v>
      </c>
      <c r="W14" s="417">
        <v>343.91900798939332</v>
      </c>
      <c r="X14" s="417">
        <v>142.9263048196203</v>
      </c>
      <c r="Y14" s="417">
        <v>385.51807620261246</v>
      </c>
      <c r="Z14" s="417">
        <v>431.52935407415578</v>
      </c>
      <c r="AA14" s="517">
        <v>0.14555555555555569</v>
      </c>
      <c r="AB14" s="518">
        <v>0.15147001451135597</v>
      </c>
      <c r="AC14" s="518">
        <v>0.54539491780954419</v>
      </c>
      <c r="AD14" s="518">
        <v>1.2472541079823372</v>
      </c>
      <c r="AE14" s="518">
        <v>3.4978132773676642</v>
      </c>
      <c r="AF14" s="519">
        <v>5.6975698145792633</v>
      </c>
      <c r="AG14" s="417">
        <v>0.14555555555555569</v>
      </c>
      <c r="AH14" s="417">
        <v>0.1514700409291069</v>
      </c>
      <c r="AI14" s="417">
        <v>0.54538663442121649</v>
      </c>
      <c r="AJ14" s="417">
        <v>1.1666667091302789</v>
      </c>
      <c r="AK14" s="417">
        <v>2.6405617894975317</v>
      </c>
      <c r="AL14" s="417">
        <v>4.3011985349652182</v>
      </c>
      <c r="AM14" s="517">
        <v>0.14555555555555569</v>
      </c>
      <c r="AN14" s="518">
        <v>0.15147211360576243</v>
      </c>
      <c r="AO14" s="518">
        <v>0.54400131481206304</v>
      </c>
      <c r="AP14" s="518">
        <v>1.2427015070559582</v>
      </c>
      <c r="AQ14" s="518">
        <v>2.7262298116355237</v>
      </c>
      <c r="AR14" s="519">
        <v>4.441258309453441</v>
      </c>
      <c r="AS14" s="417">
        <v>0.14555555555555569</v>
      </c>
      <c r="AT14" s="417">
        <v>0.15147002076084962</v>
      </c>
      <c r="AU14" s="417">
        <v>0.54539243631485468</v>
      </c>
      <c r="AV14" s="417">
        <v>1.1664235434674395</v>
      </c>
      <c r="AW14" s="417">
        <v>2.6400129666674998</v>
      </c>
      <c r="AX14" s="417">
        <v>4.3003031865011447</v>
      </c>
      <c r="AY14" s="517">
        <v>0.14555555555555569</v>
      </c>
      <c r="AZ14" s="518">
        <v>0.15147088156815203</v>
      </c>
      <c r="BA14" s="518">
        <v>0.1532345767333852</v>
      </c>
      <c r="BB14" s="518">
        <v>0.19976688426196468</v>
      </c>
      <c r="BC14" s="518">
        <v>0.32541225389684003</v>
      </c>
      <c r="BD14" s="519">
        <v>0.53022378746751309</v>
      </c>
    </row>
    <row r="15" spans="2:57" x14ac:dyDescent="0.25">
      <c r="B15" s="417" t="s">
        <v>1927</v>
      </c>
      <c r="C15" s="517">
        <v>0</v>
      </c>
      <c r="D15" s="518">
        <v>0</v>
      </c>
      <c r="E15" s="518">
        <v>0</v>
      </c>
      <c r="F15" s="518">
        <v>7.5635882461578601E-3</v>
      </c>
      <c r="G15" s="518">
        <v>7.452213634499329E-3</v>
      </c>
      <c r="H15" s="519">
        <v>1.1120088744828184E-2</v>
      </c>
      <c r="I15" s="417">
        <v>0</v>
      </c>
      <c r="J15" s="417">
        <v>0</v>
      </c>
      <c r="K15" s="417">
        <v>0</v>
      </c>
      <c r="L15" s="417">
        <v>3.8636933392846767E-2</v>
      </c>
      <c r="M15" s="417">
        <v>3.6676144783165783E-2</v>
      </c>
      <c r="N15" s="417">
        <v>6.9468753428123212E-2</v>
      </c>
      <c r="O15" s="517">
        <v>0</v>
      </c>
      <c r="P15" s="518">
        <v>0</v>
      </c>
      <c r="Q15" s="518">
        <v>0</v>
      </c>
      <c r="R15" s="518">
        <v>6.5577961023762811E-4</v>
      </c>
      <c r="S15" s="518">
        <v>6.488451013003957E-4</v>
      </c>
      <c r="T15" s="519">
        <v>0.75595382828552049</v>
      </c>
      <c r="U15" s="417">
        <v>0</v>
      </c>
      <c r="V15" s="417">
        <v>0</v>
      </c>
      <c r="W15" s="417">
        <v>0</v>
      </c>
      <c r="X15" s="417">
        <v>357.42803522111984</v>
      </c>
      <c r="Y15" s="417">
        <v>1221.9177114310114</v>
      </c>
      <c r="Z15" s="417">
        <v>651.70672670065608</v>
      </c>
      <c r="AA15" s="517">
        <v>0</v>
      </c>
      <c r="AB15" s="518">
        <v>0</v>
      </c>
      <c r="AC15" s="518">
        <v>0</v>
      </c>
      <c r="AD15" s="518">
        <v>7.7710772255124678E-4</v>
      </c>
      <c r="AE15" s="518">
        <v>7.7369155835163399E-4</v>
      </c>
      <c r="AF15" s="519">
        <v>6.542331555793818</v>
      </c>
      <c r="AG15" s="417">
        <v>0</v>
      </c>
      <c r="AH15" s="417">
        <v>0</v>
      </c>
      <c r="AI15" s="417">
        <v>0</v>
      </c>
      <c r="AJ15" s="417">
        <v>3.4404792947860356E-3</v>
      </c>
      <c r="AK15" s="417">
        <v>3.8254939120896652E-3</v>
      </c>
      <c r="AL15" s="417">
        <v>12.982732330318917</v>
      </c>
      <c r="AM15" s="517">
        <v>0</v>
      </c>
      <c r="AN15" s="518">
        <v>0</v>
      </c>
      <c r="AO15" s="518">
        <v>0</v>
      </c>
      <c r="AP15" s="518">
        <v>0.55512363658213071</v>
      </c>
      <c r="AQ15" s="518">
        <v>0.55139155134164075</v>
      </c>
      <c r="AR15" s="519">
        <v>13.907133324867173</v>
      </c>
      <c r="AS15" s="417">
        <v>0</v>
      </c>
      <c r="AT15" s="417">
        <v>0</v>
      </c>
      <c r="AU15" s="417">
        <v>0</v>
      </c>
      <c r="AV15" s="417">
        <v>2.5044853504430395E-3</v>
      </c>
      <c r="AW15" s="417">
        <v>0.31035224530042199</v>
      </c>
      <c r="AX15" s="417">
        <v>13.872488002748804</v>
      </c>
      <c r="AY15" s="517">
        <v>0</v>
      </c>
      <c r="AZ15" s="518">
        <v>0</v>
      </c>
      <c r="BA15" s="518">
        <v>0</v>
      </c>
      <c r="BB15" s="518">
        <v>0</v>
      </c>
      <c r="BC15" s="518">
        <v>5.6618838821222837E-2</v>
      </c>
      <c r="BD15" s="519">
        <v>0.11952455838687229</v>
      </c>
      <c r="BE15">
        <f>AX15/AX21</f>
        <v>0.15507355383298627</v>
      </c>
    </row>
    <row r="16" spans="2:57" x14ac:dyDescent="0.25">
      <c r="B16" t="s">
        <v>684</v>
      </c>
      <c r="C16" s="90">
        <v>0</v>
      </c>
      <c r="D16" s="487">
        <v>0</v>
      </c>
      <c r="E16" s="487">
        <v>0</v>
      </c>
      <c r="F16" s="487">
        <v>3.8243424595909904E-3</v>
      </c>
      <c r="G16" s="487">
        <v>0.12420860834833436</v>
      </c>
      <c r="H16" s="80">
        <v>8.8733370918485682E-2</v>
      </c>
      <c r="I16">
        <v>0</v>
      </c>
      <c r="J16">
        <v>0</v>
      </c>
      <c r="K16">
        <v>0</v>
      </c>
      <c r="L16">
        <v>1.2222274743953357E-2</v>
      </c>
      <c r="M16">
        <v>0.13722239832565353</v>
      </c>
      <c r="N16">
        <v>0.12826617888504752</v>
      </c>
      <c r="O16" s="90">
        <v>0</v>
      </c>
      <c r="P16" s="487">
        <v>0</v>
      </c>
      <c r="Q16" s="487">
        <v>0</v>
      </c>
      <c r="R16" s="487">
        <v>2.1915183717434165E-4</v>
      </c>
      <c r="S16" s="487">
        <v>0.11275509164755275</v>
      </c>
      <c r="T16" s="80">
        <v>7.1551734458624658E-2</v>
      </c>
      <c r="U16">
        <v>0</v>
      </c>
      <c r="V16">
        <v>0</v>
      </c>
      <c r="W16">
        <v>0</v>
      </c>
      <c r="X16">
        <v>1408.8573875647569</v>
      </c>
      <c r="Y16">
        <v>1932.9193451983379</v>
      </c>
      <c r="Z16">
        <v>2173.4013738291328</v>
      </c>
      <c r="AA16" s="90">
        <v>0</v>
      </c>
      <c r="AB16" s="487">
        <v>0</v>
      </c>
      <c r="AC16" s="487">
        <v>0</v>
      </c>
      <c r="AD16" s="487">
        <v>1.4834590879980465E-4</v>
      </c>
      <c r="AE16" s="487">
        <v>0.10912548794174645</v>
      </c>
      <c r="AF16" s="80">
        <v>6.5029288190038753E-2</v>
      </c>
      <c r="AG16">
        <v>0</v>
      </c>
      <c r="AH16">
        <v>0</v>
      </c>
      <c r="AI16">
        <v>0</v>
      </c>
      <c r="AJ16">
        <v>4.5505382795570001E-4</v>
      </c>
      <c r="AK16">
        <v>8.564154136777076E-2</v>
      </c>
      <c r="AL16">
        <v>5.0278523326719268E-2</v>
      </c>
      <c r="AM16" s="90">
        <v>0</v>
      </c>
      <c r="AN16" s="487">
        <v>0</v>
      </c>
      <c r="AO16" s="487">
        <v>0</v>
      </c>
      <c r="AP16" s="487">
        <v>5.0535549122809359E-2</v>
      </c>
      <c r="AQ16" s="487">
        <v>0.31327547945426443</v>
      </c>
      <c r="AR16" s="80">
        <v>0.23029697835122481</v>
      </c>
      <c r="AS16">
        <v>0</v>
      </c>
      <c r="AT16">
        <v>0</v>
      </c>
      <c r="AU16">
        <v>0</v>
      </c>
      <c r="AV16">
        <v>2.0814652976748781E-4</v>
      </c>
      <c r="AW16">
        <v>6.0921592947925957E-2</v>
      </c>
      <c r="AX16">
        <v>4.5824409144726817E-2</v>
      </c>
      <c r="AY16" s="90">
        <v>0</v>
      </c>
      <c r="AZ16" s="487">
        <v>0</v>
      </c>
      <c r="BA16" s="487">
        <v>0</v>
      </c>
      <c r="BB16" s="487">
        <v>8.2971317786826093E-2</v>
      </c>
      <c r="BC16" s="487">
        <v>0.14695638650584522</v>
      </c>
      <c r="BD16" s="80">
        <v>0.35238507321939622</v>
      </c>
    </row>
    <row r="17" spans="2:56" x14ac:dyDescent="0.25">
      <c r="B17" t="s">
        <v>1928</v>
      </c>
      <c r="C17" s="90">
        <v>-5.5583333294958237</v>
      </c>
      <c r="D17" s="487">
        <v>4.1576945802374334</v>
      </c>
      <c r="E17" s="487">
        <v>-1.2204833299432474</v>
      </c>
      <c r="F17" s="487">
        <v>-1.3893108936661747</v>
      </c>
      <c r="G17" s="487">
        <v>2.3558196663428368</v>
      </c>
      <c r="H17" s="80">
        <v>-0.63838589240164323</v>
      </c>
      <c r="I17">
        <v>-5.5583333061863387</v>
      </c>
      <c r="J17">
        <v>4.2006754317417991</v>
      </c>
      <c r="K17">
        <v>-1.2166722649738009</v>
      </c>
      <c r="L17">
        <v>-1.3994097352818298</v>
      </c>
      <c r="M17">
        <v>2.0463897011406371</v>
      </c>
      <c r="N17">
        <v>-0.68794134354555803</v>
      </c>
      <c r="O17" s="90">
        <v>-5.5583333323869075</v>
      </c>
      <c r="P17" s="487">
        <v>4.1406193691263917</v>
      </c>
      <c r="Q17" s="487">
        <v>-1.2203886455349158</v>
      </c>
      <c r="R17" s="487">
        <v>-1.3853274551180246</v>
      </c>
      <c r="S17" s="487">
        <v>2.5473593964716206</v>
      </c>
      <c r="T17" s="80">
        <v>-0.63065684433795588</v>
      </c>
      <c r="U17">
        <v>-4.8572318171770545</v>
      </c>
      <c r="V17">
        <v>-1.332429075946493</v>
      </c>
      <c r="W17">
        <v>-15.581095564784846</v>
      </c>
      <c r="X17">
        <v>-28.887382916706578</v>
      </c>
      <c r="Y17">
        <v>-193.21004484397764</v>
      </c>
      <c r="Z17">
        <v>-242.18673336736248</v>
      </c>
      <c r="AA17" s="90">
        <v>-5.558333332709597</v>
      </c>
      <c r="AB17" s="487">
        <v>4.1387341596671039</v>
      </c>
      <c r="AC17" s="487">
        <v>-1.221683387061443</v>
      </c>
      <c r="AD17" s="487">
        <v>-1.3849265065524907</v>
      </c>
      <c r="AE17" s="487">
        <v>3.039766899080091</v>
      </c>
      <c r="AF17" s="80">
        <v>-1.1636616123211447</v>
      </c>
      <c r="AG17">
        <v>-5.5583333325614523</v>
      </c>
      <c r="AH17">
        <v>4.1218303569556332</v>
      </c>
      <c r="AI17">
        <v>-1.2219022387901488</v>
      </c>
      <c r="AJ17">
        <v>-1.3837672751569239</v>
      </c>
      <c r="AK17">
        <v>3.1658820009052411</v>
      </c>
      <c r="AL17">
        <v>-1.653391499116394</v>
      </c>
      <c r="AM17" s="90">
        <v>-5.5583330545514462</v>
      </c>
      <c r="AN17" s="487">
        <v>4.4164228691322451</v>
      </c>
      <c r="AO17" s="487">
        <v>-1.1567376012500179</v>
      </c>
      <c r="AP17" s="487">
        <v>-1.4420837468979759</v>
      </c>
      <c r="AQ17" s="487">
        <v>2.3362323043190627</v>
      </c>
      <c r="AR17" s="80">
        <v>-2.0288641288421032</v>
      </c>
      <c r="AS17">
        <v>-5.5583333322385302</v>
      </c>
      <c r="AT17">
        <v>4.0875469273894263</v>
      </c>
      <c r="AU17">
        <v>-1.2220642193019415</v>
      </c>
      <c r="AV17">
        <v>-1.3852210109917074</v>
      </c>
      <c r="AW17">
        <v>3.1129309675885186</v>
      </c>
      <c r="AX17">
        <v>-1.6131605999591672</v>
      </c>
      <c r="AY17" s="90">
        <v>-5.5583332944097679</v>
      </c>
      <c r="AZ17" s="487">
        <v>5.120684333495201</v>
      </c>
      <c r="BA17" s="487">
        <v>-0.72674742596071373</v>
      </c>
      <c r="BB17" s="487">
        <v>-0.8597413118433137</v>
      </c>
      <c r="BC17" s="487">
        <v>-0.95328145490391292</v>
      </c>
      <c r="BD17" s="80">
        <v>1.0576867880064889</v>
      </c>
    </row>
    <row r="18" spans="2:56" x14ac:dyDescent="0.25">
      <c r="B18" s="417" t="s">
        <v>1929</v>
      </c>
      <c r="C18" s="517">
        <v>-4.7902295262157958E-3</v>
      </c>
      <c r="D18" s="518">
        <v>-4.244404347619319E-3</v>
      </c>
      <c r="E18" s="518">
        <v>-4.7797718622620338E-3</v>
      </c>
      <c r="F18" s="518">
        <v>-7.3299025288795332E-3</v>
      </c>
      <c r="G18" s="518">
        <v>-2.2817327677239523E-2</v>
      </c>
      <c r="H18" s="519">
        <v>-9.1186900329693621E-2</v>
      </c>
      <c r="I18" s="417">
        <v>-1.8149881425929264E-2</v>
      </c>
      <c r="J18" s="417">
        <v>-1.6362169129548198E-2</v>
      </c>
      <c r="K18" s="417">
        <v>-1.8642799408767667E-2</v>
      </c>
      <c r="L18" s="417">
        <v>-1.6043930332063638E-2</v>
      </c>
      <c r="M18" s="417">
        <v>-3.3727517783516722E-2</v>
      </c>
      <c r="N18" s="417">
        <v>-0.10365923551513827</v>
      </c>
      <c r="O18" s="517">
        <v>-2.5912880491369339E-4</v>
      </c>
      <c r="P18" s="518">
        <v>-2.3059206260090537E-4</v>
      </c>
      <c r="Q18" s="518">
        <v>-2.5876240063728181E-4</v>
      </c>
      <c r="R18" s="518">
        <v>-5.3033342307200388E-4</v>
      </c>
      <c r="S18" s="518">
        <v>-1.4874587018370192E-2</v>
      </c>
      <c r="T18" s="519">
        <v>-8.5751057776427664E-2</v>
      </c>
      <c r="U18" s="417">
        <v>-1598.6976024020585</v>
      </c>
      <c r="V18" s="417">
        <v>-1494.4728176157173</v>
      </c>
      <c r="W18" s="417">
        <v>-1303.4926785103014</v>
      </c>
      <c r="X18" s="417">
        <v>-1220.3214681959171</v>
      </c>
      <c r="Y18" s="417">
        <v>-1576.7827853518934</v>
      </c>
      <c r="Z18" s="417">
        <v>-1522.3676243106393</v>
      </c>
      <c r="AA18" s="517">
        <v>-1.7549910171438138E-4</v>
      </c>
      <c r="AB18" s="518">
        <v>-1.5846726788954071E-4</v>
      </c>
      <c r="AC18" s="518">
        <v>-1.7578154035630553E-4</v>
      </c>
      <c r="AD18" s="518">
        <v>-3.7579789944988294E-4</v>
      </c>
      <c r="AE18" s="518">
        <v>-1.4924332589485835E-2</v>
      </c>
      <c r="AF18" s="519">
        <v>-0.10014405880908334</v>
      </c>
      <c r="AG18" s="417">
        <v>-5.5721588435720629E-4</v>
      </c>
      <c r="AH18" s="417">
        <v>-4.9656032158650846E-4</v>
      </c>
      <c r="AI18" s="417">
        <v>-5.5792644670472501E-4</v>
      </c>
      <c r="AJ18" s="417">
        <v>-9.2128581523520615E-4</v>
      </c>
      <c r="AK18" s="417">
        <v>-1.5396486742827528E-2</v>
      </c>
      <c r="AL18" s="417">
        <v>-5.3340443995332998E-2</v>
      </c>
      <c r="AM18" s="517">
        <v>-7.1563168027091048E-2</v>
      </c>
      <c r="AN18" s="518">
        <v>-6.4740315548585156E-2</v>
      </c>
      <c r="AO18" s="518">
        <v>-7.215941046985061E-2</v>
      </c>
      <c r="AP18" s="518">
        <v>-5.4032219006756865E-2</v>
      </c>
      <c r="AQ18" s="518">
        <v>-7.6985769055140527E-2</v>
      </c>
      <c r="AR18" s="519">
        <v>-0.12980814040721342</v>
      </c>
      <c r="AS18" s="417">
        <v>-2.5212335712400223E-4</v>
      </c>
      <c r="AT18" s="417">
        <v>-2.2546119074909983E-4</v>
      </c>
      <c r="AU18" s="417">
        <v>-2.5264721179459721E-4</v>
      </c>
      <c r="AV18" s="417">
        <v>-5.1644740847683304E-4</v>
      </c>
      <c r="AW18" s="417">
        <v>-1.4415442747693396E-2</v>
      </c>
      <c r="AX18" s="417">
        <v>-7.7008052407262481E-2</v>
      </c>
      <c r="AY18" s="517">
        <v>-5.0250092443236563E-3</v>
      </c>
      <c r="AZ18" s="518">
        <v>-2.7081201782010039E-2</v>
      </c>
      <c r="BA18" s="518">
        <v>-1.6589082664073353E-2</v>
      </c>
      <c r="BB18" s="518">
        <v>-1.3010872934166275E-2</v>
      </c>
      <c r="BC18" s="518">
        <v>-9.7350320741248098E-3</v>
      </c>
      <c r="BD18" s="519">
        <v>-2.2591487891473742E-2</v>
      </c>
    </row>
    <row r="19" spans="2:56" x14ac:dyDescent="0.25">
      <c r="B19" t="s">
        <v>1930</v>
      </c>
      <c r="C19" s="90">
        <v>-1.1341541316432691E-2</v>
      </c>
      <c r="D19" s="487">
        <v>-3.7644176305950228E-3</v>
      </c>
      <c r="E19" s="487">
        <v>-1.1223865539842025E-2</v>
      </c>
      <c r="F19" s="487">
        <v>-1.3839468398496185E-3</v>
      </c>
      <c r="G19" s="487">
        <v>-3.4298906113835533E-3</v>
      </c>
      <c r="H19" s="80">
        <v>-9.405626745343787E-3</v>
      </c>
      <c r="I19">
        <v>-1.2125614729425282E-2</v>
      </c>
      <c r="J19">
        <v>-7.6102786230634835E-3</v>
      </c>
      <c r="K19">
        <v>-1.1259776753549755E-2</v>
      </c>
      <c r="L19">
        <v>-3.84303881216628E-3</v>
      </c>
      <c r="M19">
        <v>-7.4827398617628525E-3</v>
      </c>
      <c r="N19">
        <v>-1.0481642429726844E-2</v>
      </c>
      <c r="O19" s="90">
        <v>-1.1251724119549601E-2</v>
      </c>
      <c r="P19" s="487">
        <v>-1.0759198589520031E-3</v>
      </c>
      <c r="Q19" s="487">
        <v>-1.1246003927316896E-2</v>
      </c>
      <c r="R19" s="487">
        <v>-9.1389386467109212E-5</v>
      </c>
      <c r="S19" s="487">
        <v>-7.6880633942191345E-4</v>
      </c>
      <c r="T19" s="80">
        <v>-8.6658340465409558E-3</v>
      </c>
      <c r="U19">
        <v>-160.74117395049305</v>
      </c>
      <c r="V19">
        <v>-161.76709567145787</v>
      </c>
      <c r="W19">
        <v>-157.36539956458253</v>
      </c>
      <c r="X19">
        <v>-166.65982339408444</v>
      </c>
      <c r="Y19">
        <v>-175.2733687337375</v>
      </c>
      <c r="Z19">
        <v>-173.33190905297087</v>
      </c>
      <c r="AA19" s="90">
        <v>-1.1250810744673439E-2</v>
      </c>
      <c r="AB19" s="487">
        <v>-1.0327828048543523E-3</v>
      </c>
      <c r="AC19" s="487">
        <v>-1.1249350994235375E-2</v>
      </c>
      <c r="AD19" s="487">
        <v>-6.329749503132595E-5</v>
      </c>
      <c r="AE19" s="487">
        <v>-7.1802801787664862E-4</v>
      </c>
      <c r="AF19" s="80">
        <v>-1.1248169253823088E-2</v>
      </c>
      <c r="AG19">
        <v>-1.1255391888570297E-2</v>
      </c>
      <c r="AH19">
        <v>-1.2812411517039541E-3</v>
      </c>
      <c r="AI19">
        <v>-1.1248400969884867E-2</v>
      </c>
      <c r="AJ19">
        <v>-1.8212673394140462E-4</v>
      </c>
      <c r="AK19">
        <v>-1.3159481497999617E-3</v>
      </c>
      <c r="AL19">
        <v>-1.113015128058953E-2</v>
      </c>
      <c r="AM19" s="90">
        <v>-3.1581640975266723E-2</v>
      </c>
      <c r="AN19" s="487">
        <v>-1.1475496478262822E-2</v>
      </c>
      <c r="AO19" s="487">
        <v>-1.1861173259451975E-2</v>
      </c>
      <c r="AP19" s="487">
        <v>-1.0625597070209618E-2</v>
      </c>
      <c r="AQ19" s="487">
        <v>-1.1175514526042155E-2</v>
      </c>
      <c r="AR19" s="80">
        <v>-1.1277133414249246E-2</v>
      </c>
      <c r="AS19">
        <v>-1.1251682615845993E-2</v>
      </c>
      <c r="AT19">
        <v>-1.0911915567931151E-3</v>
      </c>
      <c r="AU19">
        <v>-1.1249240945785515E-2</v>
      </c>
      <c r="AV19">
        <v>-8.6273865420251295E-5</v>
      </c>
      <c r="AW19">
        <v>-7.1867152564394693E-4</v>
      </c>
      <c r="AX19">
        <v>-1.1247579522459569E-2</v>
      </c>
      <c r="AY19" s="90">
        <v>-8.3043243416551981E-4</v>
      </c>
      <c r="AZ19" s="487">
        <v>-1.0973684459865943E-2</v>
      </c>
      <c r="BA19" s="487">
        <v>-1.1216352464424447E-2</v>
      </c>
      <c r="BB19" s="487">
        <v>-9.2143012292281515E-3</v>
      </c>
      <c r="BC19" s="487">
        <v>-6.1029308749658475E-3</v>
      </c>
      <c r="BD19" s="80">
        <v>-1.036058259258228E-2</v>
      </c>
    </row>
    <row r="20" spans="2:56" x14ac:dyDescent="0.25">
      <c r="C20" s="90"/>
      <c r="D20" s="487"/>
      <c r="E20" s="487"/>
      <c r="F20" s="487"/>
      <c r="G20" s="487"/>
      <c r="H20" s="80"/>
      <c r="O20" s="90"/>
      <c r="P20" s="487"/>
      <c r="Q20" s="487"/>
      <c r="R20" s="487"/>
      <c r="S20" s="487"/>
      <c r="T20" s="80"/>
      <c r="AA20" s="90"/>
      <c r="AB20" s="487"/>
      <c r="AC20" s="487"/>
      <c r="AD20" s="487"/>
      <c r="AE20" s="487"/>
      <c r="AF20" s="80"/>
      <c r="AM20" s="90"/>
      <c r="AN20" s="487"/>
      <c r="AO20" s="487"/>
      <c r="AP20" s="487"/>
      <c r="AQ20" s="487"/>
      <c r="AR20" s="80"/>
      <c r="AY20" s="90"/>
      <c r="AZ20" s="487"/>
      <c r="BA20" s="487"/>
      <c r="BB20" s="487"/>
      <c r="BC20" s="487"/>
      <c r="BD20" s="80"/>
    </row>
    <row r="21" spans="2:56" x14ac:dyDescent="0.25">
      <c r="B21" s="513" t="s">
        <v>1205</v>
      </c>
      <c r="C21" s="90">
        <v>59.710258786465147</v>
      </c>
      <c r="D21" s="487">
        <v>62.26652694940033</v>
      </c>
      <c r="E21" s="487">
        <v>65.503243114238757</v>
      </c>
      <c r="F21" s="487">
        <v>69.97399026340058</v>
      </c>
      <c r="G21" s="487">
        <v>78.089211556716663</v>
      </c>
      <c r="H21" s="80">
        <v>87.716437266972832</v>
      </c>
      <c r="I21">
        <v>59.692798006100773</v>
      </c>
      <c r="J21">
        <v>62.28807883453424</v>
      </c>
      <c r="K21">
        <v>65.762974607367212</v>
      </c>
      <c r="L21">
        <v>70.299649056278966</v>
      </c>
      <c r="M21">
        <v>78.146380948315496</v>
      </c>
      <c r="N21">
        <v>88.119488217066603</v>
      </c>
      <c r="O21" s="90">
        <v>59.709106288698251</v>
      </c>
      <c r="P21" s="487">
        <v>62.257927364338542</v>
      </c>
      <c r="Q21" s="487">
        <v>65.413711151353041</v>
      </c>
      <c r="R21" s="487">
        <v>69.873108776589689</v>
      </c>
      <c r="S21" s="487">
        <v>78.104833849113518</v>
      </c>
      <c r="T21" s="80">
        <v>87.725268644766345</v>
      </c>
      <c r="U21">
        <v>7064.4527312853388</v>
      </c>
      <c r="V21">
        <v>10629.526248118922</v>
      </c>
      <c r="W21">
        <v>13721.170226879098</v>
      </c>
      <c r="X21">
        <v>19585.916473996684</v>
      </c>
      <c r="Y21">
        <v>74099.410610600156</v>
      </c>
      <c r="Z21">
        <v>54937.378060908341</v>
      </c>
      <c r="AA21" s="90">
        <v>59.709260525801</v>
      </c>
      <c r="AB21" s="487">
        <v>62.256184952283505</v>
      </c>
      <c r="AC21" s="487">
        <v>65.570355548142359</v>
      </c>
      <c r="AD21" s="487">
        <v>69.867061438098844</v>
      </c>
      <c r="AE21" s="487">
        <v>78.062488203011029</v>
      </c>
      <c r="AF21" s="80">
        <v>88.018908173942719</v>
      </c>
      <c r="AG21">
        <v>59.708128892054141</v>
      </c>
      <c r="AH21">
        <v>62.238548243357869</v>
      </c>
      <c r="AI21">
        <v>65.571036066386014</v>
      </c>
      <c r="AJ21">
        <v>69.818885991722638</v>
      </c>
      <c r="AK21">
        <v>77.879941789669317</v>
      </c>
      <c r="AL21">
        <v>88.991473509064932</v>
      </c>
      <c r="AM21" s="90">
        <v>59.616000233598278</v>
      </c>
      <c r="AN21" s="487">
        <v>62.364998171954809</v>
      </c>
      <c r="AO21" s="487">
        <v>66.289658298061809</v>
      </c>
      <c r="AP21" s="487">
        <v>71.370849218646612</v>
      </c>
      <c r="AQ21" s="487">
        <v>78.665263383343813</v>
      </c>
      <c r="AR21" s="80">
        <v>90.227164813530877</v>
      </c>
      <c r="AS21">
        <v>59.709101989261427</v>
      </c>
      <c r="AT21">
        <v>62.204854763178268</v>
      </c>
      <c r="AU21">
        <v>65.537180522570893</v>
      </c>
      <c r="AV21">
        <v>69.827684147290398</v>
      </c>
      <c r="AW21">
        <v>77.752529146581551</v>
      </c>
      <c r="AX21">
        <v>89.45747137316161</v>
      </c>
      <c r="AY21" s="90">
        <v>59.572930534261118</v>
      </c>
      <c r="AZ21" s="487">
        <v>63.094675616966128</v>
      </c>
      <c r="BA21" s="487">
        <v>58.747247944381655</v>
      </c>
      <c r="BB21" s="487">
        <v>59.686902264477574</v>
      </c>
      <c r="BC21" s="487">
        <v>59.472985142156332</v>
      </c>
      <c r="BD21" s="80">
        <v>60.317789672177355</v>
      </c>
    </row>
    <row r="22" spans="2:56" x14ac:dyDescent="0.25">
      <c r="B22" s="514" t="s">
        <v>1931</v>
      </c>
      <c r="C22" s="90">
        <v>4.3311152269381319</v>
      </c>
      <c r="D22" s="487">
        <v>5.4508117207613775</v>
      </c>
      <c r="E22" s="487">
        <v>10.579257951068756</v>
      </c>
      <c r="F22" s="487">
        <v>14.171687351622111</v>
      </c>
      <c r="G22" s="487">
        <v>27.744912498685654</v>
      </c>
      <c r="H22" s="80">
        <v>49.810280379575659</v>
      </c>
      <c r="I22">
        <v>4.3239268110365963</v>
      </c>
      <c r="J22">
        <v>5.4446896087630572</v>
      </c>
      <c r="K22">
        <v>10.642418598555633</v>
      </c>
      <c r="L22">
        <v>14.305981362565596</v>
      </c>
      <c r="M22">
        <v>27.942018024301916</v>
      </c>
      <c r="N22">
        <v>50.120001391441612</v>
      </c>
      <c r="O22" s="90">
        <v>4.3371057341943393</v>
      </c>
      <c r="P22" s="487">
        <v>5.4565937498487633</v>
      </c>
      <c r="Q22" s="487">
        <v>10.584955974122241</v>
      </c>
      <c r="R22" s="487">
        <v>14.13192243318065</v>
      </c>
      <c r="S22" s="487">
        <v>27.686141261291002</v>
      </c>
      <c r="T22" s="80">
        <v>50.00046907635825</v>
      </c>
      <c r="U22">
        <v>2342.5236008595289</v>
      </c>
      <c r="V22">
        <v>4490.7440684323274</v>
      </c>
      <c r="W22">
        <v>5426.8337186110175</v>
      </c>
      <c r="X22">
        <v>10967.082432225036</v>
      </c>
      <c r="Y22">
        <v>35129.153618593169</v>
      </c>
      <c r="Z22">
        <v>33137.274346650578</v>
      </c>
      <c r="AA22" s="90">
        <v>4.3372964074869138</v>
      </c>
      <c r="AB22" s="487">
        <v>5.4568714025513572</v>
      </c>
      <c r="AC22" s="487">
        <v>10.580942640254325</v>
      </c>
      <c r="AD22" s="487">
        <v>13.856518961522431</v>
      </c>
      <c r="AE22" s="487">
        <v>27.10204363237105</v>
      </c>
      <c r="AF22" s="80">
        <v>50.863639268194092</v>
      </c>
      <c r="AG22">
        <v>4.3362850472919261</v>
      </c>
      <c r="AH22">
        <v>5.4560479512853783</v>
      </c>
      <c r="AI22">
        <v>10.545748337018583</v>
      </c>
      <c r="AJ22">
        <v>13.759049009779501</v>
      </c>
      <c r="AK22">
        <v>26.79568469680132</v>
      </c>
      <c r="AL22">
        <v>52.294564801671974</v>
      </c>
      <c r="AM22" s="90">
        <v>4.3150998830956668</v>
      </c>
      <c r="AN22" s="487">
        <v>5.4395957953666203</v>
      </c>
      <c r="AO22" s="487">
        <v>10.721205467367914</v>
      </c>
      <c r="AP22" s="487">
        <v>14.661717368759117</v>
      </c>
      <c r="AQ22" s="487">
        <v>27.251378005725229</v>
      </c>
      <c r="AR22" s="80">
        <v>53.18923070120745</v>
      </c>
      <c r="AS22">
        <v>4.3370039880183189</v>
      </c>
      <c r="AT22">
        <v>5.4569794447032463</v>
      </c>
      <c r="AU22">
        <v>10.609323649590563</v>
      </c>
      <c r="AV22">
        <v>13.797285134285257</v>
      </c>
      <c r="AW22">
        <v>26.688636513264186</v>
      </c>
      <c r="AX22">
        <v>52.770258076962463</v>
      </c>
      <c r="AY22" s="90">
        <v>4.4151979456873462</v>
      </c>
      <c r="AZ22" s="487">
        <v>5.5139701345617844</v>
      </c>
      <c r="BA22" s="487">
        <v>7.7668520880909506</v>
      </c>
      <c r="BB22" s="487">
        <v>8.5754301103585764</v>
      </c>
      <c r="BC22" s="487">
        <v>7.9577450439635067</v>
      </c>
      <c r="BD22" s="80">
        <v>7.1144356005549101</v>
      </c>
    </row>
    <row r="23" spans="2:56" x14ac:dyDescent="0.25">
      <c r="B23" s="514" t="s">
        <v>1932</v>
      </c>
      <c r="C23" s="90">
        <v>40.616672790734619</v>
      </c>
      <c r="D23" s="487">
        <v>33.783019865499568</v>
      </c>
      <c r="E23" s="487">
        <v>38.821081019907687</v>
      </c>
      <c r="F23" s="487">
        <v>40.92630568777394</v>
      </c>
      <c r="G23" s="487">
        <v>41.240698810791642</v>
      </c>
      <c r="H23" s="80">
        <v>41.438824779576194</v>
      </c>
      <c r="I23">
        <v>40.616709993532545</v>
      </c>
      <c r="J23">
        <v>33.799673521837384</v>
      </c>
      <c r="K23">
        <v>39.061698884763238</v>
      </c>
      <c r="L23">
        <v>40.926703785525142</v>
      </c>
      <c r="M23">
        <v>41.241120546756065</v>
      </c>
      <c r="N23">
        <v>41.436303598513149</v>
      </c>
      <c r="O23" s="90">
        <v>40.616668187031934</v>
      </c>
      <c r="P23" s="487">
        <v>33.776948191261752</v>
      </c>
      <c r="Q23" s="487">
        <v>38.801018887978756</v>
      </c>
      <c r="R23" s="487">
        <v>40.926230760686657</v>
      </c>
      <c r="S23" s="487">
        <v>41.240583844132097</v>
      </c>
      <c r="T23" s="80">
        <v>41.432991020931695</v>
      </c>
      <c r="U23">
        <v>1159.5578681429909</v>
      </c>
      <c r="V23">
        <v>3330.7138207760199</v>
      </c>
      <c r="W23">
        <v>3329.2068840288721</v>
      </c>
      <c r="X23">
        <v>3378.9911625432715</v>
      </c>
      <c r="Y23">
        <v>3450.2573483068891</v>
      </c>
      <c r="Z23">
        <v>3447.1386642401203</v>
      </c>
      <c r="AA23" s="90">
        <v>40.616667664687164</v>
      </c>
      <c r="AB23" s="487">
        <v>33.776837641104208</v>
      </c>
      <c r="AC23" s="487">
        <v>39.15197092445019</v>
      </c>
      <c r="AD23" s="487">
        <v>40.923084636337137</v>
      </c>
      <c r="AE23" s="487">
        <v>41.23163516658564</v>
      </c>
      <c r="AF23" s="80">
        <v>41.377690694848837</v>
      </c>
      <c r="AG23">
        <v>40.616667915301129</v>
      </c>
      <c r="AH23">
        <v>33.777348346685883</v>
      </c>
      <c r="AI23">
        <v>39.149786297253783</v>
      </c>
      <c r="AJ23">
        <v>40.922189279515926</v>
      </c>
      <c r="AK23">
        <v>41.222080625801603</v>
      </c>
      <c r="AL23">
        <v>41.331004926241853</v>
      </c>
      <c r="AM23" s="90">
        <v>40.6171115893939</v>
      </c>
      <c r="AN23" s="487">
        <v>33.867114069277036</v>
      </c>
      <c r="AO23" s="487">
        <v>39.87607147498121</v>
      </c>
      <c r="AP23" s="487">
        <v>40.925720934221658</v>
      </c>
      <c r="AQ23" s="487">
        <v>41.224577591375478</v>
      </c>
      <c r="AR23" s="80">
        <v>41.33576672703024</v>
      </c>
      <c r="AS23">
        <v>40.616668409798287</v>
      </c>
      <c r="AT23">
        <v>33.776931825760634</v>
      </c>
      <c r="AU23">
        <v>39.239975785841764</v>
      </c>
      <c r="AV23">
        <v>40.92218612679229</v>
      </c>
      <c r="AW23">
        <v>41.222075743728304</v>
      </c>
      <c r="AX23">
        <v>41.330992098597356</v>
      </c>
      <c r="AY23" s="90">
        <v>40.6166851286726</v>
      </c>
      <c r="AZ23" s="487">
        <v>33.827127512082662</v>
      </c>
      <c r="BA23" s="487">
        <v>38.110731959680145</v>
      </c>
      <c r="BB23" s="487">
        <v>40.938951007381441</v>
      </c>
      <c r="BC23" s="487">
        <v>40.962816761289403</v>
      </c>
      <c r="BD23" s="80">
        <v>40.539569143432317</v>
      </c>
    </row>
    <row r="24" spans="2:56" x14ac:dyDescent="0.25">
      <c r="B24" s="515" t="s">
        <v>1933</v>
      </c>
      <c r="C24" s="90">
        <v>44.94778801767275</v>
      </c>
      <c r="D24" s="487">
        <v>39.233831586260948</v>
      </c>
      <c r="E24" s="487">
        <v>49.400338970976442</v>
      </c>
      <c r="F24" s="487">
        <v>55.097993039396052</v>
      </c>
      <c r="G24" s="487">
        <v>68.985611309477292</v>
      </c>
      <c r="H24" s="80">
        <v>91.249105159151853</v>
      </c>
      <c r="I24">
        <v>44.940636804569138</v>
      </c>
      <c r="J24">
        <v>39.244363130600441</v>
      </c>
      <c r="K24">
        <v>49.704117483318868</v>
      </c>
      <c r="L24">
        <v>55.232685148090738</v>
      </c>
      <c r="M24">
        <v>69.183138571057981</v>
      </c>
      <c r="N24">
        <v>91.556304989954754</v>
      </c>
      <c r="O24" s="90">
        <v>44.953773921226272</v>
      </c>
      <c r="P24" s="487">
        <v>39.233541941110516</v>
      </c>
      <c r="Q24" s="487">
        <v>49.385974862100994</v>
      </c>
      <c r="R24" s="487">
        <v>55.058153193867305</v>
      </c>
      <c r="S24" s="487">
        <v>68.926725105423102</v>
      </c>
      <c r="T24" s="80">
        <v>91.433460097289952</v>
      </c>
      <c r="U24">
        <v>3502.08146900252</v>
      </c>
      <c r="V24">
        <v>7821.4578892083473</v>
      </c>
      <c r="W24">
        <v>8756.0406026398887</v>
      </c>
      <c r="X24">
        <v>14346.073594768306</v>
      </c>
      <c r="Y24">
        <v>38579.410966900061</v>
      </c>
      <c r="Z24">
        <v>36584.413010890697</v>
      </c>
      <c r="AA24" s="90">
        <v>44.953964072174074</v>
      </c>
      <c r="AB24" s="487">
        <v>39.233709043655566</v>
      </c>
      <c r="AC24" s="487">
        <v>49.732913564704518</v>
      </c>
      <c r="AD24" s="487">
        <v>54.77960359785957</v>
      </c>
      <c r="AE24" s="487">
        <v>68.333678798956697</v>
      </c>
      <c r="AF24" s="80">
        <v>92.241329963042929</v>
      </c>
      <c r="AG24">
        <v>44.952952962593052</v>
      </c>
      <c r="AH24">
        <v>39.233396297971261</v>
      </c>
      <c r="AI24">
        <v>49.695534634272363</v>
      </c>
      <c r="AJ24">
        <v>54.681238289295429</v>
      </c>
      <c r="AK24">
        <v>68.017765322602926</v>
      </c>
      <c r="AL24">
        <v>93.625569727913827</v>
      </c>
      <c r="AM24" s="90">
        <v>44.93221147248957</v>
      </c>
      <c r="AN24" s="487">
        <v>39.306709864643658</v>
      </c>
      <c r="AO24" s="487">
        <v>50.597276942349126</v>
      </c>
      <c r="AP24" s="487">
        <v>55.587438302980772</v>
      </c>
      <c r="AQ24" s="487">
        <v>68.475955597100707</v>
      </c>
      <c r="AR24" s="80">
        <v>94.524997428237697</v>
      </c>
      <c r="AS24">
        <v>44.953672397816604</v>
      </c>
      <c r="AT24">
        <v>39.233911270463878</v>
      </c>
      <c r="AU24">
        <v>49.849299435432329</v>
      </c>
      <c r="AV24">
        <v>54.719471261077544</v>
      </c>
      <c r="AW24">
        <v>67.910712256992497</v>
      </c>
      <c r="AX24">
        <v>94.101250175559812</v>
      </c>
      <c r="AY24" s="90">
        <v>45.031883074359946</v>
      </c>
      <c r="AZ24" s="487">
        <v>39.341097646644442</v>
      </c>
      <c r="BA24" s="487">
        <v>45.877584047771094</v>
      </c>
      <c r="BB24" s="487">
        <v>49.514381117740015</v>
      </c>
      <c r="BC24" s="487">
        <v>48.920561805252909</v>
      </c>
      <c r="BD24" s="80">
        <v>47.65400474398723</v>
      </c>
    </row>
    <row r="33" spans="1:35" x14ac:dyDescent="0.25">
      <c r="A33" s="420"/>
      <c r="B33" s="420"/>
      <c r="C33" s="420" t="s">
        <v>1885</v>
      </c>
      <c r="D33" s="420"/>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row>
    <row r="36" spans="1:35" x14ac:dyDescent="0.25">
      <c r="C36" s="9"/>
      <c r="D36" s="9" t="s">
        <v>1459</v>
      </c>
      <c r="E36" s="9"/>
      <c r="F36" s="9"/>
      <c r="G36" s="9"/>
      <c r="H36" s="9"/>
      <c r="I36" s="9"/>
      <c r="X36" s="516" t="s">
        <v>2004</v>
      </c>
      <c r="Y36" s="516" t="s">
        <v>2005</v>
      </c>
      <c r="Z36" s="516" t="s">
        <v>2006</v>
      </c>
      <c r="AA36" s="516" t="s">
        <v>2007</v>
      </c>
      <c r="AB36" s="516" t="s">
        <v>2008</v>
      </c>
      <c r="AC36" s="516" t="s">
        <v>2009</v>
      </c>
      <c r="AD36" s="516" t="s">
        <v>2010</v>
      </c>
      <c r="AE36" s="516" t="s">
        <v>2011</v>
      </c>
    </row>
    <row r="37" spans="1:35" x14ac:dyDescent="0.25">
      <c r="C37" s="9"/>
      <c r="D37" s="9"/>
      <c r="E37" s="9"/>
      <c r="F37" s="9"/>
      <c r="G37" s="9"/>
      <c r="H37" s="9"/>
      <c r="I37" s="9"/>
      <c r="W37" s="516" t="s">
        <v>2012</v>
      </c>
      <c r="X37">
        <v>4.1711765581092679E-2</v>
      </c>
      <c r="Y37">
        <v>4.589841643356455E-2</v>
      </c>
      <c r="Z37">
        <v>4.00985467154834E-2</v>
      </c>
      <c r="AA37">
        <v>3.1871595812480662E-2</v>
      </c>
      <c r="AB37">
        <v>5.4880491086695599E-2</v>
      </c>
      <c r="AC37">
        <v>5.845757132914628E-2</v>
      </c>
      <c r="AD37">
        <v>5.3178739591552518E-2</v>
      </c>
      <c r="AE37">
        <v>3.7432245568254967E-2</v>
      </c>
    </row>
    <row r="38" spans="1:35" x14ac:dyDescent="0.25">
      <c r="C38" t="s">
        <v>1551</v>
      </c>
      <c r="W38" s="516" t="s">
        <v>2013</v>
      </c>
      <c r="X38">
        <v>3.9151486156729719E-4</v>
      </c>
      <c r="Y38">
        <v>5.9471840878900508E-4</v>
      </c>
      <c r="Z38">
        <v>3.8709867296369112E-4</v>
      </c>
      <c r="AA38">
        <v>5.5303097866739445E-4</v>
      </c>
      <c r="AB38">
        <v>4.0368621517050538E-4</v>
      </c>
      <c r="AC38">
        <v>5.9058605468054225E-4</v>
      </c>
      <c r="AD38">
        <v>3.9887015111868772E-4</v>
      </c>
      <c r="AE38">
        <v>5.4495762740321531E-4</v>
      </c>
    </row>
    <row r="39" spans="1:35" x14ac:dyDescent="0.25">
      <c r="C39" s="9" t="s">
        <v>1293</v>
      </c>
      <c r="D39" s="9"/>
      <c r="E39" s="9"/>
      <c r="F39" s="9"/>
      <c r="G39" s="9"/>
      <c r="H39" s="9"/>
      <c r="I39" s="9"/>
      <c r="W39" s="516" t="s">
        <v>2014</v>
      </c>
      <c r="X39">
        <v>0.63331515604920785</v>
      </c>
      <c r="Y39">
        <v>0.90737481780910623</v>
      </c>
      <c r="Z39">
        <v>0.63105374854082474</v>
      </c>
      <c r="AA39">
        <v>0.88592878763770899</v>
      </c>
      <c r="AB39">
        <v>0.63945872814041682</v>
      </c>
      <c r="AC39">
        <v>0.82157152138499001</v>
      </c>
      <c r="AD39">
        <v>0.63696054430866189</v>
      </c>
      <c r="AE39">
        <v>0.7888133548922116</v>
      </c>
    </row>
    <row r="40" spans="1:35" x14ac:dyDescent="0.25">
      <c r="C40" s="9" t="s">
        <v>1294</v>
      </c>
      <c r="W40" s="516" t="s">
        <v>2015</v>
      </c>
      <c r="X40">
        <v>5.3026465794909678E-11</v>
      </c>
      <c r="Y40">
        <v>7.5861456707571198E-11</v>
      </c>
      <c r="Z40">
        <v>5.2706474416303192E-11</v>
      </c>
      <c r="AA40">
        <v>7.5210881694528956E-11</v>
      </c>
      <c r="AB40">
        <v>5.4012091492893502E-11</v>
      </c>
      <c r="AC40">
        <v>7.1284999342791254E-11</v>
      </c>
      <c r="AD40">
        <v>5.3654840689791508E-11</v>
      </c>
      <c r="AE40">
        <v>7.0494032752364073E-11</v>
      </c>
    </row>
    <row r="41" spans="1:35" x14ac:dyDescent="0.25">
      <c r="C41" s="9" t="s">
        <v>1295</v>
      </c>
      <c r="D41" s="9"/>
      <c r="E41" s="9"/>
      <c r="F41" s="9"/>
      <c r="G41" s="9"/>
      <c r="H41" s="9"/>
      <c r="I41" s="9"/>
      <c r="W41" s="516" t="s">
        <v>2016</v>
      </c>
      <c r="X41">
        <v>3.6542436254017301E-9</v>
      </c>
      <c r="Y41">
        <v>4.6272201355227434E-9</v>
      </c>
      <c r="Z41">
        <v>3.6466259814386062E-9</v>
      </c>
      <c r="AA41">
        <v>4.5675611280288461E-9</v>
      </c>
      <c r="AB41">
        <v>3.6909090390639329E-9</v>
      </c>
      <c r="AC41">
        <v>4.7268955494795641E-9</v>
      </c>
      <c r="AD41">
        <v>3.682598097350059E-9</v>
      </c>
      <c r="AE41">
        <v>4.6470634117295623E-9</v>
      </c>
    </row>
    <row r="42" spans="1:35" x14ac:dyDescent="0.25">
      <c r="C42" s="9" t="s">
        <v>1296</v>
      </c>
      <c r="W42" s="516" t="s">
        <v>2017</v>
      </c>
      <c r="X42">
        <v>0.26222670028688372</v>
      </c>
      <c r="Y42">
        <v>1.0449677256440419</v>
      </c>
      <c r="Z42">
        <v>0.23156278180815809</v>
      </c>
      <c r="AA42">
        <v>0.92014551852657633</v>
      </c>
      <c r="AB42">
        <v>0.21605421768710881</v>
      </c>
      <c r="AC42">
        <v>0.75357442876743741</v>
      </c>
      <c r="AD42">
        <v>0.2160635497546553</v>
      </c>
      <c r="AE42">
        <v>0.79661055490628008</v>
      </c>
    </row>
    <row r="43" spans="1:35" x14ac:dyDescent="0.25">
      <c r="C43" s="9" t="s">
        <v>1297</v>
      </c>
      <c r="W43" s="516" t="s">
        <v>2018</v>
      </c>
      <c r="X43">
        <v>4.5340646930336273E-6</v>
      </c>
      <c r="Y43">
        <v>5.5595028156050776E-6</v>
      </c>
      <c r="Z43">
        <v>4.534601661697373E-6</v>
      </c>
      <c r="AA43">
        <v>5.5725471161978379E-6</v>
      </c>
      <c r="AB43">
        <v>4.5747174267155818E-6</v>
      </c>
      <c r="AC43">
        <v>5.8358200040469716E-6</v>
      </c>
      <c r="AD43">
        <v>4.5752925799360056E-6</v>
      </c>
      <c r="AE43">
        <v>5.8545599015471053E-6</v>
      </c>
    </row>
    <row r="44" spans="1:35" x14ac:dyDescent="0.25">
      <c r="C44" s="9" t="s">
        <v>1298</v>
      </c>
      <c r="W44" s="516" t="s">
        <v>2019</v>
      </c>
      <c r="X44">
        <v>1.5729172983823021E-9</v>
      </c>
      <c r="Y44">
        <v>2.1681128742776641E-9</v>
      </c>
      <c r="Z44">
        <v>1.573257958977685E-9</v>
      </c>
      <c r="AA44">
        <v>2.2425597080239328E-9</v>
      </c>
      <c r="AB44">
        <v>2.0841747335035748E-9</v>
      </c>
      <c r="AC44">
        <v>2.9605359687277861E-9</v>
      </c>
      <c r="AD44">
        <v>2.0849135981385772E-9</v>
      </c>
      <c r="AE44">
        <v>3.0390517947812161E-9</v>
      </c>
    </row>
    <row r="45" spans="1:35" x14ac:dyDescent="0.25">
      <c r="W45" s="516" t="s">
        <v>2020</v>
      </c>
      <c r="X45">
        <v>2.4654961087954539E-9</v>
      </c>
      <c r="Y45">
        <v>7.0841539068911294E-9</v>
      </c>
      <c r="Z45">
        <v>2.4430120959167789E-9</v>
      </c>
      <c r="AA45">
        <v>6.8769665950116098E-9</v>
      </c>
      <c r="AB45">
        <v>2.487217458439649E-9</v>
      </c>
      <c r="AC45">
        <v>5.4681214433681956E-9</v>
      </c>
      <c r="AD45">
        <v>2.4630015103110259E-9</v>
      </c>
      <c r="AE45">
        <v>5.3132012709205779E-9</v>
      </c>
    </row>
    <row r="46" spans="1:35" x14ac:dyDescent="0.25">
      <c r="W46" s="516" t="s">
        <v>2021</v>
      </c>
      <c r="X46">
        <v>1.548329192709328E-4</v>
      </c>
      <c r="Y46">
        <v>2.8692698092617829E-4</v>
      </c>
      <c r="Z46">
        <v>1.5291197389513339E-4</v>
      </c>
      <c r="AA46">
        <v>2.7480134275404181E-4</v>
      </c>
      <c r="AB46">
        <v>1.7883208728602769E-4</v>
      </c>
      <c r="AC46">
        <v>2.9091612802304117E-4</v>
      </c>
      <c r="AD46">
        <v>1.7685909547277771E-4</v>
      </c>
      <c r="AE46">
        <v>2.7730947118698938E-4</v>
      </c>
    </row>
    <row r="53" spans="3:6" x14ac:dyDescent="0.25">
      <c r="C53" s="9"/>
      <c r="D53" s="9"/>
      <c r="E53" s="9"/>
      <c r="F53" s="9"/>
    </row>
    <row r="57" spans="3:6" x14ac:dyDescent="0.25">
      <c r="C57" s="9"/>
      <c r="D57" s="9"/>
      <c r="E57" s="9"/>
      <c r="F57" s="9"/>
    </row>
    <row r="59" spans="3:6" x14ac:dyDescent="0.25">
      <c r="C59" s="9"/>
      <c r="D59" s="9"/>
      <c r="E59" s="9"/>
      <c r="F59" s="9"/>
    </row>
    <row r="75" spans="2:11" x14ac:dyDescent="0.25">
      <c r="C75" s="9" t="s">
        <v>1906</v>
      </c>
    </row>
    <row r="76" spans="2:11" ht="90" x14ac:dyDescent="0.25">
      <c r="E76" s="300" t="s">
        <v>2082</v>
      </c>
      <c r="H76" t="s">
        <v>1916</v>
      </c>
      <c r="I76" t="s">
        <v>1917</v>
      </c>
      <c r="J76" t="s">
        <v>1918</v>
      </c>
      <c r="K76" t="s">
        <v>1919</v>
      </c>
    </row>
    <row r="77" spans="2:11" x14ac:dyDescent="0.25">
      <c r="D77" t="s">
        <v>1907</v>
      </c>
      <c r="E77" t="s">
        <v>1147</v>
      </c>
      <c r="F77" t="str">
        <f>K89</f>
        <v>EF v3.1 | acidification | accumulated exceedance (AE)</v>
      </c>
      <c r="G77" t="str">
        <f>L89</f>
        <v>EF v3.1 | ecotoxicity: freshwater | comparative toxic unit for ecosystems (CTUe)</v>
      </c>
      <c r="H77" t="s">
        <v>1150</v>
      </c>
      <c r="I77" t="s">
        <v>1151</v>
      </c>
      <c r="J77" t="s">
        <v>1152</v>
      </c>
      <c r="K77" t="s">
        <v>1153</v>
      </c>
    </row>
    <row r="78" spans="2:11" x14ac:dyDescent="0.25">
      <c r="B78" t="s">
        <v>2115</v>
      </c>
      <c r="C78" t="s">
        <v>1908</v>
      </c>
      <c r="D78">
        <f>H15</f>
        <v>1.1120088744828184E-2</v>
      </c>
      <c r="E78">
        <f t="shared" ref="E78:K80" si="0">J98</f>
        <v>2.7457106541862768E-2</v>
      </c>
      <c r="F78">
        <f t="shared" si="0"/>
        <v>5.3408887908070184E-4</v>
      </c>
      <c r="G78">
        <f t="shared" si="0"/>
        <v>0.78182883691372385</v>
      </c>
      <c r="H78" s="70">
        <f t="shared" si="0"/>
        <v>5.9429063440083666E-6</v>
      </c>
      <c r="I78" s="70">
        <f t="shared" si="0"/>
        <v>2.7452174936906879E-9</v>
      </c>
      <c r="J78" s="70">
        <f t="shared" si="0"/>
        <v>6.012411057121144E-9</v>
      </c>
      <c r="K78">
        <f t="shared" si="0"/>
        <v>2.4184563923080631E-4</v>
      </c>
    </row>
    <row r="79" spans="2:11" x14ac:dyDescent="0.25">
      <c r="C79" t="s">
        <v>1909</v>
      </c>
      <c r="D79">
        <f>N15</f>
        <v>6.9468753428123212E-2</v>
      </c>
      <c r="E79">
        <f t="shared" si="0"/>
        <v>2.9287332699176351E-2</v>
      </c>
      <c r="F79">
        <f t="shared" si="0"/>
        <v>5.3902953821943951E-4</v>
      </c>
      <c r="G79">
        <f t="shared" si="0"/>
        <v>0.79029696189384757</v>
      </c>
      <c r="H79" s="70">
        <f t="shared" si="0"/>
        <v>5.9886179901140868E-6</v>
      </c>
      <c r="I79" s="70">
        <f t="shared" si="0"/>
        <v>2.9008299870649609E-9</v>
      </c>
      <c r="J79" s="70">
        <f t="shared" si="0"/>
        <v>5.9877458419185749E-9</v>
      </c>
      <c r="K79">
        <f t="shared" si="0"/>
        <v>2.4397784553655669E-4</v>
      </c>
    </row>
    <row r="80" spans="2:11" x14ac:dyDescent="0.25">
      <c r="C80" t="s">
        <v>1910</v>
      </c>
      <c r="D80">
        <f>T15</f>
        <v>0.75595382828552049</v>
      </c>
      <c r="E80">
        <f t="shared" si="0"/>
        <v>2.576705034299346E-2</v>
      </c>
      <c r="F80">
        <f t="shared" si="0"/>
        <v>5.3055743493510233E-4</v>
      </c>
      <c r="G80">
        <f t="shared" si="0"/>
        <v>0.77910224056571364</v>
      </c>
      <c r="H80" s="70">
        <f t="shared" si="0"/>
        <v>5.9094888843212786E-6</v>
      </c>
      <c r="I80" s="70">
        <f t="shared" si="0"/>
        <v>2.616723206507969E-9</v>
      </c>
      <c r="J80" s="70">
        <f t="shared" si="0"/>
        <v>6.0049013505074056E-9</v>
      </c>
      <c r="K80">
        <f t="shared" si="0"/>
        <v>2.3976180314535671E-4</v>
      </c>
    </row>
    <row r="81" spans="1:16" x14ac:dyDescent="0.25">
      <c r="C81" t="s">
        <v>1911</v>
      </c>
      <c r="D81" s="460">
        <f>AF15</f>
        <v>6.542331555793818</v>
      </c>
      <c r="E81">
        <f t="shared" ref="E81:K85" si="1">J101</f>
        <v>2.4741584785412111E-2</v>
      </c>
      <c r="F81">
        <f t="shared" si="1"/>
        <v>5.2123069018372519E-4</v>
      </c>
      <c r="G81">
        <f t="shared" si="1"/>
        <v>0.77913548438770741</v>
      </c>
      <c r="H81" s="70">
        <f t="shared" si="1"/>
        <v>5.7780138401010017E-6</v>
      </c>
      <c r="I81" s="70">
        <f t="shared" si="1"/>
        <v>2.3531083226617112E-9</v>
      </c>
      <c r="J81" s="70">
        <f t="shared" si="1"/>
        <v>5.8788026161481207E-9</v>
      </c>
      <c r="K81">
        <f t="shared" si="1"/>
        <v>2.3357302452057841E-4</v>
      </c>
    </row>
    <row r="82" spans="1:16" x14ac:dyDescent="0.25">
      <c r="C82" t="s">
        <v>1912</v>
      </c>
      <c r="D82">
        <f>AL15</f>
        <v>12.982732330318917</v>
      </c>
      <c r="E82">
        <f t="shared" si="1"/>
        <v>2.3738272200905949E-2</v>
      </c>
      <c r="F82">
        <f t="shared" si="1"/>
        <v>5.0251234720862837E-4</v>
      </c>
      <c r="G82">
        <f t="shared" si="1"/>
        <v>0.7687286628697505</v>
      </c>
      <c r="H82" s="70">
        <f t="shared" si="1"/>
        <v>5.5356415147368412E-6</v>
      </c>
      <c r="I82" s="70">
        <f t="shared" si="1"/>
        <v>2.176281761954767E-9</v>
      </c>
      <c r="J82" s="70">
        <f t="shared" si="1"/>
        <v>5.707264830548409E-9</v>
      </c>
      <c r="K82">
        <f t="shared" si="1"/>
        <v>2.2456166525980221E-4</v>
      </c>
    </row>
    <row r="83" spans="1:16" x14ac:dyDescent="0.25">
      <c r="C83" t="s">
        <v>1913</v>
      </c>
      <c r="D83">
        <f>AR15</f>
        <v>13.907133324867173</v>
      </c>
      <c r="E83">
        <f t="shared" si="1"/>
        <v>2.9157415139529259E-2</v>
      </c>
      <c r="F83">
        <f t="shared" si="1"/>
        <v>5.0958899640158684E-4</v>
      </c>
      <c r="G83">
        <f t="shared" si="1"/>
        <v>0.77289187540862403</v>
      </c>
      <c r="H83" s="70">
        <f t="shared" si="1"/>
        <v>5.5429809420478614E-6</v>
      </c>
      <c r="I83" s="70">
        <f t="shared" si="1"/>
        <v>2.6357305572584008E-9</v>
      </c>
      <c r="J83" s="70">
        <f t="shared" si="1"/>
        <v>5.5532940259884221E-9</v>
      </c>
      <c r="K83">
        <f t="shared" si="1"/>
        <v>2.273149381003117E-4</v>
      </c>
    </row>
    <row r="84" spans="1:16" x14ac:dyDescent="0.25">
      <c r="B84" t="s">
        <v>2117</v>
      </c>
      <c r="C84" t="s">
        <v>1914</v>
      </c>
      <c r="D84">
        <f>AX15</f>
        <v>13.872488002748804</v>
      </c>
      <c r="E84">
        <f t="shared" si="1"/>
        <v>2.3622675256786491E-2</v>
      </c>
      <c r="F84">
        <f t="shared" si="1"/>
        <v>5.0121268435153997E-4</v>
      </c>
      <c r="G84">
        <f t="shared" si="1"/>
        <v>0.76796071850758207</v>
      </c>
      <c r="H84" s="70">
        <f t="shared" si="1"/>
        <v>5.5103322107174371E-6</v>
      </c>
      <c r="I84" s="70">
        <f t="shared" si="1"/>
        <v>2.1656011280289129E-9</v>
      </c>
      <c r="J84" s="70">
        <f t="shared" si="1"/>
        <v>5.6828830455872614E-9</v>
      </c>
      <c r="K84">
        <f t="shared" si="1"/>
        <v>2.234682685060845E-4</v>
      </c>
    </row>
    <row r="85" spans="1:16" x14ac:dyDescent="0.25">
      <c r="B85" t="s">
        <v>2116</v>
      </c>
      <c r="C85" t="s">
        <v>1915</v>
      </c>
      <c r="D85" s="460">
        <f>BD15</f>
        <v>0.11952455838687229</v>
      </c>
      <c r="E85">
        <f t="shared" si="1"/>
        <v>0.14706749862613661</v>
      </c>
      <c r="F85">
        <f t="shared" si="1"/>
        <v>4.5937561257921228E-4</v>
      </c>
      <c r="G85">
        <f t="shared" si="1"/>
        <v>0.60636543182364666</v>
      </c>
      <c r="H85" s="70">
        <f t="shared" si="1"/>
        <v>4.3151537963601647E-6</v>
      </c>
      <c r="I85" s="70">
        <f t="shared" si="1"/>
        <v>9.1319086721104833E-9</v>
      </c>
      <c r="J85" s="70">
        <f t="shared" si="1"/>
        <v>2.369109997052707E-9</v>
      </c>
      <c r="K85">
        <f t="shared" si="1"/>
        <v>2.7172541742153202E-4</v>
      </c>
    </row>
    <row r="86" spans="1:16" x14ac:dyDescent="0.25">
      <c r="D86" s="460"/>
      <c r="H86" s="70"/>
      <c r="I86" s="70"/>
      <c r="J86" s="70"/>
    </row>
    <row r="88" spans="1:16" x14ac:dyDescent="0.25">
      <c r="J88" s="516"/>
      <c r="K88" s="516"/>
      <c r="L88" s="516"/>
      <c r="M88" s="516"/>
      <c r="N88" s="516"/>
      <c r="O88" s="516"/>
      <c r="P88" s="516"/>
    </row>
    <row r="89" spans="1:16" x14ac:dyDescent="0.25">
      <c r="C89" t="s">
        <v>840</v>
      </c>
      <c r="D89" t="s">
        <v>423</v>
      </c>
      <c r="E89" t="s">
        <v>416</v>
      </c>
      <c r="F89" t="s">
        <v>415</v>
      </c>
      <c r="G89" t="s">
        <v>422</v>
      </c>
      <c r="H89" t="s">
        <v>418</v>
      </c>
      <c r="I89" t="s">
        <v>439</v>
      </c>
      <c r="J89" t="s">
        <v>1147</v>
      </c>
      <c r="K89" t="s">
        <v>1934</v>
      </c>
      <c r="L89" t="s">
        <v>1148</v>
      </c>
      <c r="M89" t="s">
        <v>1150</v>
      </c>
      <c r="N89" t="s">
        <v>1151</v>
      </c>
      <c r="O89" t="s">
        <v>1152</v>
      </c>
      <c r="P89" t="s">
        <v>1153</v>
      </c>
    </row>
    <row r="90" spans="1:16" x14ac:dyDescent="0.25">
      <c r="A90" t="s">
        <v>1173</v>
      </c>
      <c r="B90" t="str">
        <f>C78</f>
        <v>AGS_1001</v>
      </c>
      <c r="C90" t="s">
        <v>2042</v>
      </c>
      <c r="D90">
        <v>1</v>
      </c>
      <c r="E90" t="s">
        <v>433</v>
      </c>
      <c r="F90" t="s">
        <v>431</v>
      </c>
      <c r="G90" t="s">
        <v>2043</v>
      </c>
      <c r="H90" t="s">
        <v>432</v>
      </c>
      <c r="I90" t="s">
        <v>2044</v>
      </c>
      <c r="J90">
        <v>3.5296422247751577E-2</v>
      </c>
      <c r="K90">
        <v>5.4366158336714395E-4</v>
      </c>
      <c r="L90">
        <v>0.78215435951196455</v>
      </c>
      <c r="M90">
        <v>5.8919184073194168E-6</v>
      </c>
      <c r="N90">
        <v>2.7351497346566822E-9</v>
      </c>
      <c r="O90">
        <v>6.0600434141395714E-9</v>
      </c>
      <c r="P90">
        <v>2.4719713841401511E-4</v>
      </c>
    </row>
    <row r="91" spans="1:16" x14ac:dyDescent="0.25">
      <c r="B91" t="str">
        <f>C79</f>
        <v>AGS_1101</v>
      </c>
      <c r="C91" t="s">
        <v>2045</v>
      </c>
      <c r="D91">
        <v>1</v>
      </c>
      <c r="E91" t="s">
        <v>433</v>
      </c>
      <c r="F91" t="s">
        <v>431</v>
      </c>
      <c r="G91" t="s">
        <v>2043</v>
      </c>
      <c r="H91" t="s">
        <v>432</v>
      </c>
      <c r="I91" t="s">
        <v>2046</v>
      </c>
      <c r="J91">
        <v>3.7425035899944149E-2</v>
      </c>
      <c r="K91">
        <v>5.4834545983490084E-4</v>
      </c>
      <c r="L91">
        <v>0.78983896706712675</v>
      </c>
      <c r="M91">
        <v>5.9312904450440028E-6</v>
      </c>
      <c r="N91">
        <v>2.904533037010106E-9</v>
      </c>
      <c r="O91">
        <v>6.0340129271327471E-9</v>
      </c>
      <c r="P91">
        <v>2.4924076936409502E-4</v>
      </c>
    </row>
    <row r="92" spans="1:16" x14ac:dyDescent="0.25">
      <c r="B92" t="str">
        <f>C80</f>
        <v>AGS_1104</v>
      </c>
      <c r="C92" t="s">
        <v>2047</v>
      </c>
      <c r="D92">
        <v>1</v>
      </c>
      <c r="E92" t="s">
        <v>433</v>
      </c>
      <c r="F92" t="s">
        <v>431</v>
      </c>
      <c r="G92" t="s">
        <v>2043</v>
      </c>
      <c r="H92" t="s">
        <v>432</v>
      </c>
      <c r="I92" t="s">
        <v>2048</v>
      </c>
      <c r="J92">
        <v>3.3436194181714923E-2</v>
      </c>
      <c r="K92">
        <v>5.401604502600927E-4</v>
      </c>
      <c r="L92">
        <v>0.77977232923047035</v>
      </c>
      <c r="M92">
        <v>5.8614732106486821E-6</v>
      </c>
      <c r="N92">
        <v>2.6008903554375071E-9</v>
      </c>
      <c r="O92">
        <v>6.0524584297736803E-9</v>
      </c>
      <c r="P92">
        <v>2.451079213896865E-4</v>
      </c>
    </row>
    <row r="93" spans="1:16" x14ac:dyDescent="0.25">
      <c r="B93" t="str">
        <f>C81</f>
        <v>AGS_1111</v>
      </c>
      <c r="C93" t="s">
        <v>2049</v>
      </c>
      <c r="D93">
        <v>1</v>
      </c>
      <c r="E93" t="s">
        <v>433</v>
      </c>
      <c r="F93" t="s">
        <v>431</v>
      </c>
      <c r="G93" t="s">
        <v>2043</v>
      </c>
      <c r="H93" t="s">
        <v>432</v>
      </c>
      <c r="I93" t="s">
        <v>2050</v>
      </c>
      <c r="J93">
        <v>3.2056364113905132E-2</v>
      </c>
      <c r="K93">
        <v>5.3032298664332765E-4</v>
      </c>
      <c r="L93">
        <v>0.77988267944860312</v>
      </c>
      <c r="M93">
        <v>5.73207751922578E-6</v>
      </c>
      <c r="N93">
        <v>2.334937213248222E-9</v>
      </c>
      <c r="O93">
        <v>5.9205768543245049E-9</v>
      </c>
      <c r="P93">
        <v>2.3860206612817339E-4</v>
      </c>
    </row>
    <row r="94" spans="1:16" x14ac:dyDescent="0.25">
      <c r="B94" t="str">
        <f>C82</f>
        <v>AGS_1114</v>
      </c>
      <c r="C94" t="s">
        <v>2051</v>
      </c>
      <c r="D94">
        <v>1</v>
      </c>
      <c r="E94" t="s">
        <v>433</v>
      </c>
      <c r="F94" t="s">
        <v>431</v>
      </c>
      <c r="G94" t="s">
        <v>2043</v>
      </c>
      <c r="H94" t="s">
        <v>432</v>
      </c>
      <c r="I94" t="s">
        <v>2052</v>
      </c>
      <c r="J94">
        <v>3.0546951431769331E-2</v>
      </c>
      <c r="K94">
        <v>5.1104343256012615E-4</v>
      </c>
      <c r="L94">
        <v>0.76954339173046205</v>
      </c>
      <c r="M94">
        <v>5.4936772684494989E-6</v>
      </c>
      <c r="N94">
        <v>2.1527112044648849E-9</v>
      </c>
      <c r="O94">
        <v>5.7420697464168862E-9</v>
      </c>
      <c r="P94">
        <v>2.2922206728465919E-4</v>
      </c>
    </row>
    <row r="95" spans="1:16" x14ac:dyDescent="0.25">
      <c r="B95" t="str">
        <f>C83</f>
        <v>AGS_1116</v>
      </c>
      <c r="C95" t="s">
        <v>2053</v>
      </c>
      <c r="D95">
        <v>1</v>
      </c>
      <c r="E95" t="s">
        <v>433</v>
      </c>
      <c r="F95" t="s">
        <v>431</v>
      </c>
      <c r="G95" t="s">
        <v>2043</v>
      </c>
      <c r="H95" t="s">
        <v>432</v>
      </c>
      <c r="I95" t="s">
        <v>2054</v>
      </c>
      <c r="J95">
        <v>3.7097407226710968E-2</v>
      </c>
      <c r="K95">
        <v>5.1656300816786389E-4</v>
      </c>
      <c r="L95">
        <v>0.76968403041235101</v>
      </c>
      <c r="M95">
        <v>5.4740662391335778E-6</v>
      </c>
      <c r="N95">
        <v>2.6708924757200508E-9</v>
      </c>
      <c r="O95">
        <v>5.5753114858754389E-9</v>
      </c>
      <c r="P95">
        <v>2.313154468029922E-4</v>
      </c>
    </row>
    <row r="96" spans="1:16" x14ac:dyDescent="0.25">
      <c r="B96" t="str">
        <f>C84</f>
        <v>AGS_1118</v>
      </c>
      <c r="C96" t="s">
        <v>2055</v>
      </c>
      <c r="D96">
        <v>1</v>
      </c>
      <c r="E96" t="s">
        <v>433</v>
      </c>
      <c r="F96" t="s">
        <v>431</v>
      </c>
      <c r="G96" t="s">
        <v>2043</v>
      </c>
      <c r="H96" t="s">
        <v>432</v>
      </c>
      <c r="I96" t="s">
        <v>2056</v>
      </c>
      <c r="J96">
        <v>3.0349425032859739E-2</v>
      </c>
      <c r="K96">
        <v>5.0969173778764028E-4</v>
      </c>
      <c r="L96">
        <v>0.76883183177957548</v>
      </c>
      <c r="M96">
        <v>5.4692028960540979E-6</v>
      </c>
      <c r="N96">
        <v>2.1393713363748322E-9</v>
      </c>
      <c r="O96">
        <v>5.7166549822890556E-9</v>
      </c>
      <c r="P96">
        <v>2.2808752791988359E-4</v>
      </c>
    </row>
    <row r="97" spans="1:32" x14ac:dyDescent="0.25">
      <c r="B97" t="str">
        <f>C85</f>
        <v>BAU_AGS</v>
      </c>
      <c r="C97" t="s">
        <v>2057</v>
      </c>
      <c r="D97">
        <v>1</v>
      </c>
      <c r="E97" t="s">
        <v>433</v>
      </c>
      <c r="F97" t="s">
        <v>431</v>
      </c>
      <c r="G97" t="s">
        <v>2043</v>
      </c>
      <c r="H97" t="s">
        <v>432</v>
      </c>
      <c r="I97" t="s">
        <v>2058</v>
      </c>
      <c r="J97">
        <v>0.15570412028976061</v>
      </c>
      <c r="K97">
        <v>4.5883433706326757E-4</v>
      </c>
      <c r="L97">
        <v>0.59335562136086617</v>
      </c>
      <c r="M97">
        <v>4.202553517914312E-6</v>
      </c>
      <c r="N97">
        <v>9.3368036629985235E-9</v>
      </c>
      <c r="O97">
        <v>2.329835818429705E-9</v>
      </c>
      <c r="P97">
        <v>2.7302224367933912E-4</v>
      </c>
    </row>
    <row r="98" spans="1:32" x14ac:dyDescent="0.25">
      <c r="A98" t="s">
        <v>1275</v>
      </c>
      <c r="B98" t="str">
        <f>C78</f>
        <v>AGS_1001</v>
      </c>
      <c r="C98" t="s">
        <v>2059</v>
      </c>
      <c r="D98">
        <v>1</v>
      </c>
      <c r="E98" t="s">
        <v>433</v>
      </c>
      <c r="F98" t="s">
        <v>431</v>
      </c>
      <c r="G98" t="s">
        <v>2043</v>
      </c>
      <c r="H98" t="s">
        <v>432</v>
      </c>
      <c r="I98" t="s">
        <v>2060</v>
      </c>
      <c r="J98">
        <v>2.7457106541862768E-2</v>
      </c>
      <c r="K98">
        <v>5.3408887908070184E-4</v>
      </c>
      <c r="L98">
        <v>0.78182883691372385</v>
      </c>
      <c r="M98">
        <v>5.9429063440083666E-6</v>
      </c>
      <c r="N98">
        <v>2.7452174936906879E-9</v>
      </c>
      <c r="O98">
        <v>6.012411057121144E-9</v>
      </c>
      <c r="P98">
        <v>2.4184563923080631E-4</v>
      </c>
    </row>
    <row r="99" spans="1:32" x14ac:dyDescent="0.25">
      <c r="B99" t="str">
        <f>C79</f>
        <v>AGS_1101</v>
      </c>
      <c r="C99" t="s">
        <v>2061</v>
      </c>
      <c r="D99">
        <v>1</v>
      </c>
      <c r="E99" t="s">
        <v>433</v>
      </c>
      <c r="F99" t="s">
        <v>431</v>
      </c>
      <c r="G99" t="s">
        <v>2043</v>
      </c>
      <c r="H99" t="s">
        <v>432</v>
      </c>
      <c r="I99" t="s">
        <v>2062</v>
      </c>
      <c r="J99">
        <v>2.9287332699176351E-2</v>
      </c>
      <c r="K99">
        <v>5.3902953821943951E-4</v>
      </c>
      <c r="L99">
        <v>0.79029696189384757</v>
      </c>
      <c r="M99">
        <v>5.9886179901140868E-6</v>
      </c>
      <c r="N99">
        <v>2.9008299870649609E-9</v>
      </c>
      <c r="O99">
        <v>5.9877458419185749E-9</v>
      </c>
      <c r="P99">
        <v>2.4397784553655669E-4</v>
      </c>
    </row>
    <row r="100" spans="1:32" x14ac:dyDescent="0.25">
      <c r="B100" t="str">
        <f>C80</f>
        <v>AGS_1104</v>
      </c>
      <c r="C100" t="s">
        <v>2063</v>
      </c>
      <c r="D100">
        <v>1</v>
      </c>
      <c r="E100" t="s">
        <v>433</v>
      </c>
      <c r="F100" t="s">
        <v>431</v>
      </c>
      <c r="G100" t="s">
        <v>2043</v>
      </c>
      <c r="H100" t="s">
        <v>432</v>
      </c>
      <c r="I100" t="s">
        <v>2064</v>
      </c>
      <c r="J100">
        <v>2.576705034299346E-2</v>
      </c>
      <c r="K100">
        <v>5.3055743493510233E-4</v>
      </c>
      <c r="L100">
        <v>0.77910224056571364</v>
      </c>
      <c r="M100">
        <v>5.9094888843212786E-6</v>
      </c>
      <c r="N100">
        <v>2.616723206507969E-9</v>
      </c>
      <c r="O100">
        <v>6.0049013505074056E-9</v>
      </c>
      <c r="P100">
        <v>2.3976180314535671E-4</v>
      </c>
    </row>
    <row r="101" spans="1:32" x14ac:dyDescent="0.25">
      <c r="B101" t="str">
        <f>C81</f>
        <v>AGS_1111</v>
      </c>
      <c r="C101" t="s">
        <v>2065</v>
      </c>
      <c r="D101">
        <v>1</v>
      </c>
      <c r="E101" t="s">
        <v>433</v>
      </c>
      <c r="F101" t="s">
        <v>431</v>
      </c>
      <c r="G101" t="s">
        <v>2043</v>
      </c>
      <c r="H101" t="s">
        <v>432</v>
      </c>
      <c r="I101" t="s">
        <v>2066</v>
      </c>
      <c r="J101">
        <v>2.4741584785412111E-2</v>
      </c>
      <c r="K101">
        <v>5.2123069018372519E-4</v>
      </c>
      <c r="L101">
        <v>0.77913548438770741</v>
      </c>
      <c r="M101">
        <v>5.7780138401010017E-6</v>
      </c>
      <c r="N101">
        <v>2.3531083226617112E-9</v>
      </c>
      <c r="O101">
        <v>5.8788026161481207E-9</v>
      </c>
      <c r="P101">
        <v>2.3357302452057841E-4</v>
      </c>
    </row>
    <row r="102" spans="1:32" x14ac:dyDescent="0.25">
      <c r="B102" t="str">
        <f>C82</f>
        <v>AGS_1114</v>
      </c>
      <c r="C102" t="s">
        <v>2067</v>
      </c>
      <c r="D102">
        <v>1</v>
      </c>
      <c r="E102" t="s">
        <v>433</v>
      </c>
      <c r="F102" t="s">
        <v>431</v>
      </c>
      <c r="G102" t="s">
        <v>2043</v>
      </c>
      <c r="H102" t="s">
        <v>432</v>
      </c>
      <c r="I102" t="s">
        <v>2068</v>
      </c>
      <c r="J102">
        <v>2.3738272200905949E-2</v>
      </c>
      <c r="K102">
        <v>5.0251234720862837E-4</v>
      </c>
      <c r="L102">
        <v>0.7687286628697505</v>
      </c>
      <c r="M102">
        <v>5.5356415147368412E-6</v>
      </c>
      <c r="N102">
        <v>2.176281761954767E-9</v>
      </c>
      <c r="O102">
        <v>5.707264830548409E-9</v>
      </c>
      <c r="P102">
        <v>2.2456166525980221E-4</v>
      </c>
    </row>
    <row r="103" spans="1:32" x14ac:dyDescent="0.25">
      <c r="B103" t="str">
        <f>C83</f>
        <v>AGS_1116</v>
      </c>
      <c r="C103" t="s">
        <v>2069</v>
      </c>
      <c r="D103">
        <v>1</v>
      </c>
      <c r="E103" t="s">
        <v>433</v>
      </c>
      <c r="F103" t="s">
        <v>431</v>
      </c>
      <c r="G103" t="s">
        <v>2043</v>
      </c>
      <c r="H103" t="s">
        <v>432</v>
      </c>
      <c r="I103" t="s">
        <v>2070</v>
      </c>
      <c r="J103">
        <v>2.9157415139529259E-2</v>
      </c>
      <c r="K103">
        <v>5.0958899640158684E-4</v>
      </c>
      <c r="L103">
        <v>0.77289187540862403</v>
      </c>
      <c r="M103">
        <v>5.5429809420478614E-6</v>
      </c>
      <c r="N103">
        <v>2.6357305572584008E-9</v>
      </c>
      <c r="O103">
        <v>5.5532940259884221E-9</v>
      </c>
      <c r="P103">
        <v>2.273149381003117E-4</v>
      </c>
    </row>
    <row r="104" spans="1:32" x14ac:dyDescent="0.25">
      <c r="B104" t="str">
        <f>C84</f>
        <v>AGS_1118</v>
      </c>
      <c r="C104" t="s">
        <v>2071</v>
      </c>
      <c r="D104">
        <v>1</v>
      </c>
      <c r="E104" t="s">
        <v>433</v>
      </c>
      <c r="F104" t="s">
        <v>431</v>
      </c>
      <c r="G104" t="s">
        <v>2043</v>
      </c>
      <c r="H104" t="s">
        <v>432</v>
      </c>
      <c r="I104" t="s">
        <v>2072</v>
      </c>
      <c r="J104">
        <v>2.3622675256786491E-2</v>
      </c>
      <c r="K104">
        <v>5.0121268435153997E-4</v>
      </c>
      <c r="L104">
        <v>0.76796071850758207</v>
      </c>
      <c r="M104">
        <v>5.5103322107174371E-6</v>
      </c>
      <c r="N104">
        <v>2.1656011280289129E-9</v>
      </c>
      <c r="O104">
        <v>5.6828830455872614E-9</v>
      </c>
      <c r="P104">
        <v>2.234682685060845E-4</v>
      </c>
    </row>
    <row r="105" spans="1:32" x14ac:dyDescent="0.25">
      <c r="B105" t="str">
        <f>C85</f>
        <v>BAU_AGS</v>
      </c>
      <c r="C105" t="s">
        <v>2073</v>
      </c>
      <c r="D105">
        <v>1</v>
      </c>
      <c r="E105" t="s">
        <v>433</v>
      </c>
      <c r="F105" t="s">
        <v>431</v>
      </c>
      <c r="G105" t="s">
        <v>2043</v>
      </c>
      <c r="H105" t="s">
        <v>432</v>
      </c>
      <c r="I105" t="s">
        <v>2074</v>
      </c>
      <c r="J105">
        <v>0.14706749862613661</v>
      </c>
      <c r="K105">
        <v>4.5937561257921228E-4</v>
      </c>
      <c r="L105">
        <v>0.60636543182364666</v>
      </c>
      <c r="M105">
        <v>4.3151537963601647E-6</v>
      </c>
      <c r="N105">
        <v>9.1319086721104833E-9</v>
      </c>
      <c r="O105">
        <v>2.369109997052707E-9</v>
      </c>
      <c r="P105">
        <v>2.7172541742153202E-4</v>
      </c>
    </row>
    <row r="110" spans="1:32" x14ac:dyDescent="0.25">
      <c r="C110" s="9" t="s">
        <v>2029</v>
      </c>
    </row>
    <row r="111" spans="1:32" x14ac:dyDescent="0.25">
      <c r="Y111" t="s">
        <v>1888</v>
      </c>
    </row>
    <row r="112" spans="1:32" x14ac:dyDescent="0.25">
      <c r="C112" t="s">
        <v>2002</v>
      </c>
      <c r="D112" t="s">
        <v>473</v>
      </c>
      <c r="E112" t="s">
        <v>1035</v>
      </c>
      <c r="F112" t="s">
        <v>426</v>
      </c>
      <c r="G112" t="s">
        <v>471</v>
      </c>
      <c r="H112" t="s">
        <v>2003</v>
      </c>
      <c r="I112" t="s">
        <v>470</v>
      </c>
      <c r="Y112" t="str">
        <f>C78</f>
        <v>AGS_1001</v>
      </c>
      <c r="Z112" t="str">
        <f>C79</f>
        <v>AGS_1101</v>
      </c>
      <c r="AA112" t="str">
        <f>C80</f>
        <v>AGS_1104</v>
      </c>
      <c r="AB112" t="e">
        <f>#REF!</f>
        <v>#REF!</v>
      </c>
      <c r="AC112" t="str">
        <f>C81</f>
        <v>AGS_1111</v>
      </c>
      <c r="AD112" t="str">
        <f>C82</f>
        <v>AGS_1114</v>
      </c>
      <c r="AE112" t="str">
        <f>C83</f>
        <v>AGS_1116</v>
      </c>
      <c r="AF112" t="str">
        <f>C84</f>
        <v>AGS_1118</v>
      </c>
    </row>
    <row r="113" spans="3:24" x14ac:dyDescent="0.25">
      <c r="C113">
        <v>2.0657521885756001E-3</v>
      </c>
      <c r="D113" t="s">
        <v>433</v>
      </c>
      <c r="E113" t="s">
        <v>431</v>
      </c>
      <c r="F113" t="s">
        <v>1952</v>
      </c>
      <c r="G113" t="s">
        <v>432</v>
      </c>
      <c r="H113" t="s">
        <v>1998</v>
      </c>
      <c r="I113" t="s">
        <v>1951</v>
      </c>
      <c r="X113" t="s">
        <v>1998</v>
      </c>
    </row>
    <row r="114" spans="3:24" x14ac:dyDescent="0.25">
      <c r="C114">
        <v>1.0754031541155399E-3</v>
      </c>
      <c r="D114" t="s">
        <v>433</v>
      </c>
      <c r="E114" t="s">
        <v>1953</v>
      </c>
      <c r="F114" t="s">
        <v>1952</v>
      </c>
      <c r="G114" t="s">
        <v>432</v>
      </c>
      <c r="H114" t="s">
        <v>1998</v>
      </c>
      <c r="I114" t="s">
        <v>1954</v>
      </c>
      <c r="X114" t="s">
        <v>2000</v>
      </c>
    </row>
    <row r="115" spans="3:24" x14ac:dyDescent="0.25">
      <c r="C115">
        <v>1.7759856725231399E-3</v>
      </c>
      <c r="D115" t="s">
        <v>433</v>
      </c>
      <c r="E115" t="s">
        <v>431</v>
      </c>
      <c r="F115" t="s">
        <v>1952</v>
      </c>
      <c r="G115" t="s">
        <v>432</v>
      </c>
      <c r="H115" t="s">
        <v>681</v>
      </c>
      <c r="I115" t="s">
        <v>1955</v>
      </c>
      <c r="X115" t="s">
        <v>1927</v>
      </c>
    </row>
    <row r="116" spans="3:24" x14ac:dyDescent="0.25">
      <c r="C116">
        <v>1.0754031541155399E-3</v>
      </c>
      <c r="D116" t="s">
        <v>433</v>
      </c>
      <c r="E116" t="s">
        <v>1956</v>
      </c>
      <c r="F116" t="s">
        <v>1952</v>
      </c>
      <c r="G116" t="s">
        <v>432</v>
      </c>
      <c r="H116" t="s">
        <v>719</v>
      </c>
      <c r="I116" t="s">
        <v>1957</v>
      </c>
      <c r="X116" t="s">
        <v>1920</v>
      </c>
    </row>
    <row r="117" spans="3:24" x14ac:dyDescent="0.25">
      <c r="C117">
        <v>1.7728298873704799E-3</v>
      </c>
      <c r="D117" t="s">
        <v>433</v>
      </c>
      <c r="E117" t="s">
        <v>1956</v>
      </c>
      <c r="F117" t="s">
        <v>1952</v>
      </c>
      <c r="G117" t="s">
        <v>432</v>
      </c>
      <c r="H117" t="s">
        <v>719</v>
      </c>
      <c r="I117" t="s">
        <v>1958</v>
      </c>
      <c r="X117" t="s">
        <v>681</v>
      </c>
    </row>
    <row r="118" spans="3:24" x14ac:dyDescent="0.25">
      <c r="C118">
        <v>1.11131171746972E-2</v>
      </c>
      <c r="D118" t="s">
        <v>433</v>
      </c>
      <c r="E118" t="s">
        <v>431</v>
      </c>
      <c r="F118" t="s">
        <v>1952</v>
      </c>
      <c r="G118" t="s">
        <v>432</v>
      </c>
      <c r="H118" t="s">
        <v>1998</v>
      </c>
      <c r="I118" t="s">
        <v>1226</v>
      </c>
      <c r="X118" t="s">
        <v>674</v>
      </c>
    </row>
    <row r="119" spans="3:24" x14ac:dyDescent="0.25">
      <c r="C119">
        <v>9.1562680700815399E-3</v>
      </c>
      <c r="D119" t="s">
        <v>433</v>
      </c>
      <c r="E119" t="s">
        <v>431</v>
      </c>
      <c r="F119" t="s">
        <v>1952</v>
      </c>
      <c r="G119" t="s">
        <v>432</v>
      </c>
      <c r="H119" t="s">
        <v>681</v>
      </c>
      <c r="I119" t="s">
        <v>1193</v>
      </c>
      <c r="W119" t="s">
        <v>2081</v>
      </c>
      <c r="X119" t="s">
        <v>819</v>
      </c>
    </row>
    <row r="120" spans="3:24" x14ac:dyDescent="0.25">
      <c r="C120">
        <v>2.8794092794948102E-4</v>
      </c>
      <c r="D120" t="s">
        <v>433</v>
      </c>
      <c r="E120" t="s">
        <v>431</v>
      </c>
      <c r="F120" t="s">
        <v>1952</v>
      </c>
      <c r="G120" t="s">
        <v>432</v>
      </c>
      <c r="H120" t="s">
        <v>819</v>
      </c>
      <c r="I120" t="s">
        <v>1959</v>
      </c>
      <c r="X120" t="s">
        <v>719</v>
      </c>
    </row>
    <row r="121" spans="3:24" x14ac:dyDescent="0.25">
      <c r="C121">
        <v>3.6494930000006299E-3</v>
      </c>
      <c r="D121" t="s">
        <v>433</v>
      </c>
      <c r="E121" t="s">
        <v>431</v>
      </c>
      <c r="F121" t="s">
        <v>1952</v>
      </c>
      <c r="G121" t="s">
        <v>432</v>
      </c>
      <c r="H121" t="s">
        <v>1927</v>
      </c>
      <c r="I121" t="s">
        <v>1941</v>
      </c>
      <c r="X121" t="s">
        <v>675</v>
      </c>
    </row>
    <row r="122" spans="3:24" x14ac:dyDescent="0.25">
      <c r="C122">
        <v>1.0522111042875399E-3</v>
      </c>
      <c r="D122" t="s">
        <v>433</v>
      </c>
      <c r="E122" t="s">
        <v>1953</v>
      </c>
      <c r="F122" t="s">
        <v>1952</v>
      </c>
      <c r="G122" t="s">
        <v>432</v>
      </c>
      <c r="H122" t="s">
        <v>1998</v>
      </c>
      <c r="I122" t="s">
        <v>1960</v>
      </c>
    </row>
    <row r="123" spans="3:24" x14ac:dyDescent="0.25">
      <c r="C123">
        <v>8.3425516185023601E-4</v>
      </c>
      <c r="D123" t="s">
        <v>433</v>
      </c>
      <c r="E123" t="s">
        <v>505</v>
      </c>
      <c r="F123" t="s">
        <v>1952</v>
      </c>
      <c r="G123" t="s">
        <v>432</v>
      </c>
      <c r="H123" t="s">
        <v>684</v>
      </c>
      <c r="I123" t="s">
        <v>1961</v>
      </c>
    </row>
    <row r="124" spans="3:24" x14ac:dyDescent="0.25">
      <c r="C124">
        <v>5.0074212956414503E-3</v>
      </c>
      <c r="D124" t="s">
        <v>433</v>
      </c>
      <c r="E124" t="s">
        <v>505</v>
      </c>
      <c r="F124" t="s">
        <v>1952</v>
      </c>
      <c r="G124" t="s">
        <v>432</v>
      </c>
      <c r="H124" t="s">
        <v>684</v>
      </c>
      <c r="I124" t="s">
        <v>1962</v>
      </c>
    </row>
    <row r="125" spans="3:24" x14ac:dyDescent="0.25">
      <c r="C125">
        <v>1.16335106331718E-3</v>
      </c>
      <c r="D125" t="s">
        <v>433</v>
      </c>
      <c r="E125" t="s">
        <v>505</v>
      </c>
      <c r="F125" t="s">
        <v>1952</v>
      </c>
      <c r="G125" t="s">
        <v>432</v>
      </c>
      <c r="H125" t="s">
        <v>684</v>
      </c>
      <c r="I125" t="s">
        <v>1963</v>
      </c>
    </row>
    <row r="126" spans="3:24" x14ac:dyDescent="0.25">
      <c r="C126">
        <v>1.0522111042875399E-3</v>
      </c>
      <c r="D126" t="s">
        <v>433</v>
      </c>
      <c r="E126" t="s">
        <v>1964</v>
      </c>
      <c r="F126" t="s">
        <v>1952</v>
      </c>
      <c r="G126" t="s">
        <v>432</v>
      </c>
      <c r="H126" t="s">
        <v>719</v>
      </c>
      <c r="I126" t="s">
        <v>1965</v>
      </c>
    </row>
    <row r="127" spans="3:24" x14ac:dyDescent="0.25">
      <c r="C127" s="70">
        <v>1.9263786838080699E-5</v>
      </c>
      <c r="D127" t="s">
        <v>433</v>
      </c>
      <c r="E127" t="s">
        <v>1964</v>
      </c>
      <c r="F127" t="s">
        <v>1952</v>
      </c>
      <c r="G127" t="s">
        <v>432</v>
      </c>
      <c r="H127" t="s">
        <v>719</v>
      </c>
      <c r="I127" t="s">
        <v>1966</v>
      </c>
    </row>
    <row r="128" spans="3:24" x14ac:dyDescent="0.25">
      <c r="C128">
        <v>2.1876658013609301E-2</v>
      </c>
      <c r="D128" t="s">
        <v>433</v>
      </c>
      <c r="E128" t="s">
        <v>505</v>
      </c>
      <c r="F128" t="s">
        <v>1952</v>
      </c>
      <c r="G128" t="s">
        <v>432</v>
      </c>
      <c r="H128" t="s">
        <v>674</v>
      </c>
      <c r="I128" t="s">
        <v>1967</v>
      </c>
    </row>
    <row r="129" spans="3:9" x14ac:dyDescent="0.25">
      <c r="C129">
        <v>0.187125312394259</v>
      </c>
      <c r="D129" t="s">
        <v>433</v>
      </c>
      <c r="E129" t="s">
        <v>505</v>
      </c>
      <c r="F129" t="s">
        <v>1952</v>
      </c>
      <c r="G129" t="s">
        <v>432</v>
      </c>
      <c r="H129" t="s">
        <v>674</v>
      </c>
      <c r="I129" t="s">
        <v>1968</v>
      </c>
    </row>
    <row r="130" spans="3:9" x14ac:dyDescent="0.25">
      <c r="C130">
        <v>4.9433595179557602E-2</v>
      </c>
      <c r="D130" t="s">
        <v>433</v>
      </c>
      <c r="E130" t="s">
        <v>505</v>
      </c>
      <c r="F130" t="s">
        <v>1952</v>
      </c>
      <c r="G130" t="s">
        <v>432</v>
      </c>
      <c r="H130" t="s">
        <v>674</v>
      </c>
      <c r="I130" t="s">
        <v>1969</v>
      </c>
    </row>
    <row r="131" spans="3:9" x14ac:dyDescent="0.25">
      <c r="C131">
        <v>3.0926011339526702E-2</v>
      </c>
      <c r="D131" t="s">
        <v>433</v>
      </c>
      <c r="E131" t="s">
        <v>505</v>
      </c>
      <c r="F131" t="s">
        <v>1952</v>
      </c>
      <c r="G131" t="s">
        <v>432</v>
      </c>
      <c r="H131" t="s">
        <v>674</v>
      </c>
      <c r="I131" t="s">
        <v>1970</v>
      </c>
    </row>
    <row r="132" spans="3:9" x14ac:dyDescent="0.25">
      <c r="C132">
        <v>5.6606659833337798E-2</v>
      </c>
      <c r="D132" t="s">
        <v>433</v>
      </c>
      <c r="E132" t="s">
        <v>505</v>
      </c>
      <c r="F132" t="s">
        <v>1952</v>
      </c>
      <c r="G132" t="s">
        <v>432</v>
      </c>
      <c r="H132" t="s">
        <v>674</v>
      </c>
      <c r="I132" t="s">
        <v>1971</v>
      </c>
    </row>
    <row r="133" spans="3:9" x14ac:dyDescent="0.25">
      <c r="C133">
        <v>4.1777890814378001E-2</v>
      </c>
      <c r="D133" t="s">
        <v>433</v>
      </c>
      <c r="E133" t="s">
        <v>431</v>
      </c>
      <c r="F133" t="s">
        <v>1952</v>
      </c>
      <c r="G133" t="s">
        <v>432</v>
      </c>
      <c r="H133" t="s">
        <v>819</v>
      </c>
      <c r="I133" t="s">
        <v>1229</v>
      </c>
    </row>
    <row r="134" spans="3:9" x14ac:dyDescent="0.25">
      <c r="C134">
        <v>0.20896757110915601</v>
      </c>
      <c r="D134" t="s">
        <v>433</v>
      </c>
      <c r="E134" t="s">
        <v>431</v>
      </c>
      <c r="F134" t="s">
        <v>1952</v>
      </c>
      <c r="G134" t="s">
        <v>432</v>
      </c>
      <c r="H134" t="s">
        <v>1920</v>
      </c>
      <c r="I134" t="s">
        <v>1228</v>
      </c>
    </row>
    <row r="135" spans="3:9" x14ac:dyDescent="0.25">
      <c r="C135">
        <v>0.199810463279256</v>
      </c>
      <c r="D135" t="s">
        <v>433</v>
      </c>
      <c r="E135" t="s">
        <v>431</v>
      </c>
      <c r="F135" t="s">
        <v>1952</v>
      </c>
      <c r="G135" t="s">
        <v>432</v>
      </c>
      <c r="H135" t="s">
        <v>1920</v>
      </c>
      <c r="I135" t="s">
        <v>842</v>
      </c>
    </row>
    <row r="136" spans="3:9" x14ac:dyDescent="0.25">
      <c r="C136">
        <v>2.3664331319913701E-4</v>
      </c>
      <c r="D136" t="s">
        <v>433</v>
      </c>
      <c r="E136" t="s">
        <v>431</v>
      </c>
      <c r="F136" t="s">
        <v>1952</v>
      </c>
      <c r="G136" t="s">
        <v>432</v>
      </c>
      <c r="H136" t="s">
        <v>681</v>
      </c>
      <c r="I136" t="s">
        <v>1972</v>
      </c>
    </row>
    <row r="137" spans="3:9" x14ac:dyDescent="0.25">
      <c r="C137">
        <v>3.8600367924512997E-4</v>
      </c>
      <c r="D137" t="s">
        <v>433</v>
      </c>
      <c r="E137" t="s">
        <v>431</v>
      </c>
      <c r="F137" t="s">
        <v>1952</v>
      </c>
      <c r="G137" t="s">
        <v>432</v>
      </c>
      <c r="H137" t="s">
        <v>681</v>
      </c>
      <c r="I137" t="s">
        <v>1939</v>
      </c>
    </row>
    <row r="138" spans="3:9" x14ac:dyDescent="0.25">
      <c r="C138" s="70">
        <v>8.6203598172736195E-6</v>
      </c>
      <c r="D138" t="s">
        <v>433</v>
      </c>
      <c r="E138" t="s">
        <v>431</v>
      </c>
      <c r="F138" t="s">
        <v>1952</v>
      </c>
      <c r="G138" t="s">
        <v>432</v>
      </c>
      <c r="H138" t="s">
        <v>1922</v>
      </c>
      <c r="I138" t="s">
        <v>1973</v>
      </c>
    </row>
    <row r="139" spans="3:9" x14ac:dyDescent="0.25">
      <c r="C139">
        <v>0.10924724450465299</v>
      </c>
      <c r="D139" t="s">
        <v>433</v>
      </c>
      <c r="E139" t="s">
        <v>431</v>
      </c>
      <c r="F139" t="s">
        <v>1952</v>
      </c>
      <c r="G139" t="s">
        <v>432</v>
      </c>
      <c r="H139" t="s">
        <v>675</v>
      </c>
      <c r="I139" t="s">
        <v>1974</v>
      </c>
    </row>
    <row r="140" spans="3:9" x14ac:dyDescent="0.25">
      <c r="C140">
        <v>1.00746794111792E-2</v>
      </c>
      <c r="D140" t="s">
        <v>433</v>
      </c>
      <c r="E140" t="s">
        <v>505</v>
      </c>
      <c r="F140" t="s">
        <v>1952</v>
      </c>
      <c r="G140" t="s">
        <v>432</v>
      </c>
      <c r="H140" t="s">
        <v>819</v>
      </c>
      <c r="I140" t="s">
        <v>1975</v>
      </c>
    </row>
    <row r="141" spans="3:9" x14ac:dyDescent="0.25">
      <c r="C141">
        <v>6.9831107680739905E-4</v>
      </c>
      <c r="D141" t="s">
        <v>433</v>
      </c>
      <c r="E141" t="s">
        <v>505</v>
      </c>
      <c r="F141" t="s">
        <v>1952</v>
      </c>
      <c r="G141" t="s">
        <v>1977</v>
      </c>
      <c r="H141" t="s">
        <v>819</v>
      </c>
      <c r="I141" t="s">
        <v>1976</v>
      </c>
    </row>
    <row r="142" spans="3:9" x14ac:dyDescent="0.25">
      <c r="C142">
        <v>1.10114057096356E-2</v>
      </c>
      <c r="D142" t="s">
        <v>433</v>
      </c>
      <c r="E142" t="s">
        <v>505</v>
      </c>
      <c r="F142" t="s">
        <v>1952</v>
      </c>
      <c r="G142" t="s">
        <v>1977</v>
      </c>
      <c r="H142" t="s">
        <v>819</v>
      </c>
      <c r="I142" t="s">
        <v>1978</v>
      </c>
    </row>
    <row r="143" spans="3:9" x14ac:dyDescent="0.25">
      <c r="C143">
        <v>1.23906810730305E-3</v>
      </c>
      <c r="D143" t="s">
        <v>433</v>
      </c>
      <c r="E143" t="s">
        <v>505</v>
      </c>
      <c r="F143" t="s">
        <v>1952</v>
      </c>
      <c r="G143" t="s">
        <v>1977</v>
      </c>
      <c r="H143" t="s">
        <v>819</v>
      </c>
      <c r="I143" t="s">
        <v>1979</v>
      </c>
    </row>
    <row r="144" spans="3:9" x14ac:dyDescent="0.25">
      <c r="C144">
        <v>6.7161586329004099E-4</v>
      </c>
      <c r="D144" t="s">
        <v>433</v>
      </c>
      <c r="E144" t="s">
        <v>505</v>
      </c>
      <c r="F144" t="s">
        <v>1952</v>
      </c>
      <c r="G144" t="s">
        <v>1977</v>
      </c>
      <c r="H144" t="s">
        <v>819</v>
      </c>
      <c r="I144" t="s">
        <v>1980</v>
      </c>
    </row>
    <row r="145" spans="3:25" x14ac:dyDescent="0.25">
      <c r="C145">
        <v>1.2298347734552E-3</v>
      </c>
      <c r="D145" t="s">
        <v>433</v>
      </c>
      <c r="E145" t="s">
        <v>505</v>
      </c>
      <c r="F145" t="s">
        <v>1952</v>
      </c>
      <c r="G145" t="s">
        <v>1977</v>
      </c>
      <c r="H145" t="s">
        <v>819</v>
      </c>
      <c r="I145" t="s">
        <v>1981</v>
      </c>
    </row>
    <row r="146" spans="3:25" x14ac:dyDescent="0.25">
      <c r="C146">
        <v>1.02692390419305E-2</v>
      </c>
      <c r="D146" t="s">
        <v>433</v>
      </c>
      <c r="E146" t="s">
        <v>431</v>
      </c>
      <c r="F146" t="s">
        <v>1952</v>
      </c>
      <c r="G146" t="s">
        <v>432</v>
      </c>
      <c r="H146" t="s">
        <v>1998</v>
      </c>
      <c r="I146" t="s">
        <v>1227</v>
      </c>
    </row>
    <row r="147" spans="3:25" x14ac:dyDescent="0.25">
      <c r="C147">
        <v>2.3447674469802299E-3</v>
      </c>
      <c r="D147" t="s">
        <v>433</v>
      </c>
      <c r="E147" t="s">
        <v>505</v>
      </c>
      <c r="F147" t="s">
        <v>1952</v>
      </c>
      <c r="G147" t="s">
        <v>432</v>
      </c>
      <c r="H147" t="s">
        <v>681</v>
      </c>
      <c r="I147" t="s">
        <v>1982</v>
      </c>
    </row>
    <row r="148" spans="3:25" x14ac:dyDescent="0.25">
      <c r="C148">
        <v>9.5232934187833697E-4</v>
      </c>
      <c r="D148" t="s">
        <v>433</v>
      </c>
      <c r="E148" t="s">
        <v>505</v>
      </c>
      <c r="F148" t="s">
        <v>1952</v>
      </c>
      <c r="G148" t="s">
        <v>432</v>
      </c>
      <c r="H148" t="s">
        <v>681</v>
      </c>
      <c r="I148" t="s">
        <v>1983</v>
      </c>
    </row>
    <row r="149" spans="3:25" x14ac:dyDescent="0.25">
      <c r="C149">
        <v>2.48101989914271E-3</v>
      </c>
      <c r="D149" t="s">
        <v>433</v>
      </c>
      <c r="E149" t="s">
        <v>505</v>
      </c>
      <c r="F149" t="s">
        <v>1952</v>
      </c>
      <c r="G149" t="s">
        <v>432</v>
      </c>
      <c r="H149" t="s">
        <v>681</v>
      </c>
      <c r="I149" t="s">
        <v>1984</v>
      </c>
      <c r="Y149">
        <v>10</v>
      </c>
    </row>
    <row r="150" spans="3:25" x14ac:dyDescent="0.25">
      <c r="C150">
        <v>1.2805386616365199E-4</v>
      </c>
      <c r="D150" t="s">
        <v>433</v>
      </c>
      <c r="E150" t="s">
        <v>505</v>
      </c>
      <c r="F150" t="s">
        <v>1952</v>
      </c>
      <c r="G150" t="s">
        <v>432</v>
      </c>
      <c r="H150" t="s">
        <v>681</v>
      </c>
      <c r="I150" t="s">
        <v>1985</v>
      </c>
      <c r="Y150">
        <v>8.3000000000000007</v>
      </c>
    </row>
    <row r="151" spans="3:25" x14ac:dyDescent="0.25">
      <c r="C151">
        <v>1.94007488568094E-3</v>
      </c>
      <c r="D151" t="s">
        <v>433</v>
      </c>
      <c r="E151" t="s">
        <v>505</v>
      </c>
      <c r="F151" t="s">
        <v>1952</v>
      </c>
      <c r="G151" t="s">
        <v>432</v>
      </c>
      <c r="H151" t="s">
        <v>681</v>
      </c>
      <c r="I151" t="s">
        <v>1986</v>
      </c>
      <c r="Y151">
        <v>162</v>
      </c>
    </row>
    <row r="152" spans="3:25" x14ac:dyDescent="0.25">
      <c r="C152">
        <v>2.7211668460095799E-4</v>
      </c>
      <c r="D152" t="s">
        <v>433</v>
      </c>
      <c r="E152" t="s">
        <v>505</v>
      </c>
      <c r="F152" t="s">
        <v>1952</v>
      </c>
      <c r="G152" t="s">
        <v>432</v>
      </c>
      <c r="H152" t="s">
        <v>681</v>
      </c>
      <c r="I152" t="s">
        <v>1987</v>
      </c>
      <c r="Y152">
        <f>Y149*Y150*Y151</f>
        <v>13446</v>
      </c>
    </row>
    <row r="153" spans="3:25" x14ac:dyDescent="0.25">
      <c r="C153" s="70">
        <v>8.4413184176671899E-5</v>
      </c>
      <c r="D153" t="s">
        <v>433</v>
      </c>
      <c r="E153" t="s">
        <v>431</v>
      </c>
      <c r="F153" t="s">
        <v>1952</v>
      </c>
      <c r="G153" t="s">
        <v>432</v>
      </c>
      <c r="H153" t="s">
        <v>681</v>
      </c>
      <c r="I153" t="s">
        <v>550</v>
      </c>
    </row>
    <row r="154" spans="3:25" x14ac:dyDescent="0.25">
      <c r="C154">
        <v>2.5224788676113402E-4</v>
      </c>
      <c r="D154" t="s">
        <v>433</v>
      </c>
      <c r="E154" t="s">
        <v>431</v>
      </c>
      <c r="F154" t="s">
        <v>1952</v>
      </c>
      <c r="G154" t="s">
        <v>432</v>
      </c>
      <c r="H154" t="s">
        <v>681</v>
      </c>
      <c r="I154" t="s">
        <v>1988</v>
      </c>
    </row>
    <row r="155" spans="3:25" x14ac:dyDescent="0.25">
      <c r="C155">
        <v>3.0461600726544701E-3</v>
      </c>
      <c r="D155" t="s">
        <v>433</v>
      </c>
      <c r="E155" t="s">
        <v>431</v>
      </c>
      <c r="F155" t="s">
        <v>1952</v>
      </c>
      <c r="G155" t="s">
        <v>432</v>
      </c>
      <c r="H155" t="s">
        <v>681</v>
      </c>
      <c r="I155" t="s">
        <v>1989</v>
      </c>
    </row>
    <row r="156" spans="3:25" x14ac:dyDescent="0.25">
      <c r="C156" s="70">
        <v>8.9209551838184299E-5</v>
      </c>
      <c r="D156" t="s">
        <v>433</v>
      </c>
      <c r="E156" t="s">
        <v>431</v>
      </c>
      <c r="F156" t="s">
        <v>1952</v>
      </c>
      <c r="G156" t="s">
        <v>432</v>
      </c>
      <c r="H156" t="s">
        <v>681</v>
      </c>
      <c r="I156" t="s">
        <v>1990</v>
      </c>
    </row>
    <row r="157" spans="3:25" x14ac:dyDescent="0.25">
      <c r="C157" s="70">
        <v>2.5586496750595001E-6</v>
      </c>
      <c r="D157" t="s">
        <v>433</v>
      </c>
      <c r="E157" t="s">
        <v>431</v>
      </c>
      <c r="F157" t="s">
        <v>1952</v>
      </c>
      <c r="G157" t="s">
        <v>1992</v>
      </c>
      <c r="H157" t="s">
        <v>1922</v>
      </c>
      <c r="I157" t="s">
        <v>1991</v>
      </c>
    </row>
    <row r="158" spans="3:25" x14ac:dyDescent="0.25">
      <c r="C158">
        <v>5.13185187166113E-4</v>
      </c>
      <c r="D158" t="s">
        <v>433</v>
      </c>
      <c r="E158" t="s">
        <v>431</v>
      </c>
      <c r="F158" t="s">
        <v>1952</v>
      </c>
      <c r="G158" t="s">
        <v>432</v>
      </c>
      <c r="H158" t="s">
        <v>1922</v>
      </c>
      <c r="I158" t="s">
        <v>1993</v>
      </c>
    </row>
    <row r="159" spans="3:25" x14ac:dyDescent="0.25">
      <c r="C159">
        <v>3.5544458880296603E-4</v>
      </c>
      <c r="D159" t="s">
        <v>433</v>
      </c>
      <c r="E159" t="s">
        <v>431</v>
      </c>
      <c r="F159" t="s">
        <v>1952</v>
      </c>
      <c r="G159" t="s">
        <v>432</v>
      </c>
      <c r="H159" t="s">
        <v>1998</v>
      </c>
      <c r="I159" t="s">
        <v>1994</v>
      </c>
    </row>
    <row r="160" spans="3:25" x14ac:dyDescent="0.25">
      <c r="C160">
        <v>4.8406842052293904E-3</v>
      </c>
      <c r="D160" t="s">
        <v>433</v>
      </c>
      <c r="E160" t="s">
        <v>431</v>
      </c>
      <c r="F160" t="s">
        <v>1952</v>
      </c>
      <c r="G160" t="s">
        <v>432</v>
      </c>
      <c r="H160" t="s">
        <v>1998</v>
      </c>
      <c r="I160" t="s">
        <v>1225</v>
      </c>
    </row>
    <row r="161" spans="3:9" x14ac:dyDescent="0.25">
      <c r="C161" s="70">
        <v>6.58E-9</v>
      </c>
      <c r="D161" t="s">
        <v>1995</v>
      </c>
      <c r="E161" t="s">
        <v>1996</v>
      </c>
      <c r="F161" t="s">
        <v>1952</v>
      </c>
      <c r="G161" t="s">
        <v>432</v>
      </c>
      <c r="H161" t="s">
        <v>2001</v>
      </c>
      <c r="I161" t="s">
        <v>1997</v>
      </c>
    </row>
  </sheetData>
  <sortState xmlns:xlrd2="http://schemas.microsoft.com/office/spreadsheetml/2017/richdata2" ref="X114:X125">
    <sortCondition ref="X113:X12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15DD-CC18-44CE-827F-1E9F11B69099}">
  <sheetPr>
    <tabColor rgb="FFFFFF00"/>
  </sheetPr>
  <dimension ref="A2:BE102"/>
  <sheetViews>
    <sheetView topLeftCell="B1" zoomScale="55" zoomScaleNormal="55" workbookViewId="0">
      <pane xSplit="1" ySplit="3" topLeftCell="C40" activePane="bottomRight" state="frozenSplit"/>
      <selection activeCell="B1" sqref="B1"/>
      <selection pane="topRight" activeCell="O1" sqref="O1"/>
      <selection pane="bottomLeft" activeCell="B22" sqref="B22"/>
      <selection pane="bottomRight" activeCell="E40" sqref="E40:K40"/>
    </sheetView>
  </sheetViews>
  <sheetFormatPr defaultRowHeight="15" x14ac:dyDescent="0.25"/>
  <cols>
    <col min="2" max="2" width="23" customWidth="1"/>
    <col min="3" max="3" width="14.85546875" customWidth="1"/>
    <col min="6" max="6" width="9.5703125" customWidth="1"/>
    <col min="8" max="8" width="14.85546875" bestFit="1" customWidth="1"/>
    <col min="57" max="57" width="11" bestFit="1" customWidth="1"/>
  </cols>
  <sheetData>
    <row r="2" spans="2:57" x14ac:dyDescent="0.25">
      <c r="C2" s="90" t="str">
        <f>C42</f>
        <v>BAU_0</v>
      </c>
      <c r="D2" s="487"/>
      <c r="E2" s="487"/>
      <c r="F2" s="487"/>
      <c r="G2" s="487"/>
      <c r="H2" s="80"/>
      <c r="I2" t="str">
        <f>C43</f>
        <v>BAU_2</v>
      </c>
      <c r="O2" s="90" t="str">
        <f>C44</f>
        <v>BAU_4</v>
      </c>
      <c r="P2" s="487"/>
      <c r="Q2" s="487"/>
      <c r="R2" s="487"/>
      <c r="S2" s="487"/>
      <c r="T2" s="80"/>
      <c r="U2" s="90" t="str">
        <f>C45</f>
        <v>BAU_6</v>
      </c>
      <c r="V2" s="487"/>
      <c r="W2" s="487"/>
      <c r="X2" s="487"/>
      <c r="Y2" s="487"/>
      <c r="Z2" s="80"/>
      <c r="AA2" t="str">
        <f>C46</f>
        <v>BAU_10</v>
      </c>
      <c r="AG2" s="90" t="str">
        <f>C47</f>
        <v>BAU_14</v>
      </c>
      <c r="AH2" s="487"/>
      <c r="AI2" s="487"/>
      <c r="AJ2" s="487"/>
      <c r="AK2" s="487"/>
      <c r="AL2" s="80"/>
      <c r="AM2" t="str">
        <f>C48</f>
        <v>BAU_17</v>
      </c>
      <c r="AS2" s="90" t="str">
        <f>C49</f>
        <v>BAU_BAU_CH_0</v>
      </c>
      <c r="AT2" s="487"/>
      <c r="AU2" s="487"/>
      <c r="AV2" s="487"/>
      <c r="AW2" s="487"/>
      <c r="AX2" s="80"/>
    </row>
    <row r="3" spans="2:57" x14ac:dyDescent="0.25">
      <c r="B3" s="512"/>
      <c r="C3" s="90">
        <v>2020</v>
      </c>
      <c r="D3" s="487">
        <v>2022</v>
      </c>
      <c r="E3" s="487">
        <v>2025</v>
      </c>
      <c r="F3" s="487">
        <v>2030</v>
      </c>
      <c r="G3" s="487">
        <v>2040</v>
      </c>
      <c r="H3" s="80">
        <v>2050</v>
      </c>
      <c r="I3">
        <v>2020</v>
      </c>
      <c r="J3">
        <v>2022</v>
      </c>
      <c r="K3">
        <v>2025</v>
      </c>
      <c r="L3">
        <v>2030</v>
      </c>
      <c r="M3">
        <v>2040</v>
      </c>
      <c r="N3">
        <v>2050</v>
      </c>
      <c r="O3" s="90">
        <v>2020</v>
      </c>
      <c r="P3" s="487">
        <v>2022</v>
      </c>
      <c r="Q3" s="487">
        <v>2025</v>
      </c>
      <c r="R3" s="487">
        <v>2030</v>
      </c>
      <c r="S3" s="487">
        <v>2040</v>
      </c>
      <c r="T3" s="80">
        <v>2050</v>
      </c>
      <c r="U3" s="90">
        <v>2020</v>
      </c>
      <c r="V3" s="487">
        <v>2022</v>
      </c>
      <c r="W3" s="487">
        <v>2025</v>
      </c>
      <c r="X3" s="487">
        <v>2030</v>
      </c>
      <c r="Y3" s="487">
        <v>2040</v>
      </c>
      <c r="Z3" s="80">
        <v>2050</v>
      </c>
      <c r="AA3">
        <v>2020</v>
      </c>
      <c r="AB3">
        <v>2022</v>
      </c>
      <c r="AC3">
        <v>2025</v>
      </c>
      <c r="AD3">
        <v>2030</v>
      </c>
      <c r="AE3">
        <v>2040</v>
      </c>
      <c r="AF3">
        <v>2050</v>
      </c>
      <c r="AG3" s="90">
        <v>2020</v>
      </c>
      <c r="AH3" s="487">
        <v>2022</v>
      </c>
      <c r="AI3" s="487">
        <v>2025</v>
      </c>
      <c r="AJ3" s="487">
        <v>2030</v>
      </c>
      <c r="AK3" s="487">
        <v>2040</v>
      </c>
      <c r="AL3" s="80">
        <v>2050</v>
      </c>
      <c r="AM3">
        <v>2020</v>
      </c>
      <c r="AN3">
        <v>2022</v>
      </c>
      <c r="AO3">
        <v>2025</v>
      </c>
      <c r="AP3">
        <v>2030</v>
      </c>
      <c r="AQ3">
        <v>2040</v>
      </c>
      <c r="AR3">
        <v>2050</v>
      </c>
      <c r="AS3" s="90">
        <v>2020</v>
      </c>
      <c r="AT3" s="487">
        <v>2022</v>
      </c>
      <c r="AU3" s="487">
        <v>2025</v>
      </c>
      <c r="AV3" s="487">
        <v>2030</v>
      </c>
      <c r="AW3" s="487">
        <v>2040</v>
      </c>
      <c r="AX3" s="80">
        <v>2050</v>
      </c>
    </row>
    <row r="4" spans="2:57" x14ac:dyDescent="0.25">
      <c r="B4" t="s">
        <v>1920</v>
      </c>
      <c r="C4" s="90"/>
      <c r="D4" s="487"/>
      <c r="E4" s="487"/>
      <c r="F4" s="487"/>
      <c r="G4" s="487"/>
      <c r="H4" s="80"/>
      <c r="O4" s="90"/>
      <c r="P4" s="487"/>
      <c r="Q4" s="487"/>
      <c r="R4" s="487"/>
      <c r="S4" s="487"/>
      <c r="T4" s="80"/>
      <c r="U4" s="90"/>
      <c r="V4" s="487"/>
      <c r="W4" s="487"/>
      <c r="X4" s="487"/>
      <c r="Y4" s="487"/>
      <c r="Z4" s="80"/>
      <c r="AG4" s="90"/>
      <c r="AH4" s="487"/>
      <c r="AI4" s="487"/>
      <c r="AJ4" s="487"/>
      <c r="AK4" s="487"/>
      <c r="AL4" s="80"/>
      <c r="AS4" s="90"/>
      <c r="AT4" s="487"/>
      <c r="AU4" s="487"/>
      <c r="AV4" s="487"/>
      <c r="AW4" s="487"/>
      <c r="AX4" s="80"/>
    </row>
    <row r="5" spans="2:57" x14ac:dyDescent="0.25">
      <c r="B5" t="s">
        <v>713</v>
      </c>
      <c r="C5" s="90"/>
      <c r="D5" s="487"/>
      <c r="E5" s="487"/>
      <c r="F5" s="487"/>
      <c r="G5" s="487"/>
      <c r="H5" s="80"/>
      <c r="O5" s="90"/>
      <c r="P5" s="487"/>
      <c r="Q5" s="487"/>
      <c r="R5" s="487"/>
      <c r="S5" s="487"/>
      <c r="T5" s="80"/>
      <c r="U5" s="90"/>
      <c r="V5" s="487"/>
      <c r="W5" s="487"/>
      <c r="X5" s="487"/>
      <c r="Y5" s="487"/>
      <c r="Z5" s="80"/>
      <c r="AG5" s="90"/>
      <c r="AH5" s="487"/>
      <c r="AI5" s="487"/>
      <c r="AJ5" s="487"/>
      <c r="AK5" s="487"/>
      <c r="AL5" s="80"/>
      <c r="AS5" s="90"/>
      <c r="AT5" s="487"/>
      <c r="AU5" s="487"/>
      <c r="AV5" s="487"/>
      <c r="AW5" s="487"/>
      <c r="AX5" s="80"/>
    </row>
    <row r="6" spans="2:57" x14ac:dyDescent="0.25">
      <c r="B6" t="s">
        <v>1921</v>
      </c>
      <c r="C6" s="90"/>
      <c r="D6" s="487"/>
      <c r="E6" s="487"/>
      <c r="F6" s="487"/>
      <c r="G6" s="487"/>
      <c r="H6" s="80"/>
      <c r="O6" s="90"/>
      <c r="P6" s="487"/>
      <c r="Q6" s="487"/>
      <c r="R6" s="487"/>
      <c r="S6" s="487"/>
      <c r="T6" s="80"/>
      <c r="U6" s="90"/>
      <c r="V6" s="487"/>
      <c r="W6" s="487"/>
      <c r="X6" s="487"/>
      <c r="Y6" s="487"/>
      <c r="Z6" s="80"/>
      <c r="AG6" s="90"/>
      <c r="AH6" s="487"/>
      <c r="AI6" s="487"/>
      <c r="AJ6" s="487"/>
      <c r="AK6" s="487"/>
      <c r="AL6" s="80"/>
      <c r="AS6" s="90"/>
      <c r="AT6" s="487"/>
      <c r="AU6" s="487"/>
      <c r="AV6" s="487"/>
      <c r="AW6" s="487"/>
      <c r="AX6" s="80"/>
    </row>
    <row r="7" spans="2:57" x14ac:dyDescent="0.25">
      <c r="B7" t="s">
        <v>1922</v>
      </c>
      <c r="C7" s="90"/>
      <c r="D7" s="487"/>
      <c r="E7" s="487"/>
      <c r="F7" s="487"/>
      <c r="G7" s="487"/>
      <c r="H7" s="80"/>
      <c r="O7" s="90"/>
      <c r="P7" s="487"/>
      <c r="Q7" s="487"/>
      <c r="R7" s="487"/>
      <c r="S7" s="487"/>
      <c r="T7" s="80"/>
      <c r="U7" s="90"/>
      <c r="V7" s="487"/>
      <c r="W7" s="487"/>
      <c r="X7" s="487"/>
      <c r="Y7" s="487"/>
      <c r="Z7" s="80"/>
      <c r="AG7" s="90"/>
      <c r="AH7" s="487"/>
      <c r="AI7" s="487"/>
      <c r="AJ7" s="487"/>
      <c r="AK7" s="487"/>
      <c r="AL7" s="80"/>
      <c r="AS7" s="90"/>
      <c r="AT7" s="487"/>
      <c r="AU7" s="487"/>
      <c r="AV7" s="487"/>
      <c r="AW7" s="487"/>
      <c r="AX7" s="80"/>
    </row>
    <row r="8" spans="2:57" x14ac:dyDescent="0.25">
      <c r="B8" t="s">
        <v>1923</v>
      </c>
      <c r="C8" s="90"/>
      <c r="D8" s="487"/>
      <c r="E8" s="487"/>
      <c r="F8" s="487"/>
      <c r="G8" s="487"/>
      <c r="H8" s="80"/>
      <c r="O8" s="90"/>
      <c r="P8" s="487"/>
      <c r="Q8" s="487"/>
      <c r="R8" s="487"/>
      <c r="S8" s="487"/>
      <c r="T8" s="80"/>
      <c r="U8" s="90"/>
      <c r="V8" s="487"/>
      <c r="W8" s="487"/>
      <c r="X8" s="487"/>
      <c r="Y8" s="487"/>
      <c r="Z8" s="80"/>
      <c r="AG8" s="90"/>
      <c r="AH8" s="487"/>
      <c r="AI8" s="487"/>
      <c r="AJ8" s="487"/>
      <c r="AK8" s="487"/>
      <c r="AL8" s="80"/>
      <c r="AS8" s="90"/>
      <c r="AT8" s="487"/>
      <c r="AU8" s="487"/>
      <c r="AV8" s="487"/>
      <c r="AW8" s="487"/>
      <c r="AX8" s="80"/>
    </row>
    <row r="9" spans="2:57" x14ac:dyDescent="0.25">
      <c r="B9" t="s">
        <v>1924</v>
      </c>
      <c r="C9" s="90"/>
      <c r="D9" s="487"/>
      <c r="E9" s="487"/>
      <c r="F9" s="487"/>
      <c r="G9" s="487"/>
      <c r="H9" s="80"/>
      <c r="O9" s="90"/>
      <c r="P9" s="487"/>
      <c r="Q9" s="487"/>
      <c r="R9" s="487"/>
      <c r="S9" s="487"/>
      <c r="T9" s="80"/>
      <c r="U9" s="90"/>
      <c r="V9" s="487"/>
      <c r="W9" s="487"/>
      <c r="X9" s="487"/>
      <c r="Y9" s="487"/>
      <c r="Z9" s="80"/>
      <c r="AG9" s="90"/>
      <c r="AH9" s="487"/>
      <c r="AI9" s="487"/>
      <c r="AJ9" s="487"/>
      <c r="AK9" s="487"/>
      <c r="AL9" s="80"/>
      <c r="AS9" s="90"/>
      <c r="AT9" s="487"/>
      <c r="AU9" s="487"/>
      <c r="AV9" s="487"/>
      <c r="AW9" s="487"/>
      <c r="AX9" s="80"/>
    </row>
    <row r="10" spans="2:57" x14ac:dyDescent="0.25">
      <c r="B10" t="s">
        <v>1925</v>
      </c>
      <c r="C10" s="90"/>
      <c r="D10" s="487"/>
      <c r="E10" s="487"/>
      <c r="F10" s="487"/>
      <c r="G10" s="487"/>
      <c r="H10" s="80"/>
      <c r="O10" s="90"/>
      <c r="P10" s="487"/>
      <c r="Q10" s="487"/>
      <c r="R10" s="487"/>
      <c r="S10" s="487"/>
      <c r="T10" s="80"/>
      <c r="U10" s="90"/>
      <c r="V10" s="487"/>
      <c r="W10" s="487"/>
      <c r="X10" s="487"/>
      <c r="Y10" s="487"/>
      <c r="Z10" s="80"/>
      <c r="AG10" s="90"/>
      <c r="AH10" s="487"/>
      <c r="AI10" s="487"/>
      <c r="AJ10" s="487"/>
      <c r="AK10" s="487"/>
      <c r="AL10" s="80"/>
      <c r="AS10" s="90"/>
      <c r="AT10" s="487"/>
      <c r="AU10" s="487"/>
      <c r="AV10" s="487"/>
      <c r="AW10" s="487"/>
      <c r="AX10" s="80"/>
    </row>
    <row r="11" spans="2:57" x14ac:dyDescent="0.25">
      <c r="B11" t="s">
        <v>732</v>
      </c>
      <c r="C11" s="90"/>
      <c r="D11" s="487"/>
      <c r="E11" s="487"/>
      <c r="F11" s="487"/>
      <c r="G11" s="487"/>
      <c r="H11" s="80"/>
      <c r="O11" s="90"/>
      <c r="P11" s="487"/>
      <c r="Q11" s="487"/>
      <c r="R11" s="487"/>
      <c r="S11" s="487"/>
      <c r="T11" s="80"/>
      <c r="U11" s="90"/>
      <c r="V11" s="487"/>
      <c r="W11" s="487"/>
      <c r="X11" s="487"/>
      <c r="Y11" s="487"/>
      <c r="Z11" s="80"/>
      <c r="AG11" s="90"/>
      <c r="AH11" s="487"/>
      <c r="AI11" s="487"/>
      <c r="AJ11" s="487"/>
      <c r="AK11" s="487"/>
      <c r="AL11" s="80"/>
      <c r="AS11" s="90"/>
      <c r="AT11" s="487"/>
      <c r="AU11" s="487"/>
      <c r="AV11" s="487"/>
      <c r="AW11" s="487"/>
      <c r="AX11" s="80"/>
    </row>
    <row r="12" spans="2:57" x14ac:dyDescent="0.25">
      <c r="B12" t="s">
        <v>1926</v>
      </c>
      <c r="C12" s="90"/>
      <c r="D12" s="487"/>
      <c r="E12" s="487"/>
      <c r="F12" s="487"/>
      <c r="G12" s="487"/>
      <c r="H12" s="80"/>
      <c r="O12" s="90"/>
      <c r="P12" s="487"/>
      <c r="Q12" s="487"/>
      <c r="R12" s="487"/>
      <c r="S12" s="487"/>
      <c r="T12" s="80"/>
      <c r="U12" s="90"/>
      <c r="V12" s="487"/>
      <c r="W12" s="487"/>
      <c r="X12" s="487"/>
      <c r="Y12" s="487"/>
      <c r="Z12" s="80"/>
      <c r="AG12" s="90"/>
      <c r="AH12" s="487"/>
      <c r="AI12" s="487"/>
      <c r="AJ12" s="487"/>
      <c r="AK12" s="487"/>
      <c r="AL12" s="80"/>
      <c r="AS12" s="90"/>
      <c r="AT12" s="487"/>
      <c r="AU12" s="487"/>
      <c r="AV12" s="487"/>
      <c r="AW12" s="487"/>
      <c r="AX12" s="80"/>
    </row>
    <row r="13" spans="2:57" x14ac:dyDescent="0.25">
      <c r="B13" s="417" t="s">
        <v>674</v>
      </c>
      <c r="C13" s="517"/>
      <c r="D13" s="518"/>
      <c r="E13" s="518"/>
      <c r="F13" s="518"/>
      <c r="G13" s="518"/>
      <c r="H13" s="519"/>
      <c r="I13" s="417"/>
      <c r="J13" s="417"/>
      <c r="K13" s="417"/>
      <c r="L13" s="417"/>
      <c r="M13" s="417"/>
      <c r="N13" s="417"/>
      <c r="O13" s="517"/>
      <c r="P13" s="518"/>
      <c r="Q13" s="518"/>
      <c r="R13" s="518"/>
      <c r="S13" s="518"/>
      <c r="T13" s="519"/>
      <c r="U13" s="517"/>
      <c r="V13" s="518"/>
      <c r="W13" s="518"/>
      <c r="X13" s="518"/>
      <c r="Y13" s="518"/>
      <c r="Z13" s="519"/>
      <c r="AA13" s="417"/>
      <c r="AB13" s="417"/>
      <c r="AC13" s="417"/>
      <c r="AD13" s="417"/>
      <c r="AE13" s="417"/>
      <c r="AF13" s="417"/>
      <c r="AG13" s="517"/>
      <c r="AH13" s="518"/>
      <c r="AI13" s="518"/>
      <c r="AJ13" s="518"/>
      <c r="AK13" s="518"/>
      <c r="AL13" s="519"/>
      <c r="AM13" s="417"/>
      <c r="AN13" s="417"/>
      <c r="AO13" s="417"/>
      <c r="AP13" s="417"/>
      <c r="AQ13" s="417"/>
      <c r="AR13" s="417"/>
      <c r="AS13" s="517"/>
      <c r="AT13" s="518"/>
      <c r="AU13" s="518"/>
      <c r="AV13" s="518"/>
      <c r="AW13" s="518"/>
      <c r="AX13" s="519"/>
    </row>
    <row r="14" spans="2:57" x14ac:dyDescent="0.25">
      <c r="B14" s="417" t="s">
        <v>675</v>
      </c>
      <c r="C14" s="517"/>
      <c r="D14" s="518"/>
      <c r="E14" s="518"/>
      <c r="F14" s="518"/>
      <c r="G14" s="518"/>
      <c r="H14" s="519"/>
      <c r="I14" s="417"/>
      <c r="J14" s="417"/>
      <c r="K14" s="417"/>
      <c r="L14" s="417"/>
      <c r="M14" s="417"/>
      <c r="N14" s="417"/>
      <c r="O14" s="517"/>
      <c r="P14" s="518"/>
      <c r="Q14" s="518"/>
      <c r="R14" s="518"/>
      <c r="S14" s="518"/>
      <c r="T14" s="519"/>
      <c r="U14" s="517"/>
      <c r="V14" s="518"/>
      <c r="W14" s="518"/>
      <c r="X14" s="518"/>
      <c r="Y14" s="518"/>
      <c r="Z14" s="519"/>
      <c r="AA14" s="417"/>
      <c r="AB14" s="417"/>
      <c r="AC14" s="417"/>
      <c r="AD14" s="417"/>
      <c r="AE14" s="417"/>
      <c r="AF14" s="417"/>
      <c r="AG14" s="517"/>
      <c r="AH14" s="518"/>
      <c r="AI14" s="518"/>
      <c r="AJ14" s="518"/>
      <c r="AK14" s="518"/>
      <c r="AL14" s="519"/>
      <c r="AM14" s="417"/>
      <c r="AN14" s="417"/>
      <c r="AO14" s="417"/>
      <c r="AP14" s="417"/>
      <c r="AQ14" s="417"/>
      <c r="AR14" s="417"/>
      <c r="AS14" s="517"/>
      <c r="AT14" s="518"/>
      <c r="AU14" s="518"/>
      <c r="AV14" s="518"/>
      <c r="AW14" s="518"/>
      <c r="AX14" s="519"/>
    </row>
    <row r="15" spans="2:57" x14ac:dyDescent="0.25">
      <c r="B15" s="417" t="s">
        <v>1927</v>
      </c>
      <c r="C15" s="517"/>
      <c r="D15" s="518"/>
      <c r="E15" s="518"/>
      <c r="F15" s="518"/>
      <c r="G15" s="518"/>
      <c r="H15" s="519"/>
      <c r="I15" s="417"/>
      <c r="J15" s="417"/>
      <c r="K15" s="417"/>
      <c r="L15" s="417"/>
      <c r="M15" s="417"/>
      <c r="N15" s="417"/>
      <c r="O15" s="517"/>
      <c r="P15" s="518"/>
      <c r="Q15" s="518"/>
      <c r="R15" s="518"/>
      <c r="S15" s="518"/>
      <c r="T15" s="519"/>
      <c r="U15" s="517"/>
      <c r="V15" s="518"/>
      <c r="W15" s="518"/>
      <c r="X15" s="518"/>
      <c r="Y15" s="518"/>
      <c r="Z15" s="519"/>
      <c r="AA15" s="417"/>
      <c r="AB15" s="417"/>
      <c r="AC15" s="417"/>
      <c r="AD15" s="417"/>
      <c r="AE15" s="417"/>
      <c r="AF15" s="417"/>
      <c r="AG15" s="517"/>
      <c r="AH15" s="518"/>
      <c r="AI15" s="518"/>
      <c r="AJ15" s="518"/>
      <c r="AK15" s="518"/>
      <c r="AL15" s="519"/>
      <c r="AM15" s="417"/>
      <c r="AN15" s="417"/>
      <c r="AO15" s="417"/>
      <c r="AP15" s="417"/>
      <c r="AQ15" s="417"/>
      <c r="AR15" s="417"/>
      <c r="AS15" s="517"/>
      <c r="AT15" s="518"/>
      <c r="AU15" s="518"/>
      <c r="AV15" s="518"/>
      <c r="AW15" s="518"/>
      <c r="AX15" s="519"/>
      <c r="BE15" t="e">
        <f>AR15/AR21</f>
        <v>#DIV/0!</v>
      </c>
    </row>
    <row r="16" spans="2:57" x14ac:dyDescent="0.25">
      <c r="B16" t="s">
        <v>684</v>
      </c>
      <c r="C16" s="90"/>
      <c r="D16" s="487"/>
      <c r="E16" s="487"/>
      <c r="F16" s="487"/>
      <c r="G16" s="487"/>
      <c r="H16" s="80"/>
      <c r="O16" s="90"/>
      <c r="P16" s="487"/>
      <c r="Q16" s="487"/>
      <c r="R16" s="487"/>
      <c r="S16" s="487"/>
      <c r="T16" s="80"/>
      <c r="U16" s="90"/>
      <c r="V16" s="487"/>
      <c r="W16" s="487"/>
      <c r="X16" s="487"/>
      <c r="Y16" s="487"/>
      <c r="Z16" s="80"/>
      <c r="AG16" s="90"/>
      <c r="AH16" s="487"/>
      <c r="AI16" s="487"/>
      <c r="AJ16" s="487"/>
      <c r="AK16" s="487"/>
      <c r="AL16" s="80"/>
      <c r="AS16" s="90"/>
      <c r="AT16" s="487"/>
      <c r="AU16" s="487"/>
      <c r="AV16" s="487"/>
      <c r="AW16" s="487"/>
      <c r="AX16" s="80"/>
    </row>
    <row r="17" spans="2:50" x14ac:dyDescent="0.25">
      <c r="B17" t="s">
        <v>1928</v>
      </c>
      <c r="C17" s="90"/>
      <c r="D17" s="487"/>
      <c r="E17" s="487"/>
      <c r="F17" s="487"/>
      <c r="G17" s="487"/>
      <c r="H17" s="80"/>
      <c r="O17" s="90"/>
      <c r="P17" s="487"/>
      <c r="Q17" s="487"/>
      <c r="R17" s="487"/>
      <c r="S17" s="487"/>
      <c r="T17" s="80"/>
      <c r="U17" s="90"/>
      <c r="V17" s="487"/>
      <c r="W17" s="487"/>
      <c r="X17" s="487"/>
      <c r="Y17" s="487"/>
      <c r="Z17" s="80"/>
      <c r="AG17" s="90"/>
      <c r="AH17" s="487"/>
      <c r="AI17" s="487"/>
      <c r="AJ17" s="487"/>
      <c r="AK17" s="487"/>
      <c r="AL17" s="80"/>
      <c r="AS17" s="90"/>
      <c r="AT17" s="487"/>
      <c r="AU17" s="487"/>
      <c r="AV17" s="487"/>
      <c r="AW17" s="487"/>
      <c r="AX17" s="80"/>
    </row>
    <row r="18" spans="2:50" x14ac:dyDescent="0.25">
      <c r="B18" s="417" t="s">
        <v>1929</v>
      </c>
      <c r="C18" s="517"/>
      <c r="D18" s="518"/>
      <c r="E18" s="518"/>
      <c r="F18" s="518"/>
      <c r="G18" s="518"/>
      <c r="H18" s="519"/>
      <c r="I18" s="417"/>
      <c r="J18" s="417"/>
      <c r="K18" s="417"/>
      <c r="L18" s="417"/>
      <c r="M18" s="417"/>
      <c r="N18" s="417"/>
      <c r="O18" s="517"/>
      <c r="P18" s="518"/>
      <c r="Q18" s="518"/>
      <c r="R18" s="518"/>
      <c r="S18" s="518"/>
      <c r="T18" s="519"/>
      <c r="U18" s="517"/>
      <c r="V18" s="518"/>
      <c r="W18" s="518"/>
      <c r="X18" s="518"/>
      <c r="Y18" s="518"/>
      <c r="Z18" s="519"/>
      <c r="AA18" s="417"/>
      <c r="AB18" s="417"/>
      <c r="AC18" s="417"/>
      <c r="AD18" s="417"/>
      <c r="AE18" s="417"/>
      <c r="AF18" s="417"/>
      <c r="AG18" s="517"/>
      <c r="AH18" s="518"/>
      <c r="AI18" s="518"/>
      <c r="AJ18" s="518"/>
      <c r="AK18" s="518"/>
      <c r="AL18" s="519"/>
      <c r="AM18" s="417"/>
      <c r="AN18" s="417"/>
      <c r="AO18" s="417"/>
      <c r="AP18" s="417"/>
      <c r="AQ18" s="417"/>
      <c r="AR18" s="417"/>
      <c r="AS18" s="517"/>
      <c r="AT18" s="518"/>
      <c r="AU18" s="518"/>
      <c r="AV18" s="518"/>
      <c r="AW18" s="518"/>
      <c r="AX18" s="519"/>
    </row>
    <row r="19" spans="2:50" x14ac:dyDescent="0.25">
      <c r="B19" t="s">
        <v>1930</v>
      </c>
      <c r="C19" s="90"/>
      <c r="D19" s="487"/>
      <c r="E19" s="487"/>
      <c r="F19" s="487"/>
      <c r="G19" s="487"/>
      <c r="H19" s="80"/>
      <c r="O19" s="90"/>
      <c r="P19" s="487"/>
      <c r="Q19" s="487"/>
      <c r="R19" s="487"/>
      <c r="S19" s="487"/>
      <c r="T19" s="80"/>
      <c r="U19" s="90"/>
      <c r="V19" s="487"/>
      <c r="W19" s="487"/>
      <c r="X19" s="487"/>
      <c r="Y19" s="487"/>
      <c r="Z19" s="80"/>
      <c r="AG19" s="90"/>
      <c r="AH19" s="487"/>
      <c r="AI19" s="487"/>
      <c r="AJ19" s="487"/>
      <c r="AK19" s="487"/>
      <c r="AL19" s="80"/>
      <c r="AS19" s="90"/>
      <c r="AT19" s="487"/>
      <c r="AU19" s="487"/>
      <c r="AV19" s="487"/>
      <c r="AW19" s="487"/>
      <c r="AX19" s="80"/>
    </row>
    <row r="20" spans="2:50" x14ac:dyDescent="0.25">
      <c r="C20" s="90"/>
      <c r="D20" s="487"/>
      <c r="E20" s="487"/>
      <c r="F20" s="487"/>
      <c r="G20" s="487"/>
      <c r="H20" s="80"/>
      <c r="O20" s="90"/>
      <c r="P20" s="487"/>
      <c r="Q20" s="487"/>
      <c r="R20" s="487"/>
      <c r="S20" s="487"/>
      <c r="T20" s="80"/>
      <c r="U20" s="90"/>
      <c r="V20" s="487"/>
      <c r="W20" s="487"/>
      <c r="X20" s="487"/>
      <c r="Y20" s="487"/>
      <c r="Z20" s="80"/>
      <c r="AG20" s="90"/>
      <c r="AH20" s="487"/>
      <c r="AI20" s="487"/>
      <c r="AJ20" s="487"/>
      <c r="AK20" s="487"/>
      <c r="AL20" s="80"/>
      <c r="AS20" s="90"/>
      <c r="AT20" s="487"/>
      <c r="AU20" s="487"/>
      <c r="AV20" s="487"/>
      <c r="AW20" s="487"/>
      <c r="AX20" s="80"/>
    </row>
    <row r="21" spans="2:50" x14ac:dyDescent="0.25">
      <c r="B21" s="513" t="s">
        <v>1205</v>
      </c>
      <c r="C21" s="90"/>
      <c r="D21" s="487"/>
      <c r="E21" s="487"/>
      <c r="F21" s="487"/>
      <c r="G21" s="487"/>
      <c r="H21" s="80"/>
      <c r="O21" s="90"/>
      <c r="P21" s="487"/>
      <c r="Q21" s="487"/>
      <c r="R21" s="487"/>
      <c r="S21" s="487"/>
      <c r="T21" s="80"/>
      <c r="U21" s="90"/>
      <c r="V21" s="487"/>
      <c r="W21" s="487"/>
      <c r="X21" s="487"/>
      <c r="Y21" s="487"/>
      <c r="Z21" s="80"/>
      <c r="AG21" s="90"/>
      <c r="AH21" s="487"/>
      <c r="AI21" s="487"/>
      <c r="AJ21" s="487"/>
      <c r="AK21" s="487"/>
      <c r="AL21" s="80"/>
      <c r="AS21" s="90"/>
      <c r="AT21" s="487"/>
      <c r="AU21" s="487"/>
      <c r="AV21" s="487"/>
      <c r="AW21" s="487"/>
      <c r="AX21" s="80"/>
    </row>
    <row r="22" spans="2:50" x14ac:dyDescent="0.25">
      <c r="B22" s="514" t="s">
        <v>1931</v>
      </c>
      <c r="C22" s="90"/>
      <c r="D22" s="487"/>
      <c r="E22" s="487"/>
      <c r="F22" s="487"/>
      <c r="G22" s="487"/>
      <c r="H22" s="80"/>
      <c r="O22" s="90"/>
      <c r="P22" s="487"/>
      <c r="Q22" s="487"/>
      <c r="R22" s="487"/>
      <c r="S22" s="487"/>
      <c r="T22" s="80"/>
      <c r="U22" s="90"/>
      <c r="V22" s="487"/>
      <c r="W22" s="487"/>
      <c r="X22" s="487"/>
      <c r="Y22" s="487"/>
      <c r="Z22" s="80"/>
      <c r="AG22" s="90"/>
      <c r="AH22" s="487"/>
      <c r="AI22" s="487"/>
      <c r="AJ22" s="487"/>
      <c r="AK22" s="487"/>
      <c r="AL22" s="80"/>
      <c r="AS22" s="90"/>
      <c r="AT22" s="487"/>
      <c r="AU22" s="487"/>
      <c r="AV22" s="487"/>
      <c r="AW22" s="487"/>
      <c r="AX22" s="80"/>
    </row>
    <row r="23" spans="2:50" x14ac:dyDescent="0.25">
      <c r="B23" s="514" t="s">
        <v>1932</v>
      </c>
      <c r="C23" s="90"/>
      <c r="D23" s="487"/>
      <c r="E23" s="487"/>
      <c r="F23" s="487"/>
      <c r="G23" s="487"/>
      <c r="H23" s="80"/>
      <c r="O23" s="90"/>
      <c r="P23" s="487"/>
      <c r="Q23" s="487"/>
      <c r="R23" s="487"/>
      <c r="S23" s="487"/>
      <c r="T23" s="80"/>
      <c r="U23" s="90"/>
      <c r="V23" s="487"/>
      <c r="W23" s="487"/>
      <c r="X23" s="487"/>
      <c r="Y23" s="487"/>
      <c r="Z23" s="80"/>
      <c r="AG23" s="90"/>
      <c r="AH23" s="487"/>
      <c r="AI23" s="487"/>
      <c r="AJ23" s="487"/>
      <c r="AK23" s="487"/>
      <c r="AL23" s="80"/>
      <c r="AS23" s="90"/>
      <c r="AT23" s="487"/>
      <c r="AU23" s="487"/>
      <c r="AV23" s="487"/>
      <c r="AW23" s="487"/>
      <c r="AX23" s="80"/>
    </row>
    <row r="24" spans="2:50" x14ac:dyDescent="0.25">
      <c r="B24" s="515" t="s">
        <v>1933</v>
      </c>
      <c r="C24" s="90"/>
      <c r="D24" s="487"/>
      <c r="E24" s="487"/>
      <c r="F24" s="487"/>
      <c r="G24" s="487"/>
      <c r="H24" s="80"/>
      <c r="O24" s="90"/>
      <c r="P24" s="487"/>
      <c r="Q24" s="487"/>
      <c r="R24" s="487"/>
      <c r="S24" s="487"/>
      <c r="T24" s="80"/>
      <c r="U24" s="90"/>
      <c r="V24" s="487"/>
      <c r="W24" s="487"/>
      <c r="X24" s="487"/>
      <c r="Y24" s="487"/>
      <c r="Z24" s="80"/>
      <c r="AG24" s="90"/>
      <c r="AH24" s="487"/>
      <c r="AI24" s="487"/>
      <c r="AJ24" s="487"/>
      <c r="AK24" s="487"/>
      <c r="AL24" s="80"/>
      <c r="AS24" s="90"/>
      <c r="AT24" s="487"/>
      <c r="AU24" s="487"/>
      <c r="AV24" s="487"/>
      <c r="AW24" s="487"/>
      <c r="AX24" s="80"/>
    </row>
    <row r="33" spans="1:35" x14ac:dyDescent="0.25">
      <c r="A33" s="420"/>
      <c r="B33" s="420"/>
      <c r="C33" s="420" t="s">
        <v>1885</v>
      </c>
      <c r="D33" s="420"/>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row>
    <row r="39" spans="1:35" x14ac:dyDescent="0.25">
      <c r="C39" s="9" t="s">
        <v>1906</v>
      </c>
      <c r="G39" s="15" t="s">
        <v>2314</v>
      </c>
    </row>
    <row r="40" spans="1:35" ht="150" x14ac:dyDescent="0.25">
      <c r="E40" s="300" t="s">
        <v>2082</v>
      </c>
      <c r="F40" s="300" t="s">
        <v>2338</v>
      </c>
      <c r="G40" s="300" t="s">
        <v>2337</v>
      </c>
      <c r="H40" s="300" t="s">
        <v>2336</v>
      </c>
      <c r="I40" s="300" t="s">
        <v>2335</v>
      </c>
      <c r="J40" s="300" t="s">
        <v>2339</v>
      </c>
      <c r="K40" s="300" t="s">
        <v>2340</v>
      </c>
    </row>
    <row r="41" spans="1:35" x14ac:dyDescent="0.25">
      <c r="D41" t="s">
        <v>2218</v>
      </c>
      <c r="E41" s="516" t="s">
        <v>2012</v>
      </c>
      <c r="F41" s="516" t="s">
        <v>2013</v>
      </c>
      <c r="G41" s="516" t="s">
        <v>2014</v>
      </c>
      <c r="H41" s="516" t="s">
        <v>2018</v>
      </c>
      <c r="I41" s="516" t="s">
        <v>2019</v>
      </c>
      <c r="J41" s="516" t="s">
        <v>2020</v>
      </c>
      <c r="K41" s="516" t="s">
        <v>2021</v>
      </c>
    </row>
    <row r="42" spans="1:35" x14ac:dyDescent="0.25">
      <c r="B42" t="s">
        <v>2115</v>
      </c>
      <c r="C42" t="str">
        <f>LCA_Shortlist!V42</f>
        <v>BAU_0</v>
      </c>
      <c r="D42">
        <f>ROUND(LCA_Shortlist!T64,0)</f>
        <v>0</v>
      </c>
      <c r="E42">
        <v>3.3776148020040253E-2</v>
      </c>
      <c r="F42">
        <v>5.4250140276563598E-4</v>
      </c>
      <c r="G42">
        <v>0.78154738832555803</v>
      </c>
      <c r="H42">
        <v>5.8961630847023054E-6</v>
      </c>
      <c r="I42">
        <v>2.636256788284794E-9</v>
      </c>
      <c r="J42">
        <v>6.0691491244230312E-9</v>
      </c>
      <c r="K42">
        <v>2.462544254866309E-4</v>
      </c>
      <c r="L42" s="557" t="s">
        <v>2298</v>
      </c>
    </row>
    <row r="43" spans="1:35" x14ac:dyDescent="0.25">
      <c r="C43" t="str">
        <f>LCA_Shortlist!V43</f>
        <v>BAU_2</v>
      </c>
      <c r="D43">
        <f>ROUND(LCA_Shortlist!T66,0)</f>
        <v>2</v>
      </c>
      <c r="E43">
        <v>3.338715079104039E-2</v>
      </c>
      <c r="F43">
        <v>5.4018971611557315E-4</v>
      </c>
      <c r="G43">
        <v>0.78305807413921014</v>
      </c>
      <c r="H43">
        <v>5.8634907955578784E-6</v>
      </c>
      <c r="I43">
        <v>2.607048207138121E-9</v>
      </c>
      <c r="J43">
        <v>6.0264636482747182E-9</v>
      </c>
      <c r="K43">
        <v>2.4419459632012071E-4</v>
      </c>
      <c r="L43" s="557" t="s">
        <v>2299</v>
      </c>
    </row>
    <row r="44" spans="1:35" x14ac:dyDescent="0.25">
      <c r="C44" t="str">
        <f>LCA_Shortlist!V44</f>
        <v>BAU_4</v>
      </c>
      <c r="D44">
        <f>ROUND(LCA_Shortlist!T68,0)</f>
        <v>4</v>
      </c>
      <c r="E44">
        <v>3.2619520563472823E-2</v>
      </c>
      <c r="F44">
        <v>5.3435384660569549E-4</v>
      </c>
      <c r="G44">
        <v>0.77958009599558142</v>
      </c>
      <c r="H44">
        <v>5.7741935460375827E-6</v>
      </c>
      <c r="I44">
        <v>2.3912582900426109E-9</v>
      </c>
      <c r="J44">
        <v>5.9739399312086404E-9</v>
      </c>
      <c r="K44">
        <v>2.4090743923568271E-4</v>
      </c>
      <c r="L44" s="557" t="s">
        <v>2300</v>
      </c>
    </row>
    <row r="45" spans="1:35" x14ac:dyDescent="0.25">
      <c r="C45" t="str">
        <f>LCA_Shortlist!V45</f>
        <v>BAU_6</v>
      </c>
      <c r="D45">
        <f>ROUND(LCA_Shortlist!T69,0)</f>
        <v>6</v>
      </c>
      <c r="E45">
        <v>3.2274834657500133E-2</v>
      </c>
      <c r="F45">
        <v>5.3138457669656125E-4</v>
      </c>
      <c r="G45">
        <v>0.77945702024678765</v>
      </c>
      <c r="H45">
        <v>5.7402271026725729E-6</v>
      </c>
      <c r="I45">
        <v>2.353084384602636E-9</v>
      </c>
      <c r="J45">
        <v>5.9371450147578132E-9</v>
      </c>
      <c r="K45">
        <v>2.3933029968735021E-4</v>
      </c>
      <c r="L45" s="557" t="s">
        <v>2301</v>
      </c>
    </row>
    <row r="46" spans="1:35" x14ac:dyDescent="0.25">
      <c r="C46" t="str">
        <f>LCA_Shortlist!V46</f>
        <v>BAU_10</v>
      </c>
      <c r="D46">
        <f>ROUND(LCA_Shortlist!T70,0)</f>
        <v>10</v>
      </c>
      <c r="E46">
        <v>3.1579152855736918E-2</v>
      </c>
      <c r="F46">
        <v>5.2337830053175618E-4</v>
      </c>
      <c r="G46">
        <v>0.77971483207808201</v>
      </c>
      <c r="H46">
        <v>5.6610650279582172E-6</v>
      </c>
      <c r="I46">
        <v>2.2931722680812572E-9</v>
      </c>
      <c r="J46">
        <v>5.8076817614430157E-9</v>
      </c>
      <c r="K46">
        <v>2.340821357742E-4</v>
      </c>
      <c r="L46" s="557" t="s">
        <v>2302</v>
      </c>
    </row>
    <row r="47" spans="1:35" x14ac:dyDescent="0.25">
      <c r="C47" t="str">
        <f>LCA_Shortlist!V47</f>
        <v>BAU_14</v>
      </c>
      <c r="D47">
        <f>ROUND(LCA_Shortlist!T71,0)</f>
        <v>14</v>
      </c>
      <c r="E47">
        <v>3.0436166750231652E-2</v>
      </c>
      <c r="F47">
        <v>5.1040674911034041E-4</v>
      </c>
      <c r="G47">
        <v>0.76955512331709697</v>
      </c>
      <c r="H47">
        <v>5.4813069182941299E-6</v>
      </c>
      <c r="I47">
        <v>2.1492949184451471E-9</v>
      </c>
      <c r="J47">
        <v>5.717544394429625E-9</v>
      </c>
      <c r="K47">
        <v>2.2832531080735699E-4</v>
      </c>
      <c r="L47" s="557" t="s">
        <v>2303</v>
      </c>
    </row>
    <row r="48" spans="1:35" x14ac:dyDescent="0.25">
      <c r="B48" t="s">
        <v>2117</v>
      </c>
      <c r="C48" t="str">
        <f>LCA_Shortlist!V48</f>
        <v>BAU_17</v>
      </c>
      <c r="D48">
        <f>ROUND(LCA_Shortlist!T73,0)</f>
        <v>17</v>
      </c>
      <c r="E48">
        <v>2.9702750844606829E-2</v>
      </c>
      <c r="F48">
        <v>5.0134575791966609E-4</v>
      </c>
      <c r="G48">
        <v>0.7612354783535753</v>
      </c>
      <c r="H48">
        <v>5.3281184821894548E-6</v>
      </c>
      <c r="I48">
        <v>2.024880445402413E-9</v>
      </c>
      <c r="J48">
        <v>5.6455966518458438E-9</v>
      </c>
      <c r="K48">
        <v>2.2419365150387149E-4</v>
      </c>
      <c r="L48" s="557" t="s">
        <v>2304</v>
      </c>
    </row>
    <row r="49" spans="2:12" x14ac:dyDescent="0.25">
      <c r="B49" t="s">
        <v>2116</v>
      </c>
      <c r="C49" t="str">
        <f>LCA_Shortlist!V49</f>
        <v>BAU_BAU_CH_0</v>
      </c>
      <c r="D49" s="460">
        <f>AX15</f>
        <v>0</v>
      </c>
      <c r="E49">
        <v>0.15570188024635151</v>
      </c>
      <c r="F49">
        <v>4.5882606322762692E-4</v>
      </c>
      <c r="G49">
        <v>0.59335130012187376</v>
      </c>
      <c r="H49">
        <v>4.2025364988466408E-6</v>
      </c>
      <c r="I49">
        <v>9.3368027440236799E-9</v>
      </c>
      <c r="J49">
        <v>2.3298461921806081E-9</v>
      </c>
      <c r="K49">
        <v>2.730164565078452E-4</v>
      </c>
      <c r="L49" s="557" t="s">
        <v>2305</v>
      </c>
    </row>
    <row r="50" spans="2:12" x14ac:dyDescent="0.25">
      <c r="C50" t="str">
        <f>LCA_Shortlist!V50</f>
        <v>LOW_0</v>
      </c>
      <c r="D50" s="460">
        <f>D42</f>
        <v>0</v>
      </c>
      <c r="E50">
        <v>2.6024076439752269E-2</v>
      </c>
      <c r="F50">
        <v>5.3284583627005461E-4</v>
      </c>
      <c r="G50">
        <v>0.7809320167403504</v>
      </c>
      <c r="H50">
        <v>5.945092989076515E-6</v>
      </c>
      <c r="I50">
        <v>2.6502574898983632E-9</v>
      </c>
      <c r="J50">
        <v>6.0205752652415374E-9</v>
      </c>
      <c r="K50">
        <v>2.408643888698364E-4</v>
      </c>
      <c r="L50" s="557" t="s">
        <v>2306</v>
      </c>
    </row>
    <row r="51" spans="2:12" x14ac:dyDescent="0.25">
      <c r="C51" t="str">
        <f>LCA_Shortlist!V51</f>
        <v>LOW_2</v>
      </c>
      <c r="D51" s="460">
        <f t="shared" ref="D51:D57" si="0">D43</f>
        <v>2</v>
      </c>
      <c r="E51">
        <v>2.572404326739312E-2</v>
      </c>
      <c r="F51">
        <v>5.3082378622571575E-4</v>
      </c>
      <c r="G51">
        <v>0.78256542283193786</v>
      </c>
      <c r="H51">
        <v>5.9127923044348324E-6</v>
      </c>
      <c r="I51">
        <v>2.6192125953180449E-9</v>
      </c>
      <c r="J51">
        <v>5.980631837939844E-9</v>
      </c>
      <c r="K51">
        <v>2.3896926131512249E-4</v>
      </c>
      <c r="L51" s="557" t="s">
        <v>2307</v>
      </c>
    </row>
    <row r="52" spans="2:12" x14ac:dyDescent="0.25">
      <c r="C52" t="str">
        <f>LCA_Shortlist!V52</f>
        <v>LOW_4</v>
      </c>
      <c r="D52" s="460">
        <f t="shared" si="0"/>
        <v>4</v>
      </c>
      <c r="E52">
        <v>2.5163542984303421E-2</v>
      </c>
      <c r="F52">
        <v>5.2515783743211275E-4</v>
      </c>
      <c r="G52">
        <v>0.77898382853173442</v>
      </c>
      <c r="H52">
        <v>5.8213618183353167E-6</v>
      </c>
      <c r="I52">
        <v>2.4077872203353258E-9</v>
      </c>
      <c r="J52">
        <v>5.9311311438319813E-9</v>
      </c>
      <c r="K52">
        <v>2.3580259549097629E-4</v>
      </c>
      <c r="L52" s="557" t="s">
        <v>2308</v>
      </c>
    </row>
    <row r="53" spans="2:12" x14ac:dyDescent="0.25">
      <c r="C53" t="str">
        <f>LCA_Shortlist!V53</f>
        <v>LOW_6</v>
      </c>
      <c r="D53" s="460">
        <f t="shared" si="0"/>
        <v>6</v>
      </c>
      <c r="E53">
        <v>2.4905361552227251E-2</v>
      </c>
      <c r="F53">
        <v>5.2228806380899355E-4</v>
      </c>
      <c r="G53">
        <v>0.77881240832702525</v>
      </c>
      <c r="H53">
        <v>5.786879853238683E-6</v>
      </c>
      <c r="I53">
        <v>2.370018017567342E-9</v>
      </c>
      <c r="J53">
        <v>5.8954248581901946E-9</v>
      </c>
      <c r="K53">
        <v>2.3429351201122449E-4</v>
      </c>
      <c r="L53" s="557" t="s">
        <v>2309</v>
      </c>
    </row>
    <row r="54" spans="2:12" x14ac:dyDescent="0.25">
      <c r="C54" t="str">
        <f>LCA_Shortlist!V54</f>
        <v>LOW_10</v>
      </c>
      <c r="D54" s="460">
        <f t="shared" si="0"/>
        <v>10</v>
      </c>
      <c r="E54">
        <v>2.443506261832357E-2</v>
      </c>
      <c r="F54">
        <v>5.1456508886042599E-4</v>
      </c>
      <c r="G54">
        <v>0.77899966811238397</v>
      </c>
      <c r="H54">
        <v>5.7063925637010912E-6</v>
      </c>
      <c r="I54">
        <v>2.3104202271726499E-9</v>
      </c>
      <c r="J54">
        <v>5.7683368211411381E-9</v>
      </c>
      <c r="K54">
        <v>2.2921196516009719E-4</v>
      </c>
      <c r="L54" s="557" t="s">
        <v>2310</v>
      </c>
    </row>
    <row r="55" spans="2:12" x14ac:dyDescent="0.25">
      <c r="C55" t="str">
        <f>LCA_Shortlist!V55</f>
        <v>LOW_14</v>
      </c>
      <c r="D55" s="460">
        <f t="shared" si="0"/>
        <v>14</v>
      </c>
      <c r="E55">
        <v>2.36844920684917E-2</v>
      </c>
      <c r="F55">
        <v>5.0186373871657431E-4</v>
      </c>
      <c r="G55">
        <v>0.76865872514697842</v>
      </c>
      <c r="H55">
        <v>5.5225422512782564E-6</v>
      </c>
      <c r="I55">
        <v>2.1750392576607998E-9</v>
      </c>
      <c r="J55">
        <v>5.6830916474044948E-9</v>
      </c>
      <c r="K55">
        <v>2.236681153342646E-4</v>
      </c>
      <c r="L55" s="557" t="s">
        <v>2311</v>
      </c>
    </row>
    <row r="56" spans="2:12" x14ac:dyDescent="0.25">
      <c r="C56" t="str">
        <f>LCA_Shortlist!V56</f>
        <v>LOW_17</v>
      </c>
      <c r="D56" s="460">
        <f t="shared" si="0"/>
        <v>17</v>
      </c>
      <c r="E56">
        <v>2.3197110403463068E-2</v>
      </c>
      <c r="F56">
        <v>4.9320971395636656E-4</v>
      </c>
      <c r="G56">
        <v>0.76049817963987276</v>
      </c>
      <c r="H56">
        <v>5.3678116350224274E-6</v>
      </c>
      <c r="I56">
        <v>2.0525706391135631E-9</v>
      </c>
      <c r="J56">
        <v>5.6168537563388633E-9</v>
      </c>
      <c r="K56">
        <v>2.1979009716841449E-4</v>
      </c>
      <c r="L56" s="557" t="s">
        <v>2312</v>
      </c>
    </row>
    <row r="57" spans="2:12" x14ac:dyDescent="0.25">
      <c r="C57" t="str">
        <f>LCA_Shortlist!V57</f>
        <v>LOW_BAU_CH_0</v>
      </c>
      <c r="D57" s="460">
        <f t="shared" si="0"/>
        <v>0</v>
      </c>
      <c r="E57">
        <v>0.14706578389829719</v>
      </c>
      <c r="F57">
        <v>4.5936822342995258E-4</v>
      </c>
      <c r="G57">
        <v>0.60636158051549249</v>
      </c>
      <c r="H57">
        <v>4.3151380053780072E-6</v>
      </c>
      <c r="I57">
        <v>9.1319067275888445E-9</v>
      </c>
      <c r="J57">
        <v>2.369131632050822E-9</v>
      </c>
      <c r="K57">
        <v>2.7171983816120778E-4</v>
      </c>
      <c r="L57" s="557" t="s">
        <v>2313</v>
      </c>
    </row>
    <row r="58" spans="2:12" x14ac:dyDescent="0.25">
      <c r="D58" s="460"/>
      <c r="H58" s="70"/>
      <c r="I58" s="70"/>
      <c r="J58" s="70"/>
    </row>
    <row r="59" spans="2:12" x14ac:dyDescent="0.25">
      <c r="D59" s="460"/>
      <c r="H59" s="70"/>
      <c r="I59" s="70"/>
      <c r="J59" s="70"/>
    </row>
    <row r="60" spans="2:12" x14ac:dyDescent="0.25">
      <c r="D60" s="460"/>
      <c r="H60" s="70"/>
      <c r="I60" s="70"/>
      <c r="J60" s="70"/>
    </row>
    <row r="62" spans="2:12" x14ac:dyDescent="0.25">
      <c r="C62" s="9" t="s">
        <v>2315</v>
      </c>
    </row>
    <row r="64" spans="2:12" x14ac:dyDescent="0.25">
      <c r="D64" t="s">
        <v>2218</v>
      </c>
      <c r="E64" s="516" t="s">
        <v>2012</v>
      </c>
      <c r="F64" s="516" t="s">
        <v>2013</v>
      </c>
      <c r="G64" s="516" t="s">
        <v>2014</v>
      </c>
      <c r="H64" s="516" t="s">
        <v>2018</v>
      </c>
      <c r="I64" s="516" t="s">
        <v>2019</v>
      </c>
      <c r="J64" s="516" t="s">
        <v>2020</v>
      </c>
      <c r="K64" s="516" t="s">
        <v>2021</v>
      </c>
    </row>
    <row r="65" spans="3:12" x14ac:dyDescent="0.25">
      <c r="C65" t="s">
        <v>2136</v>
      </c>
      <c r="D65">
        <f>D42</f>
        <v>0</v>
      </c>
      <c r="E65">
        <v>3.3780243000348743E-2</v>
      </c>
      <c r="F65">
        <v>5.4251739028158717E-4</v>
      </c>
      <c r="G65">
        <v>0.78157488241182382</v>
      </c>
      <c r="H65">
        <v>5.8962221452699263E-6</v>
      </c>
      <c r="I65">
        <v>2.6362707766888831E-9</v>
      </c>
      <c r="J65">
        <v>6.0692265434785973E-9</v>
      </c>
      <c r="K65">
        <v>2.4626524094857111E-4</v>
      </c>
      <c r="L65" s="557" t="s">
        <v>2120</v>
      </c>
    </row>
    <row r="66" spans="3:12" x14ac:dyDescent="0.25">
      <c r="C66" t="s">
        <v>2137</v>
      </c>
      <c r="D66">
        <f t="shared" ref="D66:D80" si="1">D43</f>
        <v>2</v>
      </c>
      <c r="E66">
        <v>3.4363059660951607E-2</v>
      </c>
      <c r="F66">
        <v>5.4452286695226343E-4</v>
      </c>
      <c r="G66">
        <v>0.80147947553982501</v>
      </c>
      <c r="H66">
        <v>5.8944886663206268E-6</v>
      </c>
      <c r="I66">
        <v>2.6178136742485548E-9</v>
      </c>
      <c r="J66">
        <v>6.1032806812841042E-9</v>
      </c>
      <c r="K66">
        <v>2.4691531890005827E-4</v>
      </c>
      <c r="L66" s="557" t="s">
        <v>2121</v>
      </c>
    </row>
    <row r="67" spans="3:12" x14ac:dyDescent="0.25">
      <c r="C67" t="s">
        <v>2138</v>
      </c>
      <c r="D67">
        <f t="shared" si="1"/>
        <v>4</v>
      </c>
      <c r="E67">
        <v>3.4597732377182007E-2</v>
      </c>
      <c r="F67">
        <v>5.4313797553472664E-4</v>
      </c>
      <c r="G67">
        <v>0.81697898396627155</v>
      </c>
      <c r="H67">
        <v>5.8370571373101939E-6</v>
      </c>
      <c r="I67">
        <v>2.412975725411605E-9</v>
      </c>
      <c r="J67">
        <v>6.1299057226825653E-9</v>
      </c>
      <c r="K67">
        <v>2.4642232470257249E-4</v>
      </c>
      <c r="L67" s="557" t="s">
        <v>2122</v>
      </c>
    </row>
    <row r="68" spans="3:12" x14ac:dyDescent="0.25">
      <c r="C68" t="s">
        <v>2139</v>
      </c>
      <c r="D68">
        <f t="shared" si="1"/>
        <v>6</v>
      </c>
      <c r="E68">
        <v>3.49137929856854E-2</v>
      </c>
      <c r="F68">
        <v>5.4310219672437416E-4</v>
      </c>
      <c r="G68">
        <v>0.82937022840211116</v>
      </c>
      <c r="H68">
        <v>5.8240919437251237E-6</v>
      </c>
      <c r="I68">
        <v>2.3820361088869731E-9</v>
      </c>
      <c r="J68">
        <v>6.14528054459006E-9</v>
      </c>
      <c r="K68">
        <v>2.4668688730692539E-4</v>
      </c>
      <c r="L68" s="557" t="s">
        <v>2123</v>
      </c>
    </row>
    <row r="69" spans="3:12" x14ac:dyDescent="0.25">
      <c r="C69" t="s">
        <v>2140</v>
      </c>
      <c r="D69">
        <f t="shared" si="1"/>
        <v>10</v>
      </c>
      <c r="E69">
        <v>3.5936497558504581E-2</v>
      </c>
      <c r="F69">
        <v>5.4272027673248101E-4</v>
      </c>
      <c r="G69">
        <v>0.86218160629115581</v>
      </c>
      <c r="H69">
        <v>5.7995030001632868E-6</v>
      </c>
      <c r="I69">
        <v>2.3409206362219201E-9</v>
      </c>
      <c r="J69">
        <v>6.1513989703598238E-9</v>
      </c>
      <c r="K69">
        <v>2.4622463812914351E-4</v>
      </c>
      <c r="L69" s="557" t="s">
        <v>2124</v>
      </c>
    </row>
    <row r="70" spans="3:12" x14ac:dyDescent="0.25">
      <c r="C70" t="s">
        <v>2141</v>
      </c>
      <c r="D70">
        <f t="shared" si="1"/>
        <v>14</v>
      </c>
      <c r="E70">
        <v>3.636939572223661E-2</v>
      </c>
      <c r="F70">
        <v>5.3672912360415773E-4</v>
      </c>
      <c r="G70">
        <v>0.881886853220886</v>
      </c>
      <c r="H70">
        <v>5.669553606302464E-6</v>
      </c>
      <c r="I70">
        <v>2.214063142650635E-9</v>
      </c>
      <c r="J70">
        <v>6.1856555766983951E-9</v>
      </c>
      <c r="K70">
        <v>2.448544143073789E-4</v>
      </c>
      <c r="L70" s="557" t="s">
        <v>2125</v>
      </c>
    </row>
    <row r="71" spans="3:12" x14ac:dyDescent="0.25">
      <c r="C71" t="s">
        <v>2142</v>
      </c>
      <c r="D71">
        <f t="shared" si="1"/>
        <v>17</v>
      </c>
      <c r="E71">
        <v>3.7013451181975097E-2</v>
      </c>
      <c r="F71">
        <v>5.3376552906077073E-4</v>
      </c>
      <c r="G71">
        <v>0.89967096146283165</v>
      </c>
      <c r="H71">
        <v>5.5597681094204214E-6</v>
      </c>
      <c r="I71">
        <v>2.1044086602547898E-9</v>
      </c>
      <c r="J71">
        <v>6.2224053670914436E-9</v>
      </c>
      <c r="K71">
        <v>2.4455523228759712E-4</v>
      </c>
      <c r="L71" s="557" t="s">
        <v>2126</v>
      </c>
    </row>
    <row r="72" spans="3:12" x14ac:dyDescent="0.25">
      <c r="C72" t="s">
        <v>1915</v>
      </c>
      <c r="D72">
        <f t="shared" si="1"/>
        <v>0</v>
      </c>
      <c r="E72">
        <v>0.15578681554801579</v>
      </c>
      <c r="F72">
        <v>4.5918517088548998E-4</v>
      </c>
      <c r="G72">
        <v>0.59485447319317541</v>
      </c>
      <c r="H72">
        <v>4.2050391391422822E-6</v>
      </c>
      <c r="I72">
        <v>9.3378607042719322E-9</v>
      </c>
      <c r="J72">
        <v>2.336012127590285E-9</v>
      </c>
      <c r="K72">
        <v>2.7324457884988378E-4</v>
      </c>
      <c r="L72" s="557" t="s">
        <v>2127</v>
      </c>
    </row>
    <row r="73" spans="3:12" x14ac:dyDescent="0.25">
      <c r="C73" t="s">
        <v>2136</v>
      </c>
      <c r="D73">
        <f t="shared" si="1"/>
        <v>0</v>
      </c>
      <c r="E73">
        <v>2.6027153111989689E-2</v>
      </c>
      <c r="F73">
        <v>5.328600730347664E-4</v>
      </c>
      <c r="G73">
        <v>0.7809587259866595</v>
      </c>
      <c r="H73">
        <v>5.94515125304135E-6</v>
      </c>
      <c r="I73">
        <v>2.6502740427611028E-9</v>
      </c>
      <c r="J73">
        <v>6.0206370865597518E-9</v>
      </c>
      <c r="K73">
        <v>2.4087457300913501E-4</v>
      </c>
      <c r="L73" s="557" t="s">
        <v>2128</v>
      </c>
    </row>
    <row r="74" spans="3:12" x14ac:dyDescent="0.25">
      <c r="C74" t="s">
        <v>2137</v>
      </c>
      <c r="D74">
        <f t="shared" si="1"/>
        <v>2</v>
      </c>
      <c r="E74">
        <v>2.6446167346411011E-2</v>
      </c>
      <c r="F74">
        <v>5.3476248174131637E-4</v>
      </c>
      <c r="G74">
        <v>0.80089871021750914</v>
      </c>
      <c r="H74">
        <v>5.9446988417457138E-6</v>
      </c>
      <c r="I74">
        <v>2.6310347660219492E-9</v>
      </c>
      <c r="J74">
        <v>6.0564479918070493E-9</v>
      </c>
      <c r="K74">
        <v>2.4146567356439041E-4</v>
      </c>
      <c r="L74" s="557" t="s">
        <v>2129</v>
      </c>
    </row>
    <row r="75" spans="3:12" x14ac:dyDescent="0.25">
      <c r="C75" t="s">
        <v>2138</v>
      </c>
      <c r="D75">
        <f t="shared" si="1"/>
        <v>4</v>
      </c>
      <c r="E75">
        <v>2.6627278335071509E-2</v>
      </c>
      <c r="F75">
        <v>5.3314238882206776E-4</v>
      </c>
      <c r="G75">
        <v>0.81620440834830144</v>
      </c>
      <c r="H75">
        <v>5.8860710523027938E-6</v>
      </c>
      <c r="I75">
        <v>2.4316519415056299E-9</v>
      </c>
      <c r="J75">
        <v>6.0850811504632846E-9</v>
      </c>
      <c r="K75">
        <v>2.408624394412414E-4</v>
      </c>
      <c r="L75" s="557" t="s">
        <v>2130</v>
      </c>
    </row>
    <row r="76" spans="3:12" x14ac:dyDescent="0.25">
      <c r="C76" t="s">
        <v>2139</v>
      </c>
      <c r="D76">
        <f t="shared" si="1"/>
        <v>6</v>
      </c>
      <c r="E76">
        <v>2.6857983131735329E-2</v>
      </c>
      <c r="F76">
        <v>5.3293903398535431E-4</v>
      </c>
      <c r="G76">
        <v>0.82848782171871815</v>
      </c>
      <c r="H76">
        <v>5.8732082013769046E-6</v>
      </c>
      <c r="I76">
        <v>2.4018355668951188E-9</v>
      </c>
      <c r="J76">
        <v>6.1008758455932057E-9</v>
      </c>
      <c r="K76">
        <v>2.4104295193388739E-4</v>
      </c>
      <c r="L76" s="557" t="s">
        <v>2131</v>
      </c>
    </row>
    <row r="77" spans="3:12" x14ac:dyDescent="0.25">
      <c r="C77" t="s">
        <v>2140</v>
      </c>
      <c r="D77">
        <f t="shared" si="1"/>
        <v>10</v>
      </c>
      <c r="E77">
        <v>2.7659188151839719E-2</v>
      </c>
      <c r="F77">
        <v>5.3214591475649888E-4</v>
      </c>
      <c r="G77">
        <v>0.86107386477600845</v>
      </c>
      <c r="H77">
        <v>5.8489001702260566E-6</v>
      </c>
      <c r="I77">
        <v>2.362903290473968E-9</v>
      </c>
      <c r="J77">
        <v>6.1076311965081057E-9</v>
      </c>
      <c r="K77">
        <v>2.403517724333277E-4</v>
      </c>
      <c r="L77" s="557" t="s">
        <v>2132</v>
      </c>
    </row>
    <row r="78" spans="3:12" x14ac:dyDescent="0.25">
      <c r="C78" t="s">
        <v>2141</v>
      </c>
      <c r="D78">
        <f t="shared" si="1"/>
        <v>14</v>
      </c>
      <c r="E78">
        <v>2.8074830650592669E-2</v>
      </c>
      <c r="F78">
        <v>5.2578766766274692E-4</v>
      </c>
      <c r="G78">
        <v>0.88045545566811301</v>
      </c>
      <c r="H78">
        <v>5.7163259385944169E-6</v>
      </c>
      <c r="I78">
        <v>2.24627438396742E-9</v>
      </c>
      <c r="J78">
        <v>6.1451916444547032E-9</v>
      </c>
      <c r="K78">
        <v>2.388316762494919E-4</v>
      </c>
      <c r="L78" s="557" t="s">
        <v>2133</v>
      </c>
    </row>
    <row r="79" spans="3:12" x14ac:dyDescent="0.25">
      <c r="C79" t="s">
        <v>2142</v>
      </c>
      <c r="D79">
        <f t="shared" si="1"/>
        <v>17</v>
      </c>
      <c r="E79">
        <v>2.8606843869293651E-2</v>
      </c>
      <c r="F79">
        <v>5.2267449825187909E-4</v>
      </c>
      <c r="G79">
        <v>0.89827475995670936</v>
      </c>
      <c r="H79">
        <v>5.6062826094516726E-6</v>
      </c>
      <c r="I79">
        <v>2.140074187674626E-9</v>
      </c>
      <c r="J79">
        <v>6.1862702539656321E-9</v>
      </c>
      <c r="K79">
        <v>2.384692449048844E-4</v>
      </c>
      <c r="L79" s="557" t="s">
        <v>2134</v>
      </c>
    </row>
    <row r="80" spans="3:12" x14ac:dyDescent="0.25">
      <c r="C80" t="s">
        <v>1915</v>
      </c>
      <c r="D80">
        <f t="shared" si="1"/>
        <v>0</v>
      </c>
      <c r="E80">
        <v>0.14712950091537699</v>
      </c>
      <c r="F80">
        <v>4.5969459683974762E-4</v>
      </c>
      <c r="G80">
        <v>0.60785748998466471</v>
      </c>
      <c r="H80">
        <v>4.3177154241791748E-6</v>
      </c>
      <c r="I80">
        <v>9.1330461722060246E-9</v>
      </c>
      <c r="J80">
        <v>2.3752079263663459E-9</v>
      </c>
      <c r="K80">
        <v>2.7192956696363182E-4</v>
      </c>
      <c r="L80" s="557" t="s">
        <v>2135</v>
      </c>
    </row>
    <row r="83" spans="3:13" x14ac:dyDescent="0.25">
      <c r="C83" s="15" t="s">
        <v>2341</v>
      </c>
    </row>
    <row r="84" spans="3:13" x14ac:dyDescent="0.25">
      <c r="C84" s="9" t="s">
        <v>2332</v>
      </c>
    </row>
    <row r="86" spans="3:13" x14ac:dyDescent="0.25">
      <c r="D86" t="s">
        <v>2012</v>
      </c>
      <c r="E86" t="s">
        <v>2013</v>
      </c>
      <c r="F86" t="s">
        <v>2014</v>
      </c>
      <c r="G86" t="s">
        <v>2018</v>
      </c>
      <c r="H86" t="s">
        <v>2019</v>
      </c>
      <c r="I86" t="s">
        <v>2020</v>
      </c>
      <c r="J86" t="s">
        <v>2021</v>
      </c>
      <c r="L86" t="s">
        <v>2333</v>
      </c>
      <c r="M86" t="s">
        <v>2334</v>
      </c>
    </row>
    <row r="87" spans="3:13" x14ac:dyDescent="0.25">
      <c r="C87" t="str">
        <f>C42</f>
        <v>BAU_0</v>
      </c>
      <c r="D87">
        <v>2.5793152024261062E-2</v>
      </c>
      <c r="E87">
        <v>2.5834755590646981E-4</v>
      </c>
      <c r="F87">
        <v>0.29275926420370341</v>
      </c>
      <c r="G87">
        <v>2.088672263983068E-6</v>
      </c>
      <c r="H87">
        <v>1.9288769286821799E-9</v>
      </c>
      <c r="I87">
        <v>4.9099440849218327E-9</v>
      </c>
      <c r="J87">
        <v>1.7640554153058009E-4</v>
      </c>
      <c r="K87" t="s">
        <v>2316</v>
      </c>
      <c r="L87">
        <f>E42/D87</f>
        <v>1.3095005987740613</v>
      </c>
      <c r="M87" s="339">
        <f>E42-D87</f>
        <v>7.9829959957791914E-3</v>
      </c>
    </row>
    <row r="88" spans="3:13" x14ac:dyDescent="0.25">
      <c r="C88" t="str">
        <f t="shared" ref="C88:C102" si="2">C43</f>
        <v>BAU_2</v>
      </c>
      <c r="D88">
        <v>2.5437522537537671E-2</v>
      </c>
      <c r="E88">
        <v>2.5623416335818509E-4</v>
      </c>
      <c r="F88">
        <v>0.29414036519786529</v>
      </c>
      <c r="G88">
        <v>2.0588025663167258E-6</v>
      </c>
      <c r="H88">
        <v>1.902173827477826E-9</v>
      </c>
      <c r="I88">
        <v>4.8709201234977556E-9</v>
      </c>
      <c r="J88">
        <v>1.7452240235986399E-4</v>
      </c>
      <c r="K88" t="s">
        <v>2317</v>
      </c>
      <c r="L88">
        <f t="shared" ref="L88:L102" si="3">E43/D88</f>
        <v>1.3125158215298522</v>
      </c>
      <c r="M88" s="339">
        <f t="shared" ref="M88:M102" si="4">E43-D88</f>
        <v>7.9496282535027191E-3</v>
      </c>
    </row>
    <row r="89" spans="3:13" x14ac:dyDescent="0.25">
      <c r="C89" t="str">
        <f t="shared" si="2"/>
        <v>BAU_4</v>
      </c>
      <c r="D89">
        <v>2.4735738760031021E-2</v>
      </c>
      <c r="E89">
        <v>2.5089888848625603E-4</v>
      </c>
      <c r="F89">
        <v>0.29096072414033552</v>
      </c>
      <c r="G89">
        <v>1.977165132320707E-6</v>
      </c>
      <c r="H89">
        <v>1.7048941237474109E-9</v>
      </c>
      <c r="I89">
        <v>4.8229018365745151E-9</v>
      </c>
      <c r="J89">
        <v>1.7151721419322849E-4</v>
      </c>
      <c r="K89" t="s">
        <v>2318</v>
      </c>
      <c r="L89">
        <f t="shared" si="3"/>
        <v>1.318720288887459</v>
      </c>
      <c r="M89" s="339">
        <f t="shared" si="4"/>
        <v>7.8837818034418021E-3</v>
      </c>
    </row>
    <row r="90" spans="3:13" x14ac:dyDescent="0.25">
      <c r="C90" t="str">
        <f t="shared" si="2"/>
        <v>BAU_6</v>
      </c>
      <c r="D90">
        <v>2.442061962619976E-2</v>
      </c>
      <c r="E90">
        <v>2.4818431958468931E-4</v>
      </c>
      <c r="F90">
        <v>0.29084820580440351</v>
      </c>
      <c r="G90">
        <v>1.946112291543711E-6</v>
      </c>
      <c r="H90">
        <v>1.6699947343495991E-9</v>
      </c>
      <c r="I90">
        <v>4.7892631516669073E-9</v>
      </c>
      <c r="J90">
        <v>1.700753602146317E-4</v>
      </c>
      <c r="K90" t="s">
        <v>2319</v>
      </c>
      <c r="L90">
        <f t="shared" si="3"/>
        <v>1.3216222664094055</v>
      </c>
      <c r="M90" s="339">
        <f t="shared" si="4"/>
        <v>7.8542150313003732E-3</v>
      </c>
    </row>
    <row r="91" spans="3:13" x14ac:dyDescent="0.25">
      <c r="C91" t="str">
        <f t="shared" si="2"/>
        <v>BAU_10</v>
      </c>
      <c r="D91">
        <v>2.3784612583661179E-2</v>
      </c>
      <c r="E91">
        <v>2.4086481157031711E-4</v>
      </c>
      <c r="F91">
        <v>0.29108390256989802</v>
      </c>
      <c r="G91">
        <v>1.873740648282477E-6</v>
      </c>
      <c r="H91">
        <v>1.615221805044267E-9</v>
      </c>
      <c r="I91">
        <v>4.6709050940040652E-9</v>
      </c>
      <c r="J91">
        <v>1.652773769712658E-4</v>
      </c>
      <c r="K91" t="s">
        <v>2320</v>
      </c>
      <c r="L91">
        <f t="shared" si="3"/>
        <v>1.3277135687898567</v>
      </c>
      <c r="M91" s="339">
        <f t="shared" si="4"/>
        <v>7.7945402720757395E-3</v>
      </c>
    </row>
    <row r="92" spans="3:13" x14ac:dyDescent="0.25">
      <c r="C92" t="str">
        <f t="shared" si="2"/>
        <v>BAU_14</v>
      </c>
      <c r="D92">
        <v>2.2739670477609709E-2</v>
      </c>
      <c r="E92">
        <v>2.2900594356303099E-4</v>
      </c>
      <c r="F92">
        <v>0.28179568159342722</v>
      </c>
      <c r="G92">
        <v>1.709401982185488E-6</v>
      </c>
      <c r="H92">
        <v>1.483686082021903E-9</v>
      </c>
      <c r="I92">
        <v>4.5884995888665451E-9</v>
      </c>
      <c r="J92">
        <v>1.600143647683293E-4</v>
      </c>
      <c r="K92" t="s">
        <v>2321</v>
      </c>
      <c r="L92">
        <f t="shared" si="3"/>
        <v>1.3384612050645233</v>
      </c>
      <c r="M92" s="339">
        <f t="shared" si="4"/>
        <v>7.696496272621943E-3</v>
      </c>
    </row>
    <row r="93" spans="3:13" x14ac:dyDescent="0.25">
      <c r="C93" t="str">
        <f t="shared" si="2"/>
        <v>BAU_17</v>
      </c>
      <c r="D93">
        <v>2.2069166113446111E-2</v>
      </c>
      <c r="E93">
        <v>2.207221925370463E-4</v>
      </c>
      <c r="F93">
        <v>0.27418968588637682</v>
      </c>
      <c r="G93">
        <v>1.5693538736321729E-6</v>
      </c>
      <c r="H93">
        <v>1.369943732991125E-9</v>
      </c>
      <c r="I93">
        <v>4.5227234245498344E-9</v>
      </c>
      <c r="J93">
        <v>1.562371134738003E-4</v>
      </c>
      <c r="K93" t="s">
        <v>2322</v>
      </c>
      <c r="L93">
        <f t="shared" si="3"/>
        <v>1.3458936641248893</v>
      </c>
      <c r="M93" s="339">
        <f t="shared" si="4"/>
        <v>7.6335847311607176E-3</v>
      </c>
    </row>
    <row r="94" spans="3:13" x14ac:dyDescent="0.25">
      <c r="C94" t="str">
        <f t="shared" si="2"/>
        <v>BAU_BAU_CH_0</v>
      </c>
      <c r="D94">
        <v>0.1372602358954528</v>
      </c>
      <c r="E94">
        <v>1.8184982087068299E-4</v>
      </c>
      <c r="F94">
        <v>0.1207064278730413</v>
      </c>
      <c r="G94">
        <v>5.4032302807537697E-7</v>
      </c>
      <c r="H94">
        <v>8.0546579128076429E-9</v>
      </c>
      <c r="I94">
        <v>1.491394655764442E-9</v>
      </c>
      <c r="J94">
        <v>2.008719799642274E-4</v>
      </c>
      <c r="K94" t="s">
        <v>2323</v>
      </c>
      <c r="L94">
        <f t="shared" si="3"/>
        <v>1.1343553304465044</v>
      </c>
      <c r="M94" s="339">
        <f t="shared" si="4"/>
        <v>1.8441644350898706E-2</v>
      </c>
    </row>
    <row r="95" spans="3:13" x14ac:dyDescent="0.25">
      <c r="C95" t="str">
        <f t="shared" si="2"/>
        <v>LOW_0</v>
      </c>
      <c r="D95">
        <v>1.9766641185593539E-2</v>
      </c>
      <c r="E95">
        <v>2.5098731959159601E-4</v>
      </c>
      <c r="F95">
        <v>0.2925264582617183</v>
      </c>
      <c r="G95">
        <v>2.1274663609718872E-6</v>
      </c>
      <c r="H95">
        <v>1.934948630972023E-9</v>
      </c>
      <c r="I95">
        <v>4.8663785645452641E-9</v>
      </c>
      <c r="J95">
        <v>1.724055929190684E-4</v>
      </c>
      <c r="K95" t="s">
        <v>2324</v>
      </c>
      <c r="L95">
        <f t="shared" si="3"/>
        <v>1.3165654293719522</v>
      </c>
      <c r="M95" s="339">
        <f t="shared" si="4"/>
        <v>6.2574352541587309E-3</v>
      </c>
    </row>
    <row r="96" spans="3:13" x14ac:dyDescent="0.25">
      <c r="C96" t="str">
        <f t="shared" si="2"/>
        <v>LOW_2</v>
      </c>
      <c r="D96">
        <v>1.9492344564151869E-2</v>
      </c>
      <c r="E96">
        <v>2.4913871925817753E-4</v>
      </c>
      <c r="F96">
        <v>0.29401975248666112</v>
      </c>
      <c r="G96">
        <v>2.09793639691815E-6</v>
      </c>
      <c r="H96">
        <v>1.9065667379574068E-9</v>
      </c>
      <c r="I96">
        <v>4.8298614482951772E-9</v>
      </c>
      <c r="J96">
        <v>1.7067302773338591E-4</v>
      </c>
      <c r="K96" t="s">
        <v>2325</v>
      </c>
      <c r="L96">
        <f t="shared" si="3"/>
        <v>1.3196998022855542</v>
      </c>
      <c r="M96" s="339">
        <f t="shared" si="4"/>
        <v>6.2316987032412507E-3</v>
      </c>
    </row>
    <row r="97" spans="3:13" x14ac:dyDescent="0.25">
      <c r="C97" t="str">
        <f t="shared" si="2"/>
        <v>LOW_4</v>
      </c>
      <c r="D97">
        <v>1.8979923443683929E-2</v>
      </c>
      <c r="E97">
        <v>2.4395879035293299E-4</v>
      </c>
      <c r="F97">
        <v>0.29074538389580018</v>
      </c>
      <c r="G97">
        <v>2.0143487268030282E-6</v>
      </c>
      <c r="H97">
        <v>1.7132772230272119E-9</v>
      </c>
      <c r="I97">
        <v>4.7846068805225369E-9</v>
      </c>
      <c r="J97">
        <v>1.6777799570672061E-4</v>
      </c>
      <c r="K97" t="s">
        <v>2326</v>
      </c>
      <c r="L97">
        <f t="shared" si="3"/>
        <v>1.3257979179403516</v>
      </c>
      <c r="M97" s="339">
        <f t="shared" si="4"/>
        <v>6.1836195406194915E-3</v>
      </c>
    </row>
    <row r="98" spans="3:13" x14ac:dyDescent="0.25">
      <c r="C98" t="str">
        <f t="shared" si="2"/>
        <v>LOW_6</v>
      </c>
      <c r="D98">
        <v>1.8743888564871629E-2</v>
      </c>
      <c r="E98">
        <v>2.4133518349172379E-4</v>
      </c>
      <c r="F98">
        <v>0.29058866806844258</v>
      </c>
      <c r="G98">
        <v>1.9828245904226249E-6</v>
      </c>
      <c r="H98">
        <v>1.67874782720239E-9</v>
      </c>
      <c r="I98">
        <v>4.7519634504610813E-9</v>
      </c>
      <c r="J98">
        <v>1.6639836025613219E-4</v>
      </c>
      <c r="K98" t="s">
        <v>2327</v>
      </c>
      <c r="L98">
        <f t="shared" si="3"/>
        <v>1.3287190363958408</v>
      </c>
      <c r="M98" s="339">
        <f t="shared" si="4"/>
        <v>6.161472987355622E-3</v>
      </c>
    </row>
    <row r="99" spans="3:13" x14ac:dyDescent="0.25">
      <c r="C99" t="str">
        <f t="shared" si="2"/>
        <v>LOW_10</v>
      </c>
      <c r="D99">
        <v>1.8313931386189398E-2</v>
      </c>
      <c r="E99">
        <v>2.3427467661452881E-4</v>
      </c>
      <c r="F99">
        <v>0.29075986461787179</v>
      </c>
      <c r="G99">
        <v>1.9092414197921658E-6</v>
      </c>
      <c r="H99">
        <v>1.624262270230586E-9</v>
      </c>
      <c r="I99">
        <v>4.6357768846498788E-9</v>
      </c>
      <c r="J99">
        <v>1.617527026173501E-4</v>
      </c>
      <c r="K99" t="s">
        <v>2328</v>
      </c>
      <c r="L99">
        <f t="shared" si="3"/>
        <v>1.3342336008067683</v>
      </c>
      <c r="M99" s="339">
        <f t="shared" si="4"/>
        <v>6.1211312321341714E-3</v>
      </c>
    </row>
    <row r="100" spans="3:13" x14ac:dyDescent="0.25">
      <c r="C100" t="str">
        <f t="shared" si="2"/>
        <v>LOW_14</v>
      </c>
      <c r="D100">
        <v>1.7627744005003009E-2</v>
      </c>
      <c r="E100">
        <v>2.2266283425811169E-4</v>
      </c>
      <c r="F100">
        <v>0.28130595704196748</v>
      </c>
      <c r="G100">
        <v>1.741161603022989E-6</v>
      </c>
      <c r="H100">
        <v>1.5004941377232101E-9</v>
      </c>
      <c r="I100">
        <v>4.5578439385506466E-9</v>
      </c>
      <c r="J100">
        <v>1.5668439762324399E-4</v>
      </c>
      <c r="K100" t="s">
        <v>2329</v>
      </c>
      <c r="L100">
        <f t="shared" si="3"/>
        <v>1.3435917870017682</v>
      </c>
      <c r="M100" s="339">
        <f t="shared" si="4"/>
        <v>6.0567480634886907E-3</v>
      </c>
    </row>
    <row r="101" spans="3:13" x14ac:dyDescent="0.25">
      <c r="C101" t="str">
        <f t="shared" si="2"/>
        <v>LOW_17</v>
      </c>
      <c r="D101">
        <v>1.7182169430839771E-2</v>
      </c>
      <c r="E101">
        <v>2.1475114186573851E-4</v>
      </c>
      <c r="F101">
        <v>0.27384541463819312</v>
      </c>
      <c r="G101">
        <v>1.5997036240079889E-6</v>
      </c>
      <c r="H101">
        <v>1.388530748212589E-9</v>
      </c>
      <c r="I101">
        <v>4.4972878508898168E-9</v>
      </c>
      <c r="J101">
        <v>1.5313903100049251E-4</v>
      </c>
      <c r="K101" t="s">
        <v>2330</v>
      </c>
      <c r="L101">
        <f t="shared" si="3"/>
        <v>1.3500687731449823</v>
      </c>
      <c r="M101" s="339">
        <f t="shared" si="4"/>
        <v>6.0149409726232977E-3</v>
      </c>
    </row>
    <row r="102" spans="3:13" x14ac:dyDescent="0.25">
      <c r="C102" t="str">
        <f t="shared" si="2"/>
        <v>LOW_BAU_CH_0</v>
      </c>
      <c r="D102">
        <v>0.13042551237420169</v>
      </c>
      <c r="E102">
        <v>1.8381257292057979E-4</v>
      </c>
      <c r="F102">
        <v>0.1329305079959536</v>
      </c>
      <c r="G102">
        <v>6.3732730039993344E-7</v>
      </c>
      <c r="H102">
        <v>7.8606086338868974E-9</v>
      </c>
      <c r="I102">
        <v>1.5281525260830829E-9</v>
      </c>
      <c r="J102">
        <v>2.0061431641720919E-4</v>
      </c>
      <c r="K102" t="s">
        <v>2331</v>
      </c>
      <c r="L102">
        <f t="shared" si="3"/>
        <v>1.127584482676619</v>
      </c>
      <c r="M102" s="339">
        <f t="shared" si="4"/>
        <v>1.6640271524095501E-2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BD21D-EBD6-4BBD-A3E8-856C2E04B62A}">
  <dimension ref="J12:AD87"/>
  <sheetViews>
    <sheetView topLeftCell="G40" workbookViewId="0">
      <selection activeCell="V43" sqref="V43:V48"/>
    </sheetView>
  </sheetViews>
  <sheetFormatPr defaultRowHeight="15" x14ac:dyDescent="0.25"/>
  <cols>
    <col min="1" max="10" width="9.140625" style="559"/>
    <col min="11" max="11" width="12.7109375" style="559" customWidth="1"/>
    <col min="12" max="12" width="16.140625" style="559" customWidth="1"/>
    <col min="13" max="15" width="9.140625" style="559" customWidth="1"/>
    <col min="16" max="21" width="9.140625" style="559"/>
    <col min="22" max="22" width="11.140625" style="559" customWidth="1"/>
    <col min="23" max="16384" width="9.140625" style="559"/>
  </cols>
  <sheetData>
    <row r="12" spans="10:15" x14ac:dyDescent="0.25">
      <c r="J12" s="558" t="s">
        <v>2143</v>
      </c>
      <c r="K12" s="558"/>
      <c r="L12" s="558" t="s">
        <v>2144</v>
      </c>
      <c r="M12" s="558" t="s">
        <v>2145</v>
      </c>
      <c r="N12" s="558" t="s">
        <v>2146</v>
      </c>
      <c r="O12" s="558" t="s">
        <v>2147</v>
      </c>
    </row>
    <row r="13" spans="10:15" x14ac:dyDescent="0.25">
      <c r="J13" s="558" t="s">
        <v>2148</v>
      </c>
      <c r="K13" s="558" t="s">
        <v>2149</v>
      </c>
      <c r="L13" s="558" t="s">
        <v>2150</v>
      </c>
      <c r="M13" s="558" t="s">
        <v>2151</v>
      </c>
      <c r="N13" s="558" t="s">
        <v>2152</v>
      </c>
      <c r="O13" s="558" t="s">
        <v>2153</v>
      </c>
    </row>
    <row r="14" spans="10:15" x14ac:dyDescent="0.25">
      <c r="J14" s="559" t="s">
        <v>2154</v>
      </c>
      <c r="K14" s="559" t="s">
        <v>2155</v>
      </c>
      <c r="L14" s="559" t="s">
        <v>2156</v>
      </c>
      <c r="M14" s="559">
        <v>2.1</v>
      </c>
      <c r="N14" s="559" cm="1">
        <f t="array" ref="N14">SUMPRODUCT(--(K14=[1]STEM_Results_AGS_Nov2024!$H:$H),--(LCA_Shortlist!J14=[1]STEM_Results_AGS_Nov2024!$C:$C),[1]STEM_Results_AGS_Nov2024!F:F)</f>
        <v>13500</v>
      </c>
      <c r="O14" s="559" cm="1">
        <f t="array" ref="O14">SUMPRODUCT(--(K14=[1]STEM_Results_AGS_Nov2024!$H:$H),--(LCA_Shortlist!J14=[1]STEM_Results_AGS_Nov2024!$C:$C),[1]STEM_Results_AGS_Nov2024!G:G)</f>
        <v>40</v>
      </c>
    </row>
    <row r="15" spans="10:15" x14ac:dyDescent="0.25">
      <c r="J15" s="559" t="s">
        <v>2157</v>
      </c>
      <c r="K15" s="559" t="s">
        <v>2155</v>
      </c>
      <c r="L15" s="559" t="s">
        <v>2156</v>
      </c>
      <c r="M15" s="559">
        <v>8.3000000000000007</v>
      </c>
      <c r="N15" s="559" cm="1">
        <f t="array" ref="N15">SUMPRODUCT(--(K15=[1]STEM_Results_AGS_Nov2024!$H:$H),--(LCA_Shortlist!J15=[1]STEM_Results_AGS_Nov2024!$C:$C),[1]STEM_Results_AGS_Nov2024!F:F)</f>
        <v>12500</v>
      </c>
      <c r="O15" s="559" cm="1">
        <f t="array" ref="O15">SUMPRODUCT(--(K15=[1]STEM_Results_AGS_Nov2024!$H:$H),--(LCA_Shortlist!J15=[1]STEM_Results_AGS_Nov2024!$C:$C),[1]STEM_Results_AGS_Nov2024!G:G)</f>
        <v>40</v>
      </c>
    </row>
    <row r="16" spans="10:15" x14ac:dyDescent="0.25">
      <c r="J16" s="559" t="s">
        <v>2158</v>
      </c>
      <c r="K16" s="559" t="s">
        <v>2155</v>
      </c>
      <c r="L16" s="559" t="s">
        <v>2156</v>
      </c>
      <c r="M16" s="559">
        <v>10.3</v>
      </c>
      <c r="N16" s="559" cm="1">
        <f t="array" ref="N16">SUMPRODUCT(--(K16=[1]STEM_Results_AGS_Nov2024!$H:$H),--(LCA_Shortlist!J16=[1]STEM_Results_AGS_Nov2024!$C:$C),[1]STEM_Results_AGS_Nov2024!F:F)</f>
        <v>12000</v>
      </c>
      <c r="O16" s="559" cm="1">
        <f t="array" ref="O16">SUMPRODUCT(--(K16=[1]STEM_Results_AGS_Nov2024!$H:$H),--(LCA_Shortlist!J16=[1]STEM_Results_AGS_Nov2024!$C:$C),[1]STEM_Results_AGS_Nov2024!G:G)</f>
        <v>40</v>
      </c>
    </row>
    <row r="17" spans="10:15" x14ac:dyDescent="0.25">
      <c r="J17" s="559" t="s">
        <v>2159</v>
      </c>
      <c r="K17" s="559" t="s">
        <v>2155</v>
      </c>
      <c r="L17" s="559" t="s">
        <v>2156</v>
      </c>
      <c r="M17" s="559">
        <v>13.4</v>
      </c>
      <c r="N17" s="559" cm="1">
        <f t="array" ref="N17">SUMPRODUCT(--(K17=[1]STEM_Results_AGS_Nov2024!$H:$H),--(LCA_Shortlist!J17=[1]STEM_Results_AGS_Nov2024!$C:$C),[1]STEM_Results_AGS_Nov2024!F:F)</f>
        <v>11500</v>
      </c>
      <c r="O17" s="559" cm="1">
        <f t="array" ref="O17">SUMPRODUCT(--(K17=[1]STEM_Results_AGS_Nov2024!$H:$H),--(LCA_Shortlist!J17=[1]STEM_Results_AGS_Nov2024!$C:$C),[1]STEM_Results_AGS_Nov2024!G:G)</f>
        <v>40</v>
      </c>
    </row>
    <row r="18" spans="10:15" x14ac:dyDescent="0.25">
      <c r="J18" s="559" t="s">
        <v>2160</v>
      </c>
      <c r="K18" s="559" t="s">
        <v>2155</v>
      </c>
      <c r="L18" s="559" t="s">
        <v>2156</v>
      </c>
      <c r="M18" s="559">
        <v>13.5</v>
      </c>
      <c r="N18" s="559" cm="1">
        <f t="array" ref="N18">SUMPRODUCT(--(K18=[1]STEM_Results_AGS_Nov2024!$H:$H),--(LCA_Shortlist!J18=[1]STEM_Results_AGS_Nov2024!$C:$C),[1]STEM_Results_AGS_Nov2024!F:F)</f>
        <v>10999.999999999998</v>
      </c>
      <c r="O18" s="559" cm="1">
        <f t="array" ref="O18">SUMPRODUCT(--(K18=[1]STEM_Results_AGS_Nov2024!$H:$H),--(LCA_Shortlist!J18=[1]STEM_Results_AGS_Nov2024!$C:$C),[1]STEM_Results_AGS_Nov2024!G:G)</f>
        <v>40</v>
      </c>
    </row>
    <row r="19" spans="10:15" x14ac:dyDescent="0.25">
      <c r="J19" s="559" t="s">
        <v>2161</v>
      </c>
      <c r="K19" s="559" t="s">
        <v>2155</v>
      </c>
      <c r="L19" s="559" t="s">
        <v>2156</v>
      </c>
      <c r="M19" s="559">
        <v>13.8</v>
      </c>
      <c r="N19" s="559" cm="1">
        <f t="array" ref="N19">SUMPRODUCT(--(K19=[1]STEM_Results_AGS_Nov2024!$H:$H),--(LCA_Shortlist!J19=[1]STEM_Results_AGS_Nov2024!$C:$C),[1]STEM_Results_AGS_Nov2024!F:F)</f>
        <v>10500.000000000002</v>
      </c>
      <c r="O19" s="559" cm="1">
        <f t="array" ref="O19">SUMPRODUCT(--(K19=[1]STEM_Results_AGS_Nov2024!$H:$H),--(LCA_Shortlist!J19=[1]STEM_Results_AGS_Nov2024!$C:$C),[1]STEM_Results_AGS_Nov2024!G:G)</f>
        <v>40</v>
      </c>
    </row>
    <row r="20" spans="10:15" x14ac:dyDescent="0.25">
      <c r="J20" s="559" t="s">
        <v>2162</v>
      </c>
      <c r="K20" s="559" t="s">
        <v>2155</v>
      </c>
      <c r="L20" s="559" t="s">
        <v>2156</v>
      </c>
      <c r="M20" s="559">
        <v>14.1</v>
      </c>
      <c r="N20" s="559" cm="1">
        <f t="array" ref="N20">SUMPRODUCT(--(K20=[1]STEM_Results_AGS_Nov2024!$H:$H),--(LCA_Shortlist!J20=[1]STEM_Results_AGS_Nov2024!$C:$C),[1]STEM_Results_AGS_Nov2024!F:F)</f>
        <v>10000</v>
      </c>
      <c r="O20" s="559" cm="1">
        <f t="array" ref="O20">SUMPRODUCT(--(K20=[1]STEM_Results_AGS_Nov2024!$H:$H),--(LCA_Shortlist!J20=[1]STEM_Results_AGS_Nov2024!$C:$C),[1]STEM_Results_AGS_Nov2024!G:G)</f>
        <v>40</v>
      </c>
    </row>
    <row r="21" spans="10:15" x14ac:dyDescent="0.25">
      <c r="J21" s="559" t="s">
        <v>2163</v>
      </c>
      <c r="K21" s="559" t="s">
        <v>2164</v>
      </c>
      <c r="L21" s="559" t="s">
        <v>2165</v>
      </c>
      <c r="M21" s="559">
        <v>0.2</v>
      </c>
      <c r="N21" s="559" cm="1">
        <f t="array" ref="N21">SUMPRODUCT(--(K21=[1]STEM_Results_AGS_Nov2024!$H:$H),--(LCA_Shortlist!J21=[1]STEM_Results_AGS_Nov2024!$C:$C),[1]STEM_Results_AGS_Nov2024!F:F)</f>
        <v>18750</v>
      </c>
      <c r="O21" s="559" cm="1">
        <f t="array" ref="O21">SUMPRODUCT(--(K21=[1]STEM_Results_AGS_Nov2024!$H:$H),--(LCA_Shortlist!J21=[1]STEM_Results_AGS_Nov2024!$C:$C),[1]STEM_Results_AGS_Nov2024!G:G)</f>
        <v>40</v>
      </c>
    </row>
    <row r="22" spans="10:15" x14ac:dyDescent="0.25">
      <c r="J22" s="559" t="s">
        <v>2166</v>
      </c>
      <c r="K22" s="559" t="s">
        <v>2164</v>
      </c>
      <c r="L22" s="559" t="s">
        <v>2165</v>
      </c>
      <c r="M22" s="559">
        <v>0.9</v>
      </c>
      <c r="N22" s="559" cm="1">
        <f t="array" ref="N22">SUMPRODUCT(--(K22=[1]STEM_Results_AGS_Nov2024!$H:$H),--(LCA_Shortlist!J22=[1]STEM_Results_AGS_Nov2024!$C:$C),[1]STEM_Results_AGS_Nov2024!F:F)</f>
        <v>17000</v>
      </c>
      <c r="O22" s="559" cm="1">
        <f t="array" ref="O22">SUMPRODUCT(--(K22=[1]STEM_Results_AGS_Nov2024!$H:$H),--(LCA_Shortlist!J22=[1]STEM_Results_AGS_Nov2024!$C:$C),[1]STEM_Results_AGS_Nov2024!G:G)</f>
        <v>40</v>
      </c>
    </row>
    <row r="23" spans="10:15" x14ac:dyDescent="0.25">
      <c r="J23" s="559" t="s">
        <v>2167</v>
      </c>
      <c r="K23" s="559" t="s">
        <v>2164</v>
      </c>
      <c r="L23" s="559" t="s">
        <v>2165</v>
      </c>
      <c r="M23" s="560">
        <v>1</v>
      </c>
      <c r="N23" s="559" cm="1">
        <f t="array" ref="N23">SUMPRODUCT(--(K23=[1]STEM_Results_AGS_Nov2024!$H:$H),--(LCA_Shortlist!J23=[1]STEM_Results_AGS_Nov2024!$C:$C),[1]STEM_Results_AGS_Nov2024!F:F)</f>
        <v>16499.999999999996</v>
      </c>
      <c r="O23" s="559" cm="1">
        <f t="array" ref="O23">SUMPRODUCT(--(K23=[1]STEM_Results_AGS_Nov2024!$H:$H),--(LCA_Shortlist!J23=[1]STEM_Results_AGS_Nov2024!$C:$C),[1]STEM_Results_AGS_Nov2024!G:G)</f>
        <v>40</v>
      </c>
    </row>
    <row r="24" spans="10:15" x14ac:dyDescent="0.25">
      <c r="J24" s="559" t="s">
        <v>2168</v>
      </c>
      <c r="K24" s="559" t="s">
        <v>2164</v>
      </c>
      <c r="L24" s="559" t="s">
        <v>2165</v>
      </c>
      <c r="M24" s="559">
        <v>1.7</v>
      </c>
      <c r="N24" s="559" cm="1">
        <f t="array" ref="N24">SUMPRODUCT(--(K24=[1]STEM_Results_AGS_Nov2024!$H:$H),--(LCA_Shortlist!J24=[1]STEM_Results_AGS_Nov2024!$C:$C),[1]STEM_Results_AGS_Nov2024!F:F)</f>
        <v>15500</v>
      </c>
      <c r="O24" s="559" cm="1">
        <f t="array" ref="O24">SUMPRODUCT(--(K24=[1]STEM_Results_AGS_Nov2024!$H:$H),--(LCA_Shortlist!J24=[1]STEM_Results_AGS_Nov2024!$C:$C),[1]STEM_Results_AGS_Nov2024!G:G)</f>
        <v>40</v>
      </c>
    </row>
    <row r="25" spans="10:15" x14ac:dyDescent="0.25">
      <c r="J25" s="559" t="s">
        <v>2169</v>
      </c>
      <c r="K25" s="559" t="s">
        <v>2164</v>
      </c>
      <c r="L25" s="559" t="s">
        <v>2165</v>
      </c>
      <c r="M25" s="560">
        <v>2.6</v>
      </c>
      <c r="N25" s="559" cm="1">
        <f t="array" ref="N25">SUMPRODUCT(--(K25=[1]STEM_Results_AGS_Nov2024!$H:$H),--(LCA_Shortlist!J25=[1]STEM_Results_AGS_Nov2024!$C:$C),[1]STEM_Results_AGS_Nov2024!F:F)</f>
        <v>15000</v>
      </c>
      <c r="O25" s="559" cm="1">
        <f t="array" ref="O25">SUMPRODUCT(--(K25=[1]STEM_Results_AGS_Nov2024!$H:$H),--(LCA_Shortlist!J25=[1]STEM_Results_AGS_Nov2024!$C:$C),[1]STEM_Results_AGS_Nov2024!G:G)</f>
        <v>40</v>
      </c>
    </row>
    <row r="26" spans="10:15" x14ac:dyDescent="0.25">
      <c r="J26" s="559" t="s">
        <v>2170</v>
      </c>
      <c r="K26" s="559" t="s">
        <v>2164</v>
      </c>
      <c r="L26" s="559" t="s">
        <v>2165</v>
      </c>
      <c r="M26" s="560">
        <v>4.0999999999999996</v>
      </c>
      <c r="N26" s="559" cm="1">
        <f t="array" ref="N26">SUMPRODUCT(--(K26=[1]STEM_Results_AGS_Nov2024!$H:$H),--(LCA_Shortlist!J26=[1]STEM_Results_AGS_Nov2024!$C:$C),[1]STEM_Results_AGS_Nov2024!F:F)</f>
        <v>14500.000000000002</v>
      </c>
      <c r="O26" s="559" cm="1">
        <f t="array" ref="O26">SUMPRODUCT(--(K26=[1]STEM_Results_AGS_Nov2024!$H:$H),--(LCA_Shortlist!J26=[1]STEM_Results_AGS_Nov2024!$C:$C),[1]STEM_Results_AGS_Nov2024!G:G)</f>
        <v>40</v>
      </c>
    </row>
    <row r="27" spans="10:15" x14ac:dyDescent="0.25">
      <c r="J27" s="559" t="s">
        <v>2171</v>
      </c>
      <c r="K27" s="559" t="s">
        <v>2164</v>
      </c>
      <c r="L27" s="559" t="s">
        <v>2165</v>
      </c>
      <c r="M27" s="560">
        <v>5.9</v>
      </c>
      <c r="N27" s="559" cm="1">
        <f t="array" ref="N27">SUMPRODUCT(--(K27=[1]STEM_Results_AGS_Nov2024!$H:$H),--(LCA_Shortlist!J27=[1]STEM_Results_AGS_Nov2024!$C:$C),[1]STEM_Results_AGS_Nov2024!F:F)</f>
        <v>14000.000000000002</v>
      </c>
      <c r="O27" s="559" cm="1">
        <f t="array" ref="O27">SUMPRODUCT(--(K27=[1]STEM_Results_AGS_Nov2024!$H:$H),--(LCA_Shortlist!J27=[1]STEM_Results_AGS_Nov2024!$C:$C),[1]STEM_Results_AGS_Nov2024!G:G)</f>
        <v>40</v>
      </c>
    </row>
    <row r="28" spans="10:15" x14ac:dyDescent="0.25">
      <c r="J28" s="559" t="s">
        <v>2154</v>
      </c>
      <c r="K28" s="559" t="s">
        <v>2164</v>
      </c>
      <c r="L28" s="559" t="s">
        <v>2165</v>
      </c>
      <c r="M28" s="560">
        <v>7.8</v>
      </c>
      <c r="N28" s="559" cm="1">
        <f t="array" ref="N28">SUMPRODUCT(--(K28=[1]STEM_Results_AGS_Nov2024!$H:$H),--(LCA_Shortlist!J28=[1]STEM_Results_AGS_Nov2024!$C:$C),[1]STEM_Results_AGS_Nov2024!F:F)</f>
        <v>13500</v>
      </c>
      <c r="O28" s="559" cm="1">
        <f t="array" ref="O28">SUMPRODUCT(--(K28=[1]STEM_Results_AGS_Nov2024!$H:$H),--(LCA_Shortlist!J28=[1]STEM_Results_AGS_Nov2024!$C:$C),[1]STEM_Results_AGS_Nov2024!G:G)</f>
        <v>40</v>
      </c>
    </row>
    <row r="29" spans="10:15" x14ac:dyDescent="0.25">
      <c r="J29" s="559" t="s">
        <v>2172</v>
      </c>
      <c r="K29" s="559" t="s">
        <v>2164</v>
      </c>
      <c r="L29" s="559" t="s">
        <v>2165</v>
      </c>
      <c r="M29" s="560">
        <v>9.9</v>
      </c>
      <c r="N29" s="559" cm="1">
        <f t="array" ref="N29">SUMPRODUCT(--(K29=[1]STEM_Results_AGS_Nov2024!$H:$H),--(LCA_Shortlist!J29=[1]STEM_Results_AGS_Nov2024!$C:$C),[1]STEM_Results_AGS_Nov2024!F:F)</f>
        <v>13000</v>
      </c>
      <c r="O29" s="559" cm="1">
        <f t="array" ref="O29">SUMPRODUCT(--(K29=[1]STEM_Results_AGS_Nov2024!$H:$H),--(LCA_Shortlist!J29=[1]STEM_Results_AGS_Nov2024!$C:$C),[1]STEM_Results_AGS_Nov2024!G:G)</f>
        <v>40</v>
      </c>
    </row>
    <row r="30" spans="10:15" x14ac:dyDescent="0.25">
      <c r="J30" s="559" t="s">
        <v>2157</v>
      </c>
      <c r="K30" s="559" t="s">
        <v>2164</v>
      </c>
      <c r="L30" s="559" t="s">
        <v>2165</v>
      </c>
      <c r="M30" s="560">
        <v>11.9</v>
      </c>
      <c r="N30" s="559" cm="1">
        <f t="array" ref="N30">SUMPRODUCT(--(K30=[1]STEM_Results_AGS_Nov2024!$H:$H),--(LCA_Shortlist!J30=[1]STEM_Results_AGS_Nov2024!$C:$C),[1]STEM_Results_AGS_Nov2024!F:F)</f>
        <v>12500</v>
      </c>
      <c r="O30" s="559" cm="1">
        <f t="array" ref="O30">SUMPRODUCT(--(K30=[1]STEM_Results_AGS_Nov2024!$H:$H),--(LCA_Shortlist!J30=[1]STEM_Results_AGS_Nov2024!$C:$C),[1]STEM_Results_AGS_Nov2024!G:G)</f>
        <v>40</v>
      </c>
    </row>
    <row r="31" spans="10:15" x14ac:dyDescent="0.25">
      <c r="J31" s="559" t="s">
        <v>2158</v>
      </c>
      <c r="K31" s="559" t="s">
        <v>2164</v>
      </c>
      <c r="L31" s="559" t="s">
        <v>2165</v>
      </c>
      <c r="M31" s="559">
        <v>13</v>
      </c>
      <c r="N31" s="559" cm="1">
        <f t="array" ref="N31">SUMPRODUCT(--(K31=[1]STEM_Results_AGS_Nov2024!$H:$H),--(LCA_Shortlist!J31=[1]STEM_Results_AGS_Nov2024!$C:$C),[1]STEM_Results_AGS_Nov2024!F:F)</f>
        <v>12000</v>
      </c>
      <c r="O31" s="559" cm="1">
        <f t="array" ref="O31">SUMPRODUCT(--(K31=[1]STEM_Results_AGS_Nov2024!$H:$H),--(LCA_Shortlist!J31=[1]STEM_Results_AGS_Nov2024!$C:$C),[1]STEM_Results_AGS_Nov2024!G:G)</f>
        <v>40</v>
      </c>
    </row>
    <row r="32" spans="10:15" x14ac:dyDescent="0.25">
      <c r="J32" s="559" t="s">
        <v>2159</v>
      </c>
      <c r="K32" s="559" t="s">
        <v>2164</v>
      </c>
      <c r="L32" s="559" t="s">
        <v>2165</v>
      </c>
      <c r="M32" s="560">
        <v>13.3</v>
      </c>
      <c r="N32" s="559" cm="1">
        <f t="array" ref="N32">SUMPRODUCT(--(K32=[1]STEM_Results_AGS_Nov2024!$H:$H),--(LCA_Shortlist!J32=[1]STEM_Results_AGS_Nov2024!$C:$C),[1]STEM_Results_AGS_Nov2024!F:F)</f>
        <v>11500</v>
      </c>
      <c r="O32" s="559" cm="1">
        <f t="array" ref="O32">SUMPRODUCT(--(K32=[1]STEM_Results_AGS_Nov2024!$H:$H),--(LCA_Shortlist!J32=[1]STEM_Results_AGS_Nov2024!$C:$C),[1]STEM_Results_AGS_Nov2024!G:G)</f>
        <v>40</v>
      </c>
    </row>
    <row r="33" spans="10:23" x14ac:dyDescent="0.25">
      <c r="J33" s="559" t="s">
        <v>2160</v>
      </c>
      <c r="K33" s="559" t="s">
        <v>2164</v>
      </c>
      <c r="L33" s="559" t="s">
        <v>2165</v>
      </c>
      <c r="M33" s="559">
        <v>13.7</v>
      </c>
      <c r="N33" s="559" cm="1">
        <f t="array" ref="N33">SUMPRODUCT(--(K33=[1]STEM_Results_AGS_Nov2024!$H:$H),--(LCA_Shortlist!J33=[1]STEM_Results_AGS_Nov2024!$C:$C),[1]STEM_Results_AGS_Nov2024!F:F)</f>
        <v>10999.999999999998</v>
      </c>
      <c r="O33" s="559" cm="1">
        <f t="array" ref="O33">SUMPRODUCT(--(K33=[1]STEM_Results_AGS_Nov2024!$H:$H),--(LCA_Shortlist!J33=[1]STEM_Results_AGS_Nov2024!$C:$C),[1]STEM_Results_AGS_Nov2024!G:G)</f>
        <v>40</v>
      </c>
    </row>
    <row r="34" spans="10:23" x14ac:dyDescent="0.25">
      <c r="J34" s="559" t="s">
        <v>2161</v>
      </c>
      <c r="K34" s="559" t="s">
        <v>2164</v>
      </c>
      <c r="L34" s="559" t="s">
        <v>2165</v>
      </c>
      <c r="M34" s="559">
        <v>13.8</v>
      </c>
      <c r="N34" s="559" cm="1">
        <f t="array" ref="N34">SUMPRODUCT(--(K34=[1]STEM_Results_AGS_Nov2024!$H:$H),--(LCA_Shortlist!J34=[1]STEM_Results_AGS_Nov2024!$C:$C),[1]STEM_Results_AGS_Nov2024!F:F)</f>
        <v>10500.000000000002</v>
      </c>
      <c r="O34" s="559" cm="1">
        <f t="array" ref="O34">SUMPRODUCT(--(K34=[1]STEM_Results_AGS_Nov2024!$H:$H),--(LCA_Shortlist!J34=[1]STEM_Results_AGS_Nov2024!$C:$C),[1]STEM_Results_AGS_Nov2024!G:G)</f>
        <v>40</v>
      </c>
    </row>
    <row r="35" spans="10:23" x14ac:dyDescent="0.25">
      <c r="J35" s="559" t="s">
        <v>2162</v>
      </c>
      <c r="K35" s="559" t="s">
        <v>2164</v>
      </c>
      <c r="L35" s="559" t="s">
        <v>2165</v>
      </c>
      <c r="M35" s="560">
        <v>15</v>
      </c>
      <c r="N35" s="559" cm="1">
        <f t="array" ref="N35">SUMPRODUCT(--(K35=[1]STEM_Results_AGS_Nov2024!$H:$H),--(LCA_Shortlist!J35=[1]STEM_Results_AGS_Nov2024!$C:$C),[1]STEM_Results_AGS_Nov2024!F:F)</f>
        <v>10000</v>
      </c>
      <c r="O35" s="559" cm="1">
        <f t="array" ref="O35">SUMPRODUCT(--(K35=[1]STEM_Results_AGS_Nov2024!$H:$H),--(LCA_Shortlist!J35=[1]STEM_Results_AGS_Nov2024!$C:$C),[1]STEM_Results_AGS_Nov2024!G:G)</f>
        <v>40</v>
      </c>
    </row>
    <row r="37" spans="10:23" x14ac:dyDescent="0.25">
      <c r="J37" s="559" t="s">
        <v>2173</v>
      </c>
      <c r="K37" s="559" t="s">
        <v>2155</v>
      </c>
      <c r="L37" s="559" t="s">
        <v>2156</v>
      </c>
      <c r="M37" s="559">
        <v>3.9</v>
      </c>
      <c r="N37" s="559" cm="1">
        <f t="array" ref="N37">SUMPRODUCT(--(K37=[1]STEM_Results_AGS_Nov2024!$H:$H),--(LCA_Shortlist!J37=[1]STEM_Results_AGS_Nov2024!$C:$C),[1]STEM_Results_AGS_Nov2024!F:F)</f>
        <v>14000.000000000002</v>
      </c>
      <c r="O37" s="559" cm="1">
        <f t="array" ref="O37">SUMPRODUCT(--(K37=[1]STEM_Results_AGS_Nov2024!$H:$H),--(LCA_Shortlist!J37=[1]STEM_Results_AGS_Nov2024!$C:$C),[1]STEM_Results_AGS_Nov2024!G:G)</f>
        <v>52</v>
      </c>
    </row>
    <row r="38" spans="10:23" x14ac:dyDescent="0.25">
      <c r="J38" s="559" t="s">
        <v>2174</v>
      </c>
      <c r="K38" s="559" t="s">
        <v>2155</v>
      </c>
      <c r="L38" s="559" t="s">
        <v>2156</v>
      </c>
      <c r="M38" s="559">
        <v>5.9</v>
      </c>
      <c r="N38" s="559" cm="1">
        <f t="array" ref="N38">SUMPRODUCT(--(K38=[1]STEM_Results_AGS_Nov2024!$H:$H),--(LCA_Shortlist!J38=[1]STEM_Results_AGS_Nov2024!$C:$C),[1]STEM_Results_AGS_Nov2024!F:F)</f>
        <v>13500</v>
      </c>
      <c r="O38" s="559" cm="1">
        <f t="array" ref="O38">SUMPRODUCT(--(K38=[1]STEM_Results_AGS_Nov2024!$H:$H),--(LCA_Shortlist!J38=[1]STEM_Results_AGS_Nov2024!$C:$C),[1]STEM_Results_AGS_Nov2024!G:G)</f>
        <v>52</v>
      </c>
    </row>
    <row r="39" spans="10:23" x14ac:dyDescent="0.25">
      <c r="J39" s="559" t="s">
        <v>2175</v>
      </c>
      <c r="K39" s="559" t="s">
        <v>2155</v>
      </c>
      <c r="L39" s="559" t="s">
        <v>2156</v>
      </c>
      <c r="M39" s="559">
        <v>11.4</v>
      </c>
      <c r="N39" s="559" cm="1">
        <f t="array" ref="N39">SUMPRODUCT(--(K39=[1]STEM_Results_AGS_Nov2024!$H:$H),--(LCA_Shortlist!J39=[1]STEM_Results_AGS_Nov2024!$C:$C),[1]STEM_Results_AGS_Nov2024!F:F)</f>
        <v>12500</v>
      </c>
      <c r="O39" s="559" cm="1">
        <f t="array" ref="O39">SUMPRODUCT(--(K39=[1]STEM_Results_AGS_Nov2024!$H:$H),--(LCA_Shortlist!J39=[1]STEM_Results_AGS_Nov2024!$C:$C),[1]STEM_Results_AGS_Nov2024!G:G)</f>
        <v>52</v>
      </c>
      <c r="S39"/>
      <c r="T39" t="s">
        <v>2342</v>
      </c>
      <c r="U39"/>
      <c r="V39"/>
      <c r="W39"/>
    </row>
    <row r="40" spans="10:23" x14ac:dyDescent="0.25">
      <c r="J40" s="559" t="s">
        <v>2176</v>
      </c>
      <c r="K40" s="559" t="s">
        <v>2155</v>
      </c>
      <c r="L40" s="559" t="s">
        <v>2156</v>
      </c>
      <c r="M40" s="559">
        <v>13.4</v>
      </c>
      <c r="N40" s="559" cm="1">
        <f t="array" ref="N40">SUMPRODUCT(--(K40=[1]STEM_Results_AGS_Nov2024!$H:$H),--(LCA_Shortlist!J40=[1]STEM_Results_AGS_Nov2024!$C:$C),[1]STEM_Results_AGS_Nov2024!F:F)</f>
        <v>12000</v>
      </c>
      <c r="O40" s="559" cm="1">
        <f t="array" ref="O40">SUMPRODUCT(--(K40=[1]STEM_Results_AGS_Nov2024!$H:$H),--(LCA_Shortlist!J40=[1]STEM_Results_AGS_Nov2024!$C:$C),[1]STEM_Results_AGS_Nov2024!G:G)</f>
        <v>52</v>
      </c>
      <c r="S40"/>
      <c r="T40"/>
      <c r="U40"/>
      <c r="V40"/>
      <c r="W40"/>
    </row>
    <row r="41" spans="10:23" x14ac:dyDescent="0.25">
      <c r="J41" s="559" t="s">
        <v>2177</v>
      </c>
      <c r="K41" s="559" t="s">
        <v>2155</v>
      </c>
      <c r="L41" s="559" t="s">
        <v>2156</v>
      </c>
      <c r="M41" s="559">
        <v>13.7</v>
      </c>
      <c r="N41" s="559" cm="1">
        <f t="array" ref="N41">SUMPRODUCT(--(K41=[1]STEM_Results_AGS_Nov2024!$H:$H),--(LCA_Shortlist!J41=[1]STEM_Results_AGS_Nov2024!$C:$C),[1]STEM_Results_AGS_Nov2024!F:F)</f>
        <v>11500</v>
      </c>
      <c r="O41" s="559" cm="1">
        <f t="array" ref="O41">SUMPRODUCT(--(K41=[1]STEM_Results_AGS_Nov2024!$H:$H),--(LCA_Shortlist!J41=[1]STEM_Results_AGS_Nov2024!$C:$C),[1]STEM_Results_AGS_Nov2024!G:G)</f>
        <v>52</v>
      </c>
      <c r="S41"/>
      <c r="T41"/>
      <c r="U41"/>
      <c r="V41"/>
      <c r="W41"/>
    </row>
    <row r="42" spans="10:23" x14ac:dyDescent="0.25">
      <c r="J42" s="559" t="s">
        <v>2178</v>
      </c>
      <c r="K42" s="559" t="s">
        <v>2155</v>
      </c>
      <c r="L42" s="559" t="s">
        <v>2156</v>
      </c>
      <c r="M42" s="559">
        <v>13.8</v>
      </c>
      <c r="N42" s="559" cm="1">
        <f t="array" ref="N42">SUMPRODUCT(--(K42=[1]STEM_Results_AGS_Nov2024!$H:$H),--(LCA_Shortlist!J42=[1]STEM_Results_AGS_Nov2024!$C:$C),[1]STEM_Results_AGS_Nov2024!F:F)</f>
        <v>10999.999999999998</v>
      </c>
      <c r="O42" s="559" cm="1">
        <f t="array" ref="O42">SUMPRODUCT(--(K42=[1]STEM_Results_AGS_Nov2024!$H:$H),--(LCA_Shortlist!J42=[1]STEM_Results_AGS_Nov2024!$C:$C),[1]STEM_Results_AGS_Nov2024!G:G)</f>
        <v>52</v>
      </c>
      <c r="S42" t="s">
        <v>1173</v>
      </c>
      <c r="T42">
        <f>ROUNDDOWN(R64,0)</f>
        <v>0</v>
      </c>
      <c r="U42" t="s">
        <v>2136</v>
      </c>
      <c r="V42" t="str">
        <f>CONCATENATE(S42,"_",T42)</f>
        <v>BAU_0</v>
      </c>
      <c r="W42" s="569" t="s">
        <v>2343</v>
      </c>
    </row>
    <row r="43" spans="10:23" x14ac:dyDescent="0.25">
      <c r="J43" s="559" t="s">
        <v>2179</v>
      </c>
      <c r="K43" s="559" t="s">
        <v>2155</v>
      </c>
      <c r="L43" s="559" t="s">
        <v>2156</v>
      </c>
      <c r="M43" s="559">
        <v>14.1</v>
      </c>
      <c r="N43" s="559" cm="1">
        <f t="array" ref="N43">SUMPRODUCT(--(K43=[1]STEM_Results_AGS_Nov2024!$H:$H),--(LCA_Shortlist!J43=[1]STEM_Results_AGS_Nov2024!$C:$C),[1]STEM_Results_AGS_Nov2024!F:F)</f>
        <v>10500.000000000002</v>
      </c>
      <c r="O43" s="559" cm="1">
        <f t="array" ref="O43">SUMPRODUCT(--(K43=[1]STEM_Results_AGS_Nov2024!$H:$H),--(LCA_Shortlist!J43=[1]STEM_Results_AGS_Nov2024!$C:$C),[1]STEM_Results_AGS_Nov2024!G:G)</f>
        <v>52</v>
      </c>
      <c r="S43" t="s">
        <v>1173</v>
      </c>
      <c r="T43">
        <f>ROUNDDOWN(R66,0)</f>
        <v>2</v>
      </c>
      <c r="U43" t="s">
        <v>2137</v>
      </c>
      <c r="V43" t="str">
        <f t="shared" ref="V43:V57" si="0">CONCATENATE(S43,"_",T43)</f>
        <v>BAU_2</v>
      </c>
      <c r="W43" s="569" t="s">
        <v>2344</v>
      </c>
    </row>
    <row r="44" spans="10:23" x14ac:dyDescent="0.25">
      <c r="J44" s="559" t="s">
        <v>2180</v>
      </c>
      <c r="K44" s="559" t="s">
        <v>2155</v>
      </c>
      <c r="L44" s="559" t="s">
        <v>2156</v>
      </c>
      <c r="M44" s="559">
        <v>15.6</v>
      </c>
      <c r="N44" s="559" cm="1">
        <f t="array" ref="N44">SUMPRODUCT(--(K44=[1]STEM_Results_AGS_Nov2024!$H:$H),--(LCA_Shortlist!J44=[1]STEM_Results_AGS_Nov2024!$C:$C),[1]STEM_Results_AGS_Nov2024!F:F)</f>
        <v>10000</v>
      </c>
      <c r="O44" s="559" cm="1">
        <f t="array" ref="O44">SUMPRODUCT(--(K44=[1]STEM_Results_AGS_Nov2024!$H:$H),--(LCA_Shortlist!J44=[1]STEM_Results_AGS_Nov2024!$C:$C),[1]STEM_Results_AGS_Nov2024!G:G)</f>
        <v>52</v>
      </c>
      <c r="S44" t="s">
        <v>1173</v>
      </c>
      <c r="T44">
        <f>ROUNDDOWN(R68,0)</f>
        <v>4</v>
      </c>
      <c r="U44" t="s">
        <v>2138</v>
      </c>
      <c r="V44" t="str">
        <f t="shared" si="0"/>
        <v>BAU_4</v>
      </c>
      <c r="W44" s="569" t="s">
        <v>2345</v>
      </c>
    </row>
    <row r="45" spans="10:23" x14ac:dyDescent="0.25">
      <c r="J45" s="559" t="s">
        <v>2181</v>
      </c>
      <c r="K45" s="559" t="s">
        <v>2164</v>
      </c>
      <c r="L45" s="559" t="s">
        <v>2165</v>
      </c>
      <c r="M45" s="559">
        <v>0.1</v>
      </c>
      <c r="N45" s="559" cm="1">
        <f t="array" ref="N45">SUMPRODUCT(--(K45=[1]STEM_Results_AGS_Nov2024!$H:$H),--(LCA_Shortlist!J45=[1]STEM_Results_AGS_Nov2024!$C:$C),[1]STEM_Results_AGS_Nov2024!F:F)</f>
        <v>22500</v>
      </c>
      <c r="O45" s="559" cm="1">
        <f t="array" ref="O45">SUMPRODUCT(--(K45=[1]STEM_Results_AGS_Nov2024!$H:$H),--(LCA_Shortlist!J45=[1]STEM_Results_AGS_Nov2024!$C:$C),[1]STEM_Results_AGS_Nov2024!G:G)</f>
        <v>52</v>
      </c>
      <c r="S45" t="s">
        <v>1173</v>
      </c>
      <c r="T45">
        <f>ROUNDUP(R69,0)</f>
        <v>6</v>
      </c>
      <c r="U45" t="s">
        <v>2139</v>
      </c>
      <c r="V45" t="str">
        <f t="shared" si="0"/>
        <v>BAU_6</v>
      </c>
      <c r="W45" s="569" t="s">
        <v>2346</v>
      </c>
    </row>
    <row r="46" spans="10:23" x14ac:dyDescent="0.25">
      <c r="J46" s="559" t="s">
        <v>2182</v>
      </c>
      <c r="K46" s="559" t="s">
        <v>2164</v>
      </c>
      <c r="L46" s="559" t="s">
        <v>2165</v>
      </c>
      <c r="M46" s="559">
        <v>0.8</v>
      </c>
      <c r="N46" s="559" cm="1">
        <f t="array" ref="N46">SUMPRODUCT(--(K46=[1]STEM_Results_AGS_Nov2024!$H:$H),--(LCA_Shortlist!J46=[1]STEM_Results_AGS_Nov2024!$C:$C),[1]STEM_Results_AGS_Nov2024!F:F)</f>
        <v>18750</v>
      </c>
      <c r="O46" s="559" cm="1">
        <f t="array" ref="O46">SUMPRODUCT(--(K46=[1]STEM_Results_AGS_Nov2024!$H:$H),--(LCA_Shortlist!J46=[1]STEM_Results_AGS_Nov2024!$C:$C),[1]STEM_Results_AGS_Nov2024!G:G)</f>
        <v>52</v>
      </c>
      <c r="S46" t="s">
        <v>1173</v>
      </c>
      <c r="T46">
        <f>ROUNDUP(R70,0)</f>
        <v>10</v>
      </c>
      <c r="U46" t="s">
        <v>2140</v>
      </c>
      <c r="V46" t="str">
        <f t="shared" si="0"/>
        <v>BAU_10</v>
      </c>
      <c r="W46" s="569" t="s">
        <v>2347</v>
      </c>
    </row>
    <row r="47" spans="10:23" x14ac:dyDescent="0.25">
      <c r="J47" s="559" t="s">
        <v>2183</v>
      </c>
      <c r="K47" s="559" t="s">
        <v>2164</v>
      </c>
      <c r="L47" s="559" t="s">
        <v>2165</v>
      </c>
      <c r="M47" s="559">
        <v>1</v>
      </c>
      <c r="N47" s="559" cm="1">
        <f t="array" ref="N47">SUMPRODUCT(--(K47=[1]STEM_Results_AGS_Nov2024!$H:$H),--(LCA_Shortlist!J47=[1]STEM_Results_AGS_Nov2024!$C:$C),[1]STEM_Results_AGS_Nov2024!F:F)</f>
        <v>17500</v>
      </c>
      <c r="O47" s="559" cm="1">
        <f t="array" ref="O47">SUMPRODUCT(--(K47=[1]STEM_Results_AGS_Nov2024!$H:$H),--(LCA_Shortlist!J47=[1]STEM_Results_AGS_Nov2024!$C:$C),[1]STEM_Results_AGS_Nov2024!G:G)</f>
        <v>52</v>
      </c>
      <c r="S47" t="s">
        <v>1173</v>
      </c>
      <c r="T47">
        <f>ROUNDUP(R71,0)</f>
        <v>14</v>
      </c>
      <c r="U47" t="s">
        <v>2141</v>
      </c>
      <c r="V47" t="str">
        <f t="shared" si="0"/>
        <v>BAU_14</v>
      </c>
      <c r="W47" s="569" t="s">
        <v>2348</v>
      </c>
    </row>
    <row r="48" spans="10:23" x14ac:dyDescent="0.25">
      <c r="J48" s="559" t="s">
        <v>2184</v>
      </c>
      <c r="K48" s="559" t="s">
        <v>2164</v>
      </c>
      <c r="L48" s="559" t="s">
        <v>2165</v>
      </c>
      <c r="M48" s="559">
        <v>1.1000000000000001</v>
      </c>
      <c r="N48" s="559" cm="1">
        <f t="array" ref="N48">SUMPRODUCT(--(K48=[1]STEM_Results_AGS_Nov2024!$H:$H),--(LCA_Shortlist!J48=[1]STEM_Results_AGS_Nov2024!$C:$C),[1]STEM_Results_AGS_Nov2024!F:F)</f>
        <v>17000</v>
      </c>
      <c r="O48" s="559" cm="1">
        <f t="array" ref="O48">SUMPRODUCT(--(K48=[1]STEM_Results_AGS_Nov2024!$H:$H),--(LCA_Shortlist!J48=[1]STEM_Results_AGS_Nov2024!$C:$C),[1]STEM_Results_AGS_Nov2024!G:G)</f>
        <v>52</v>
      </c>
      <c r="S48" t="s">
        <v>1173</v>
      </c>
      <c r="T48">
        <f>ROUNDUP(R73,0)</f>
        <v>17</v>
      </c>
      <c r="U48" t="s">
        <v>2142</v>
      </c>
      <c r="V48" t="str">
        <f t="shared" si="0"/>
        <v>BAU_17</v>
      </c>
      <c r="W48" s="569" t="s">
        <v>2349</v>
      </c>
    </row>
    <row r="49" spans="10:26" x14ac:dyDescent="0.25">
      <c r="J49" s="559" t="s">
        <v>2185</v>
      </c>
      <c r="K49" s="559" t="s">
        <v>2164</v>
      </c>
      <c r="L49" s="559" t="s">
        <v>2165</v>
      </c>
      <c r="M49" s="559">
        <v>1.6</v>
      </c>
      <c r="N49" s="559" cm="1">
        <f t="array" ref="N49">SUMPRODUCT(--(K49=[1]STEM_Results_AGS_Nov2024!$H:$H),--(LCA_Shortlist!J49=[1]STEM_Results_AGS_Nov2024!$C:$C),[1]STEM_Results_AGS_Nov2024!F:F)</f>
        <v>16499.999999999996</v>
      </c>
      <c r="O49" s="559" cm="1">
        <f t="array" ref="O49">SUMPRODUCT(--(K49=[1]STEM_Results_AGS_Nov2024!$H:$H),--(LCA_Shortlist!J49=[1]STEM_Results_AGS_Nov2024!$C:$C),[1]STEM_Results_AGS_Nov2024!G:G)</f>
        <v>52</v>
      </c>
      <c r="S49" t="s">
        <v>2350</v>
      </c>
      <c r="T49">
        <v>0</v>
      </c>
      <c r="U49" t="s">
        <v>1915</v>
      </c>
      <c r="V49" t="str">
        <f t="shared" si="0"/>
        <v>BAU_BAU_CH_0</v>
      </c>
      <c r="W49" s="569" t="s">
        <v>2351</v>
      </c>
    </row>
    <row r="50" spans="10:26" x14ac:dyDescent="0.25">
      <c r="J50" s="559" t="s">
        <v>2186</v>
      </c>
      <c r="K50" s="559" t="s">
        <v>2164</v>
      </c>
      <c r="L50" s="559" t="s">
        <v>2165</v>
      </c>
      <c r="M50" s="559">
        <v>4.0999999999999996</v>
      </c>
      <c r="N50" s="559" cm="1">
        <f t="array" ref="N50">SUMPRODUCT(--(K50=[1]STEM_Results_AGS_Nov2024!$H:$H),--(LCA_Shortlist!J50=[1]STEM_Results_AGS_Nov2024!$C:$C),[1]STEM_Results_AGS_Nov2024!F:F)</f>
        <v>15500</v>
      </c>
      <c r="O50" s="559" cm="1">
        <f t="array" ref="O50">SUMPRODUCT(--(K50=[1]STEM_Results_AGS_Nov2024!$H:$H),--(LCA_Shortlist!J50=[1]STEM_Results_AGS_Nov2024!$C:$C),[1]STEM_Results_AGS_Nov2024!G:G)</f>
        <v>52</v>
      </c>
      <c r="S50" t="s">
        <v>1275</v>
      </c>
      <c r="T50">
        <f>T42</f>
        <v>0</v>
      </c>
      <c r="U50" t="s">
        <v>2136</v>
      </c>
      <c r="V50" t="str">
        <f t="shared" si="0"/>
        <v>LOW_0</v>
      </c>
      <c r="W50" s="569" t="s">
        <v>2352</v>
      </c>
    </row>
    <row r="51" spans="10:26" x14ac:dyDescent="0.25">
      <c r="J51" s="559" t="s">
        <v>2187</v>
      </c>
      <c r="K51" s="559" t="s">
        <v>2164</v>
      </c>
      <c r="L51" s="559" t="s">
        <v>2165</v>
      </c>
      <c r="M51" s="559">
        <v>5</v>
      </c>
      <c r="N51" s="559" cm="1">
        <f t="array" ref="N51">SUMPRODUCT(--(K51=[1]STEM_Results_AGS_Nov2024!$H:$H),--(LCA_Shortlist!J51=[1]STEM_Results_AGS_Nov2024!$C:$C),[1]STEM_Results_AGS_Nov2024!F:F)</f>
        <v>15000</v>
      </c>
      <c r="O51" s="559" cm="1">
        <f t="array" ref="O51">SUMPRODUCT(--(K51=[1]STEM_Results_AGS_Nov2024!$H:$H),--(LCA_Shortlist!J51=[1]STEM_Results_AGS_Nov2024!$C:$C),[1]STEM_Results_AGS_Nov2024!G:G)</f>
        <v>52</v>
      </c>
      <c r="S51" t="s">
        <v>1275</v>
      </c>
      <c r="T51">
        <f t="shared" ref="T51:T57" si="1">T43</f>
        <v>2</v>
      </c>
      <c r="U51" t="s">
        <v>2137</v>
      </c>
      <c r="V51" t="str">
        <f t="shared" si="0"/>
        <v>LOW_2</v>
      </c>
      <c r="W51" s="569" t="s">
        <v>2353</v>
      </c>
    </row>
    <row r="52" spans="10:26" x14ac:dyDescent="0.25">
      <c r="J52" s="559" t="s">
        <v>2188</v>
      </c>
      <c r="K52" s="559" t="s">
        <v>2164</v>
      </c>
      <c r="L52" s="559" t="s">
        <v>2165</v>
      </c>
      <c r="M52" s="559">
        <v>6.5</v>
      </c>
      <c r="N52" s="559" cm="1">
        <f t="array" ref="N52">SUMPRODUCT(--(K52=[1]STEM_Results_AGS_Nov2024!$H:$H),--(LCA_Shortlist!J52=[1]STEM_Results_AGS_Nov2024!$C:$C),[1]STEM_Results_AGS_Nov2024!F:F)</f>
        <v>14500.000000000002</v>
      </c>
      <c r="O52" s="559" cm="1">
        <f t="array" ref="O52">SUMPRODUCT(--(K52=[1]STEM_Results_AGS_Nov2024!$H:$H),--(LCA_Shortlist!J52=[1]STEM_Results_AGS_Nov2024!$C:$C),[1]STEM_Results_AGS_Nov2024!G:G)</f>
        <v>52</v>
      </c>
      <c r="S52" t="s">
        <v>1275</v>
      </c>
      <c r="T52">
        <f t="shared" si="1"/>
        <v>4</v>
      </c>
      <c r="U52" t="s">
        <v>2138</v>
      </c>
      <c r="V52" t="str">
        <f t="shared" si="0"/>
        <v>LOW_4</v>
      </c>
      <c r="W52" s="569" t="s">
        <v>2354</v>
      </c>
    </row>
    <row r="53" spans="10:26" x14ac:dyDescent="0.25">
      <c r="J53" s="559" t="s">
        <v>2189</v>
      </c>
      <c r="K53" s="559" t="s">
        <v>2164</v>
      </c>
      <c r="L53" s="559" t="s">
        <v>2165</v>
      </c>
      <c r="M53" s="559">
        <v>13</v>
      </c>
      <c r="N53" s="559" cm="1">
        <f t="array" ref="N53">SUMPRODUCT(--(K53=[1]STEM_Results_AGS_Nov2024!$H:$H),--(LCA_Shortlist!J53=[1]STEM_Results_AGS_Nov2024!$C:$C),[1]STEM_Results_AGS_Nov2024!F:F)</f>
        <v>13000</v>
      </c>
      <c r="O53" s="559" cm="1">
        <f t="array" ref="O53">SUMPRODUCT(--(K53=[1]STEM_Results_AGS_Nov2024!$H:$H),--(LCA_Shortlist!J53=[1]STEM_Results_AGS_Nov2024!$C:$C),[1]STEM_Results_AGS_Nov2024!G:G)</f>
        <v>52</v>
      </c>
      <c r="S53" t="s">
        <v>1275</v>
      </c>
      <c r="T53">
        <f t="shared" si="1"/>
        <v>6</v>
      </c>
      <c r="U53" t="s">
        <v>2139</v>
      </c>
      <c r="V53" t="str">
        <f t="shared" si="0"/>
        <v>LOW_6</v>
      </c>
      <c r="W53" s="569" t="s">
        <v>2355</v>
      </c>
    </row>
    <row r="54" spans="10:26" x14ac:dyDescent="0.25">
      <c r="J54" s="559" t="s">
        <v>2175</v>
      </c>
      <c r="K54" s="559" t="s">
        <v>2164</v>
      </c>
      <c r="L54" s="559" t="s">
        <v>2165</v>
      </c>
      <c r="M54" s="559">
        <v>13.2</v>
      </c>
      <c r="N54" s="559" cm="1">
        <f t="array" ref="N54">SUMPRODUCT(--(K54=[1]STEM_Results_AGS_Nov2024!$H:$H),--(LCA_Shortlist!J54=[1]STEM_Results_AGS_Nov2024!$C:$C),[1]STEM_Results_AGS_Nov2024!F:F)</f>
        <v>12500</v>
      </c>
      <c r="O54" s="559" cm="1">
        <f t="array" ref="O54">SUMPRODUCT(--(K54=[1]STEM_Results_AGS_Nov2024!$H:$H),--(LCA_Shortlist!J54=[1]STEM_Results_AGS_Nov2024!$C:$C),[1]STEM_Results_AGS_Nov2024!G:G)</f>
        <v>52</v>
      </c>
      <c r="S54" t="s">
        <v>1275</v>
      </c>
      <c r="T54">
        <f t="shared" si="1"/>
        <v>10</v>
      </c>
      <c r="U54" t="s">
        <v>2140</v>
      </c>
      <c r="V54" t="str">
        <f t="shared" si="0"/>
        <v>LOW_10</v>
      </c>
      <c r="W54" s="569" t="s">
        <v>2356</v>
      </c>
    </row>
    <row r="55" spans="10:26" x14ac:dyDescent="0.25">
      <c r="J55" s="559" t="s">
        <v>2177</v>
      </c>
      <c r="K55" s="559" t="s">
        <v>2164</v>
      </c>
      <c r="L55" s="559" t="s">
        <v>2165</v>
      </c>
      <c r="M55" s="559">
        <v>13.8</v>
      </c>
      <c r="N55" s="559" cm="1">
        <f t="array" ref="N55">SUMPRODUCT(--(K55=[1]STEM_Results_AGS_Nov2024!$H:$H),--(LCA_Shortlist!J55=[1]STEM_Results_AGS_Nov2024!$C:$C),[1]STEM_Results_AGS_Nov2024!F:F)</f>
        <v>11500</v>
      </c>
      <c r="O55" s="559" cm="1">
        <f t="array" ref="O55">SUMPRODUCT(--(K55=[1]STEM_Results_AGS_Nov2024!$H:$H),--(LCA_Shortlist!J55=[1]STEM_Results_AGS_Nov2024!$C:$C),[1]STEM_Results_AGS_Nov2024!G:G)</f>
        <v>52</v>
      </c>
      <c r="S55" t="s">
        <v>1275</v>
      </c>
      <c r="T55">
        <f t="shared" si="1"/>
        <v>14</v>
      </c>
      <c r="U55" t="s">
        <v>2141</v>
      </c>
      <c r="V55" t="str">
        <f t="shared" si="0"/>
        <v>LOW_14</v>
      </c>
      <c r="W55" s="569" t="s">
        <v>2357</v>
      </c>
    </row>
    <row r="56" spans="10:26" x14ac:dyDescent="0.25">
      <c r="J56" s="559" t="s">
        <v>2176</v>
      </c>
      <c r="K56" s="559" t="s">
        <v>2164</v>
      </c>
      <c r="L56" s="559" t="s">
        <v>2165</v>
      </c>
      <c r="M56" s="559">
        <v>13.9</v>
      </c>
      <c r="N56" s="559" cm="1">
        <f t="array" ref="N56">SUMPRODUCT(--(K56=[1]STEM_Results_AGS_Nov2024!$H:$H),--(LCA_Shortlist!J56=[1]STEM_Results_AGS_Nov2024!$C:$C),[1]STEM_Results_AGS_Nov2024!F:F)</f>
        <v>12000</v>
      </c>
      <c r="O56" s="559" cm="1">
        <f t="array" ref="O56">SUMPRODUCT(--(K56=[1]STEM_Results_AGS_Nov2024!$H:$H),--(LCA_Shortlist!J56=[1]STEM_Results_AGS_Nov2024!$C:$C),[1]STEM_Results_AGS_Nov2024!G:G)</f>
        <v>52</v>
      </c>
      <c r="S56" t="s">
        <v>1275</v>
      </c>
      <c r="T56">
        <f t="shared" si="1"/>
        <v>17</v>
      </c>
      <c r="U56" t="s">
        <v>2142</v>
      </c>
      <c r="V56" t="str">
        <f t="shared" si="0"/>
        <v>LOW_17</v>
      </c>
      <c r="W56" s="569" t="s">
        <v>2358</v>
      </c>
    </row>
    <row r="57" spans="10:26" x14ac:dyDescent="0.25">
      <c r="J57" s="559" t="s">
        <v>2178</v>
      </c>
      <c r="K57" s="559" t="s">
        <v>2164</v>
      </c>
      <c r="L57" s="559" t="s">
        <v>2165</v>
      </c>
      <c r="M57" s="559">
        <v>13.9</v>
      </c>
      <c r="N57" s="559" cm="1">
        <f t="array" ref="N57">SUMPRODUCT(--(K57=[1]STEM_Results_AGS_Nov2024!$H:$H),--(LCA_Shortlist!J57=[1]STEM_Results_AGS_Nov2024!$C:$C),[1]STEM_Results_AGS_Nov2024!F:F)</f>
        <v>10999.999999999998</v>
      </c>
      <c r="O57" s="559" cm="1">
        <f t="array" ref="O57">SUMPRODUCT(--(K57=[1]STEM_Results_AGS_Nov2024!$H:$H),--(LCA_Shortlist!J57=[1]STEM_Results_AGS_Nov2024!$C:$C),[1]STEM_Results_AGS_Nov2024!G:G)</f>
        <v>52</v>
      </c>
      <c r="S57" t="s">
        <v>2359</v>
      </c>
      <c r="T57">
        <f t="shared" si="1"/>
        <v>0</v>
      </c>
      <c r="U57" t="s">
        <v>1915</v>
      </c>
      <c r="V57" t="str">
        <f t="shared" si="0"/>
        <v>LOW_BAU_CH_0</v>
      </c>
      <c r="W57" s="569" t="s">
        <v>2360</v>
      </c>
    </row>
    <row r="58" spans="10:26" x14ac:dyDescent="0.25">
      <c r="J58" s="559" t="s">
        <v>2179</v>
      </c>
      <c r="K58" s="559" t="s">
        <v>2164</v>
      </c>
      <c r="L58" s="559" t="s">
        <v>2165</v>
      </c>
      <c r="M58" s="559">
        <v>15.7</v>
      </c>
      <c r="N58" s="559" cm="1">
        <f t="array" ref="N58">SUMPRODUCT(--(K58=[1]STEM_Results_AGS_Nov2024!$H:$H),--(LCA_Shortlist!J58=[1]STEM_Results_AGS_Nov2024!$C:$C),[1]STEM_Results_AGS_Nov2024!F:F)</f>
        <v>10500.000000000002</v>
      </c>
      <c r="O58" s="559" cm="1">
        <f t="array" ref="O58">SUMPRODUCT(--(K58=[1]STEM_Results_AGS_Nov2024!$H:$H),--(LCA_Shortlist!J58=[1]STEM_Results_AGS_Nov2024!$C:$C),[1]STEM_Results_AGS_Nov2024!G:G)</f>
        <v>52</v>
      </c>
    </row>
    <row r="59" spans="10:26" x14ac:dyDescent="0.25">
      <c r="J59" s="559" t="s">
        <v>2180</v>
      </c>
      <c r="K59" s="559" t="s">
        <v>2164</v>
      </c>
      <c r="L59" s="559" t="s">
        <v>2165</v>
      </c>
      <c r="M59" s="559">
        <v>16.100000000000001</v>
      </c>
      <c r="N59" s="559" cm="1">
        <f t="array" ref="N59">SUMPRODUCT(--(K59=[1]STEM_Results_AGS_Nov2024!$H:$H),--(LCA_Shortlist!J59=[1]STEM_Results_AGS_Nov2024!$C:$C),[1]STEM_Results_AGS_Nov2024!F:F)</f>
        <v>10000</v>
      </c>
      <c r="O59" s="559" cm="1">
        <f t="array" ref="O59">SUMPRODUCT(--(K59=[1]STEM_Results_AGS_Nov2024!$H:$H),--(LCA_Shortlist!J59=[1]STEM_Results_AGS_Nov2024!$C:$C),[1]STEM_Results_AGS_Nov2024!G:G)</f>
        <v>52</v>
      </c>
    </row>
    <row r="62" spans="10:26" x14ac:dyDescent="0.25">
      <c r="J62" s="559" t="s">
        <v>2190</v>
      </c>
      <c r="K62" s="559" t="s">
        <v>2164</v>
      </c>
      <c r="L62" s="559" t="s">
        <v>2165</v>
      </c>
      <c r="M62" s="559">
        <v>0</v>
      </c>
      <c r="N62" s="559" cm="1">
        <f t="array" ref="N62">SUMPRODUCT(--(K62=[1]STEM_Results_AGS_Nov2024!$H:$H),--(LCA_Shortlist!J62=[1]STEM_Results_AGS_Nov2024!$C:$C),[1]STEM_Results_AGS_Nov2024!F:F)</f>
        <v>22500</v>
      </c>
      <c r="O62" s="559" cm="1">
        <f t="array" ref="O62">SUMPRODUCT(--(K62=[1]STEM_Results_AGS_Nov2024!$H:$H),--(LCA_Shortlist!J62=[1]STEM_Results_AGS_Nov2024!$C:$C),[1]STEM_Results_AGS_Nov2024!G:G)</f>
        <v>60</v>
      </c>
      <c r="Q62" s="559" t="s">
        <v>2191</v>
      </c>
      <c r="X62" s="559" t="s">
        <v>2192</v>
      </c>
      <c r="Z62" s="559" t="s">
        <v>2193</v>
      </c>
    </row>
    <row r="63" spans="10:26" x14ac:dyDescent="0.25">
      <c r="J63" s="559" t="s">
        <v>2194</v>
      </c>
      <c r="K63" s="559" t="s">
        <v>2164</v>
      </c>
      <c r="L63" s="559" t="s">
        <v>2165</v>
      </c>
      <c r="M63" s="559">
        <v>0.6</v>
      </c>
      <c r="N63" s="559" cm="1">
        <f t="array" ref="N63">SUMPRODUCT(--(K63=[1]STEM_Results_AGS_Nov2024!$H:$H),--(LCA_Shortlist!J63=[1]STEM_Results_AGS_Nov2024!$C:$C),[1]STEM_Results_AGS_Nov2024!F:F)</f>
        <v>20000</v>
      </c>
      <c r="O63" s="559" cm="1">
        <f t="array" ref="O63">SUMPRODUCT(--(K63=[1]STEM_Results_AGS_Nov2024!$H:$H),--(LCA_Shortlist!J63=[1]STEM_Results_AGS_Nov2024!$C:$C),[1]STEM_Results_AGS_Nov2024!G:G)</f>
        <v>60</v>
      </c>
      <c r="Q63" s="559" t="s">
        <v>2195</v>
      </c>
      <c r="R63" s="559" t="s">
        <v>2151</v>
      </c>
      <c r="S63" s="559" t="s">
        <v>2196</v>
      </c>
      <c r="T63" s="559" t="s">
        <v>2197</v>
      </c>
      <c r="U63" s="559" t="s">
        <v>2198</v>
      </c>
      <c r="V63" s="559" t="s">
        <v>367</v>
      </c>
      <c r="X63" s="559" t="s">
        <v>2151</v>
      </c>
      <c r="Y63" s="559" t="s">
        <v>2199</v>
      </c>
      <c r="Z63" s="559" t="s">
        <v>2200</v>
      </c>
    </row>
    <row r="64" spans="10:26" x14ac:dyDescent="0.25">
      <c r="J64" s="559" t="s">
        <v>2201</v>
      </c>
      <c r="K64" s="559" t="s">
        <v>2164</v>
      </c>
      <c r="L64" s="559" t="s">
        <v>2165</v>
      </c>
      <c r="M64" s="559">
        <v>0.8</v>
      </c>
      <c r="N64" s="559" cm="1">
        <f t="array" ref="N64">SUMPRODUCT(--(K64=[1]STEM_Results_AGS_Nov2024!$H:$H),--(LCA_Shortlist!J64=[1]STEM_Results_AGS_Nov2024!$C:$C),[1]STEM_Results_AGS_Nov2024!F:F)</f>
        <v>18750</v>
      </c>
      <c r="O64" s="559" cm="1">
        <f t="array" ref="O64">SUMPRODUCT(--(K64=[1]STEM_Results_AGS_Nov2024!$H:$H),--(LCA_Shortlist!J64=[1]STEM_Results_AGS_Nov2024!$C:$C),[1]STEM_Results_AGS_Nov2024!G:G)</f>
        <v>60</v>
      </c>
      <c r="Q64" s="558" t="str">
        <f>+J62</f>
        <v>1141</v>
      </c>
      <c r="R64" s="558">
        <f>+M62</f>
        <v>0</v>
      </c>
      <c r="S64" s="561">
        <f>+N62/1000</f>
        <v>22.5</v>
      </c>
      <c r="T64" s="558">
        <f>+'[2]Electricity and CHPs'!$Q$15</f>
        <v>2.5801522378689503E-3</v>
      </c>
      <c r="U64" s="558">
        <f>+'[2]Electricity and CHPs_CAP'!$Q$15</f>
        <v>3.1008710530190599E-4</v>
      </c>
      <c r="V64" s="562">
        <f>+T64/U64/8.76</f>
        <v>0.94985544919902976</v>
      </c>
      <c r="X64" s="563">
        <f>+'[2]Electricity and CHPs'!$Q$13</f>
        <v>35.312559180206115</v>
      </c>
      <c r="Y64" s="563">
        <f>+'[2]Electricity and CHPs_CAP'!$Q$13</f>
        <v>36.652342121636941</v>
      </c>
      <c r="Z64" s="564">
        <f>SUM([2]Storages!$G$18:$G$20)</f>
        <v>0.70674296495132205</v>
      </c>
    </row>
    <row r="65" spans="10:30" x14ac:dyDescent="0.25">
      <c r="J65" s="559" t="s">
        <v>2202</v>
      </c>
      <c r="K65" s="559" t="s">
        <v>2164</v>
      </c>
      <c r="L65" s="559" t="s">
        <v>2165</v>
      </c>
      <c r="M65" s="558">
        <v>1</v>
      </c>
      <c r="N65" s="559" cm="1">
        <f t="array" ref="N65">SUMPRODUCT(--(K65=[1]STEM_Results_AGS_Nov2024!$H:$H),--(LCA_Shortlist!J65=[1]STEM_Results_AGS_Nov2024!$C:$C),[1]STEM_Results_AGS_Nov2024!F:F)</f>
        <v>17500</v>
      </c>
      <c r="O65" s="559" cm="1">
        <f t="array" ref="O65">SUMPRODUCT(--(K65=[1]STEM_Results_AGS_Nov2024!$H:$H),--(LCA_Shortlist!J65=[1]STEM_Results_AGS_Nov2024!$C:$C),[1]STEM_Results_AGS_Nov2024!G:G)</f>
        <v>60</v>
      </c>
      <c r="Q65" s="559" t="str">
        <f>+J65</f>
        <v>1145</v>
      </c>
      <c r="R65" s="559">
        <f>+M65</f>
        <v>1</v>
      </c>
      <c r="S65" s="565">
        <f t="shared" ref="S65:S82" si="2">+N63/1000</f>
        <v>20</v>
      </c>
      <c r="T65" s="559">
        <f>+'[3]Electricity and CHPs'!$Q$15</f>
        <v>1.0313888034174725</v>
      </c>
      <c r="U65" s="559">
        <f>+'[3]Electricity and CHPs_CAP'!$Q$15</f>
        <v>0.123935206587725</v>
      </c>
      <c r="V65" s="566">
        <f>+T65/U65/8.76</f>
        <v>0.95000001307431681</v>
      </c>
      <c r="X65" s="563">
        <f>+'[3]Electricity and CHPs'!$Q$13</f>
        <v>34.89566116943972</v>
      </c>
      <c r="Y65" s="563">
        <f>+'[3]Electricity and CHPs_CAP'!$Q$13</f>
        <v>36.219697376359349</v>
      </c>
      <c r="Z65" s="564">
        <f>SUM([3]Storages!$G$18:$G$20)</f>
        <v>0.7676126065066502</v>
      </c>
      <c r="AA65" s="566"/>
      <c r="AD65" s="565"/>
    </row>
    <row r="66" spans="10:30" x14ac:dyDescent="0.25">
      <c r="J66" s="559" t="s">
        <v>2203</v>
      </c>
      <c r="K66" s="559" t="s">
        <v>2164</v>
      </c>
      <c r="L66" s="559" t="s">
        <v>2165</v>
      </c>
      <c r="M66" s="559">
        <v>1.5</v>
      </c>
      <c r="N66" s="559" cm="1">
        <f t="array" ref="N66">SUMPRODUCT(--(K66=[1]STEM_Results_AGS_Nov2024!$H:$H),--(LCA_Shortlist!J66=[1]STEM_Results_AGS_Nov2024!$C:$C),[1]STEM_Results_AGS_Nov2024!F:F)</f>
        <v>17000</v>
      </c>
      <c r="O66" s="559" cm="1">
        <f t="array" ref="O66">SUMPRODUCT(--(K66=[1]STEM_Results_AGS_Nov2024!$H:$H),--(LCA_Shortlist!J66=[1]STEM_Results_AGS_Nov2024!$C:$C),[1]STEM_Results_AGS_Nov2024!G:G)</f>
        <v>60</v>
      </c>
      <c r="Q66" s="558" t="str">
        <f>+J67</f>
        <v>1147</v>
      </c>
      <c r="R66" s="558">
        <f>+M67</f>
        <v>2.2000000000000002</v>
      </c>
      <c r="S66" s="561">
        <f t="shared" si="2"/>
        <v>18.75</v>
      </c>
      <c r="T66" s="558">
        <f>+'[4]Electricity and CHPs'!$Q$15</f>
        <v>2.1840628533399848</v>
      </c>
      <c r="U66" s="558">
        <f>+'[4]Electricity and CHPs_CAP'!$Q$15</f>
        <v>0.26244479518074099</v>
      </c>
      <c r="V66" s="562">
        <f t="shared" ref="V66:V73" si="3">+T66/U66/8.76</f>
        <v>0.9499988115986755</v>
      </c>
      <c r="X66" s="563">
        <f>+'[4]Electricity and CHPs'!$Q$13</f>
        <v>34.682243646296165</v>
      </c>
      <c r="Y66" s="563">
        <f>+'[4]Electricity and CHPs_CAP'!$Q$13</f>
        <v>35.998216947491549</v>
      </c>
      <c r="Z66" s="564">
        <f>SUM([4]Storages!$G$18:$G$20)</f>
        <v>0.98803107908374266</v>
      </c>
      <c r="AA66" s="566"/>
      <c r="AD66" s="565"/>
    </row>
    <row r="67" spans="10:30" x14ac:dyDescent="0.25">
      <c r="J67" s="559" t="s">
        <v>2204</v>
      </c>
      <c r="K67" s="559" t="s">
        <v>2164</v>
      </c>
      <c r="L67" s="559" t="s">
        <v>2165</v>
      </c>
      <c r="M67" s="558">
        <v>2.2000000000000002</v>
      </c>
      <c r="N67" s="559" cm="1">
        <f t="array" ref="N67">SUMPRODUCT(--(K67=[1]STEM_Results_AGS_Nov2024!$H:$H),--(LCA_Shortlist!J67=[1]STEM_Results_AGS_Nov2024!$C:$C),[1]STEM_Results_AGS_Nov2024!F:F)</f>
        <v>16499.999999999996</v>
      </c>
      <c r="O67" s="559" cm="1">
        <f t="array" ref="O67">SUMPRODUCT(--(K67=[1]STEM_Results_AGS_Nov2024!$H:$H),--(LCA_Shortlist!J67=[1]STEM_Results_AGS_Nov2024!$C:$C),[1]STEM_Results_AGS_Nov2024!G:G)</f>
        <v>60</v>
      </c>
      <c r="Q67" s="559" t="str">
        <f>+J68</f>
        <v>1148</v>
      </c>
      <c r="R67" s="559">
        <f>+M68</f>
        <v>3.6</v>
      </c>
      <c r="S67" s="565">
        <f t="shared" si="2"/>
        <v>17.5</v>
      </c>
      <c r="T67" s="559">
        <f>+'[5]Electricity and CHPs'!$Q$15</f>
        <v>3.5993567724883926</v>
      </c>
      <c r="U67" s="559">
        <f>+'[5]Electricity and CHPs_CAP'!$Q$15</f>
        <v>0.44095795935303317</v>
      </c>
      <c r="V67" s="566">
        <f t="shared" si="3"/>
        <v>0.93180192713678489</v>
      </c>
      <c r="X67" s="563">
        <f>+'[5]Electricity and CHPs'!$Q$13</f>
        <v>33.621948595322472</v>
      </c>
      <c r="Y67" s="563">
        <f>+'[5]Electricity and CHPs_CAP'!$Q$13</f>
        <v>34.897868990598653</v>
      </c>
      <c r="Z67" s="564">
        <f>SUM([5]Storages!$G$18:$G$20)</f>
        <v>1.0493626546804555</v>
      </c>
      <c r="AA67" s="566"/>
      <c r="AD67" s="565"/>
    </row>
    <row r="68" spans="10:30" x14ac:dyDescent="0.25">
      <c r="J68" s="559" t="s">
        <v>2205</v>
      </c>
      <c r="K68" s="559" t="s">
        <v>2164</v>
      </c>
      <c r="L68" s="559" t="s">
        <v>2165</v>
      </c>
      <c r="M68" s="558">
        <v>3.6</v>
      </c>
      <c r="N68" s="559" cm="1">
        <f t="array" ref="N68">SUMPRODUCT(--(K68=[1]STEM_Results_AGS_Nov2024!$H:$H),--(LCA_Shortlist!J68=[1]STEM_Results_AGS_Nov2024!$C:$C),[1]STEM_Results_AGS_Nov2024!F:F)</f>
        <v>16000</v>
      </c>
      <c r="O68" s="559" cm="1">
        <f t="array" ref="O68">SUMPRODUCT(--(K68=[1]STEM_Results_AGS_Nov2024!$H:$H),--(LCA_Shortlist!J68=[1]STEM_Results_AGS_Nov2024!$C:$C),[1]STEM_Results_AGS_Nov2024!G:G)</f>
        <v>60</v>
      </c>
      <c r="Q68" s="558" t="str">
        <f>+J69</f>
        <v>1149</v>
      </c>
      <c r="R68" s="558">
        <f>+M69</f>
        <v>4.4000000000000004</v>
      </c>
      <c r="S68" s="561">
        <f t="shared" si="2"/>
        <v>17</v>
      </c>
      <c r="T68" s="558">
        <f>+'[6]Electricity and CHPs'!$Q$15</f>
        <v>4.4488478739595712</v>
      </c>
      <c r="U68" s="558">
        <f>+'[6]Electricity and CHPs_CAP'!$Q$15</f>
        <v>0.55722739065643268</v>
      </c>
      <c r="V68" s="562">
        <f t="shared" si="3"/>
        <v>0.91140413206203197</v>
      </c>
      <c r="X68" s="563">
        <f>+'[6]Electricity and CHPs'!$Q$13</f>
        <v>33.185767123566443</v>
      </c>
      <c r="Y68" s="563">
        <f>+'[6]Electricity and CHPs_CAP'!$Q$13</f>
        <v>34.445210074566589</v>
      </c>
      <c r="Z68" s="564">
        <f>SUM([6]Storages!$G$18:$G$20)</f>
        <v>0.97971021100914801</v>
      </c>
      <c r="AA68" s="566"/>
      <c r="AD68" s="565"/>
    </row>
    <row r="69" spans="10:30" x14ac:dyDescent="0.25">
      <c r="J69" s="559" t="s">
        <v>2206</v>
      </c>
      <c r="K69" s="559" t="s">
        <v>2164</v>
      </c>
      <c r="L69" s="559" t="s">
        <v>2165</v>
      </c>
      <c r="M69" s="559">
        <v>4.4000000000000004</v>
      </c>
      <c r="N69" s="559" cm="1">
        <f t="array" ref="N69">SUMPRODUCT(--(K69=[1]STEM_Results_AGS_Nov2024!$H:$H),--(LCA_Shortlist!J69=[1]STEM_Results_AGS_Nov2024!$C:$C),[1]STEM_Results_AGS_Nov2024!F:F)</f>
        <v>15500</v>
      </c>
      <c r="O69" s="559" cm="1">
        <f t="array" ref="O69">SUMPRODUCT(--(K69=[1]STEM_Results_AGS_Nov2024!$H:$H),--(LCA_Shortlist!J69=[1]STEM_Results_AGS_Nov2024!$C:$C),[1]STEM_Results_AGS_Nov2024!G:G)</f>
        <v>60</v>
      </c>
      <c r="Q69" s="558" t="str">
        <f>+J70</f>
        <v>1150</v>
      </c>
      <c r="R69" s="558">
        <f>+M70</f>
        <v>5.9</v>
      </c>
      <c r="S69" s="561">
        <f t="shared" si="2"/>
        <v>16.499999999999996</v>
      </c>
      <c r="T69" s="558">
        <f>+'[7]Electricity and CHPs'!$Q$15</f>
        <v>5.9480762613473557</v>
      </c>
      <c r="U69" s="558">
        <f>+'[7]Electricity and CHPs_CAP'!$Q$15</f>
        <v>0.78072223924780781</v>
      </c>
      <c r="V69" s="562">
        <f t="shared" si="3"/>
        <v>0.86971281883478213</v>
      </c>
      <c r="X69" s="563">
        <f>+'[7]Electricity and CHPs'!$Q$13</f>
        <v>32.888966989496204</v>
      </c>
      <c r="Y69" s="563">
        <f>+'[7]Electricity and CHPs_CAP'!$Q$13</f>
        <v>34.137189632363587</v>
      </c>
      <c r="Z69" s="564">
        <f>SUM([7]Storages!$G$18:$G$20)</f>
        <v>0.81188510991569152</v>
      </c>
      <c r="AA69" s="566"/>
      <c r="AD69" s="565"/>
    </row>
    <row r="70" spans="10:30" x14ac:dyDescent="0.25">
      <c r="J70" s="559" t="s">
        <v>2207</v>
      </c>
      <c r="K70" s="559" t="s">
        <v>2164</v>
      </c>
      <c r="L70" s="559" t="s">
        <v>2165</v>
      </c>
      <c r="M70" s="558">
        <v>5.9</v>
      </c>
      <c r="N70" s="559" cm="1">
        <f t="array" ref="N70">SUMPRODUCT(--(K70=[1]STEM_Results_AGS_Nov2024!$H:$H),--(LCA_Shortlist!J70=[1]STEM_Results_AGS_Nov2024!$C:$C),[1]STEM_Results_AGS_Nov2024!F:F)</f>
        <v>15000</v>
      </c>
      <c r="O70" s="559" cm="1">
        <f t="array" ref="O70">SUMPRODUCT(--(K70=[1]STEM_Results_AGS_Nov2024!$H:$H),--(LCA_Shortlist!J70=[1]STEM_Results_AGS_Nov2024!$C:$C),[1]STEM_Results_AGS_Nov2024!G:G)</f>
        <v>60</v>
      </c>
      <c r="Q70" s="558" t="str">
        <f>+J72</f>
        <v>1152</v>
      </c>
      <c r="R70" s="558">
        <f>+M72</f>
        <v>10</v>
      </c>
      <c r="S70" s="561">
        <f t="shared" si="2"/>
        <v>16</v>
      </c>
      <c r="T70" s="558">
        <f>+'[8]Electricity and CHPs'!$Q$15</f>
        <v>9.9919652166461326</v>
      </c>
      <c r="U70" s="558">
        <f>+'[8]Electricity and CHPs_CAP'!$Q$15</f>
        <v>1.4223108750552069</v>
      </c>
      <c r="V70" s="562">
        <f t="shared" si="3"/>
        <v>0.80195920505748985</v>
      </c>
      <c r="X70" s="563">
        <f>+'[8]Electricity and CHPs'!$Q$13</f>
        <v>32.150897317270811</v>
      </c>
      <c r="Y70" s="563">
        <f>+'[8]Electricity and CHPs_CAP'!$Q$13</f>
        <v>33.371247541096338</v>
      </c>
      <c r="Z70" s="564">
        <f>SUM([8]Storages!$G$18:$G$20)</f>
        <v>0.83336325598349692</v>
      </c>
      <c r="AA70" s="566"/>
      <c r="AD70" s="565"/>
    </row>
    <row r="71" spans="10:30" x14ac:dyDescent="0.25">
      <c r="J71" s="559" t="s">
        <v>2208</v>
      </c>
      <c r="K71" s="559" t="s">
        <v>2164</v>
      </c>
      <c r="L71" s="559" t="s">
        <v>2165</v>
      </c>
      <c r="M71" s="559">
        <v>8.6999999999999993</v>
      </c>
      <c r="N71" s="559" cm="1">
        <f t="array" ref="N71">SUMPRODUCT(--(K71=[1]STEM_Results_AGS_Nov2024!$H:$H),--(LCA_Shortlist!J71=[1]STEM_Results_AGS_Nov2024!$C:$C),[1]STEM_Results_AGS_Nov2024!F:F)</f>
        <v>14500.000000000002</v>
      </c>
      <c r="O71" s="559" cm="1">
        <f t="array" ref="O71">SUMPRODUCT(--(K71=[1]STEM_Results_AGS_Nov2024!$H:$H),--(LCA_Shortlist!J71=[1]STEM_Results_AGS_Nov2024!$C:$C),[1]STEM_Results_AGS_Nov2024!G:G)</f>
        <v>60</v>
      </c>
      <c r="Q71" s="558" t="str">
        <f t="shared" ref="Q71:Q82" si="4">+J76</f>
        <v>1156</v>
      </c>
      <c r="R71" s="558">
        <f t="shared" ref="R71:R82" si="5">+M76</f>
        <v>13.7</v>
      </c>
      <c r="S71" s="561">
        <f t="shared" si="2"/>
        <v>15.5</v>
      </c>
      <c r="T71" s="558">
        <f>+'[9]Electricity and CHPs'!$Q$15</f>
        <v>13.6655375896307</v>
      </c>
      <c r="U71" s="558">
        <f>+'[9]Electricity and CHPs_CAP'!$Q$15</f>
        <v>1.9887633034797669</v>
      </c>
      <c r="V71" s="562">
        <f>+T71/U71/8.76</f>
        <v>0.78440348974615404</v>
      </c>
      <c r="X71" s="563">
        <f>+'[9]Electricity and CHPs'!$Q$13</f>
        <v>29.132920374145293</v>
      </c>
      <c r="Y71" s="563">
        <f>+'[9]Electricity and CHPs_CAP'!$Q$13</f>
        <v>30.238326220059594</v>
      </c>
      <c r="Z71" s="564">
        <f>SUM([9]Storages!$G$18:$G$20)</f>
        <v>0.63206500450367376</v>
      </c>
      <c r="AA71" s="566"/>
      <c r="AD71" s="565"/>
    </row>
    <row r="72" spans="10:30" x14ac:dyDescent="0.25">
      <c r="J72" s="559" t="s">
        <v>2209</v>
      </c>
      <c r="K72" s="559" t="s">
        <v>2164</v>
      </c>
      <c r="L72" s="559" t="s">
        <v>2165</v>
      </c>
      <c r="M72" s="558">
        <v>10</v>
      </c>
      <c r="N72" s="559" cm="1">
        <f t="array" ref="N72">SUMPRODUCT(--(K72=[1]STEM_Results_AGS_Nov2024!$H:$H),--(LCA_Shortlist!J72=[1]STEM_Results_AGS_Nov2024!$C:$C),[1]STEM_Results_AGS_Nov2024!F:F)</f>
        <v>14000.000000000002</v>
      </c>
      <c r="O72" s="559" cm="1">
        <f t="array" ref="O72">SUMPRODUCT(--(K72=[1]STEM_Results_AGS_Nov2024!$H:$H),--(LCA_Shortlist!J72=[1]STEM_Results_AGS_Nov2024!$C:$C),[1]STEM_Results_AGS_Nov2024!G:G)</f>
        <v>60</v>
      </c>
      <c r="Q72" s="559" t="str">
        <f t="shared" si="4"/>
        <v>1159</v>
      </c>
      <c r="R72" s="559">
        <f t="shared" si="5"/>
        <v>15.8</v>
      </c>
      <c r="S72" s="565">
        <f t="shared" si="2"/>
        <v>15</v>
      </c>
      <c r="T72" s="559">
        <f>+'[10]Electricity and CHPs'!$Q$15</f>
        <v>15.824283334628298</v>
      </c>
      <c r="U72" s="559">
        <f>+'[10]Electricity and CHPs_CAP'!$Q$15</f>
        <v>2.31555905748555</v>
      </c>
      <c r="V72" s="566">
        <f t="shared" ref="V72:V79" si="6">+T72/U72/8.76</f>
        <v>0.78012479636825249</v>
      </c>
      <c r="X72" s="563">
        <f>+'[10]Electricity and CHPs'!$Q$13</f>
        <v>27.266228816236616</v>
      </c>
      <c r="Y72" s="563">
        <f>+'[10]Electricity and CHPs_CAP'!$Q$13</f>
        <v>28.301123368949668</v>
      </c>
      <c r="Z72" s="564">
        <f>SUM([10]Storages!$G$18:$G$20)</f>
        <v>0.51508197833719072</v>
      </c>
      <c r="AA72" s="566"/>
      <c r="AD72" s="565"/>
    </row>
    <row r="73" spans="10:30" x14ac:dyDescent="0.25">
      <c r="J73" s="559" t="s">
        <v>2210</v>
      </c>
      <c r="K73" s="559" t="s">
        <v>2164</v>
      </c>
      <c r="L73" s="559" t="s">
        <v>2165</v>
      </c>
      <c r="M73" s="559">
        <v>12.3</v>
      </c>
      <c r="N73" s="559" cm="1">
        <f t="array" ref="N73">SUMPRODUCT(--(K73=[1]STEM_Results_AGS_Nov2024!$H:$H),--(LCA_Shortlist!J73=[1]STEM_Results_AGS_Nov2024!$C:$C),[1]STEM_Results_AGS_Nov2024!F:F)</f>
        <v>13500</v>
      </c>
      <c r="O73" s="559" cm="1">
        <f t="array" ref="O73">SUMPRODUCT(--(K73=[1]STEM_Results_AGS_Nov2024!$H:$H),--(LCA_Shortlist!J73=[1]STEM_Results_AGS_Nov2024!$C:$C),[1]STEM_Results_AGS_Nov2024!G:G)</f>
        <v>60</v>
      </c>
      <c r="Q73" s="558" t="str">
        <f t="shared" si="4"/>
        <v>1160</v>
      </c>
      <c r="R73" s="558">
        <f t="shared" si="5"/>
        <v>17</v>
      </c>
      <c r="S73" s="561">
        <f t="shared" si="2"/>
        <v>14.500000000000002</v>
      </c>
      <c r="T73" s="558">
        <f>+'[11]Electricity and CHPs'!$Q$15</f>
        <v>16.961817394535988</v>
      </c>
      <c r="U73" s="558">
        <f>+'[11]Electricity and CHPs_CAP'!$Q$15</f>
        <v>2.4774113610161255</v>
      </c>
      <c r="V73" s="562">
        <f t="shared" si="6"/>
        <v>0.78157408775918114</v>
      </c>
      <c r="X73" s="563">
        <f>+'[11]Electricity and CHPs'!$Q$13</f>
        <v>26.579298123297065</v>
      </c>
      <c r="Y73" s="563">
        <f>+'[11]Electricity and CHPs_CAP'!$Q$13</f>
        <v>27.58801123088843</v>
      </c>
      <c r="Z73" s="564">
        <f>SUM([11]Storages!$G$18:$G$20)</f>
        <v>0.50579262085214816</v>
      </c>
      <c r="AA73" s="566"/>
      <c r="AD73" s="565"/>
    </row>
    <row r="74" spans="10:30" x14ac:dyDescent="0.25">
      <c r="J74" s="559" t="s">
        <v>2211</v>
      </c>
      <c r="K74" s="559" t="s">
        <v>2164</v>
      </c>
      <c r="L74" s="559" t="s">
        <v>2165</v>
      </c>
      <c r="M74" s="559">
        <v>13.1</v>
      </c>
      <c r="N74" s="559" cm="1">
        <f t="array" ref="N74">SUMPRODUCT(--(K74=[1]STEM_Results_AGS_Nov2024!$H:$H),--(LCA_Shortlist!J74=[1]STEM_Results_AGS_Nov2024!$C:$C),[1]STEM_Results_AGS_Nov2024!F:F)</f>
        <v>13000</v>
      </c>
      <c r="O74" s="559" cm="1">
        <f t="array" ref="O74">SUMPRODUCT(--(K74=[1]STEM_Results_AGS_Nov2024!$H:$H),--(LCA_Shortlist!J74=[1]STEM_Results_AGS_Nov2024!$C:$C),[1]STEM_Results_AGS_Nov2024!G:G)</f>
        <v>60</v>
      </c>
      <c r="Q74" s="559" t="str">
        <f t="shared" si="4"/>
        <v>1141</v>
      </c>
      <c r="R74" s="559">
        <f t="shared" si="5"/>
        <v>0</v>
      </c>
      <c r="S74" s="565">
        <f t="shared" si="2"/>
        <v>14.000000000000002</v>
      </c>
      <c r="T74" s="559">
        <f>+'[12]Electricity and CHPs'!$Q$15</f>
        <v>1.0501599798888094E-3</v>
      </c>
      <c r="U74" s="559">
        <f>+'[12]Electricity and CHPs_CAP'!$Q$15</f>
        <v>1.5437178043172574E-4</v>
      </c>
      <c r="V74" s="566">
        <f t="shared" si="6"/>
        <v>0.77657507031238038</v>
      </c>
      <c r="X74" s="559">
        <f>+'[12]Electricity and CHPs'!$Q$13</f>
        <v>35.293500829079534</v>
      </c>
      <c r="Y74" s="559">
        <f>+'[12]Electricity and CHPs_CAP'!$Q$13</f>
        <v>36.632563433636633</v>
      </c>
      <c r="Z74" s="564">
        <f>SUM([12]Storages!$G$18:$G$20)</f>
        <v>0.70695174488253698</v>
      </c>
    </row>
    <row r="75" spans="10:30" x14ac:dyDescent="0.25">
      <c r="J75" s="559" t="s">
        <v>2212</v>
      </c>
      <c r="K75" s="559" t="s">
        <v>2164</v>
      </c>
      <c r="L75" s="559" t="s">
        <v>2165</v>
      </c>
      <c r="M75" s="559">
        <v>13.5</v>
      </c>
      <c r="N75" s="559" cm="1">
        <f t="array" ref="N75">SUMPRODUCT(--(K75=[1]STEM_Results_AGS_Nov2024!$H:$H),--(LCA_Shortlist!J75=[1]STEM_Results_AGS_Nov2024!$C:$C),[1]STEM_Results_AGS_Nov2024!F:F)</f>
        <v>12500</v>
      </c>
      <c r="O75" s="559" cm="1">
        <f t="array" ref="O75">SUMPRODUCT(--(K75=[1]STEM_Results_AGS_Nov2024!$H:$H),--(LCA_Shortlist!J75=[1]STEM_Results_AGS_Nov2024!$C:$C),[1]STEM_Results_AGS_Nov2024!G:G)</f>
        <v>60</v>
      </c>
      <c r="Q75" s="559" t="str">
        <f t="shared" si="4"/>
        <v>1151</v>
      </c>
      <c r="R75" s="559">
        <f t="shared" si="5"/>
        <v>2.7</v>
      </c>
      <c r="S75" s="565">
        <f t="shared" si="2"/>
        <v>13.5</v>
      </c>
      <c r="T75" s="559">
        <f>+'[13]Electricity and CHPs'!$Q$15</f>
        <v>2.699907844034501</v>
      </c>
      <c r="U75" s="559">
        <f>+'[13]Electricity and CHPs_CAP'!$Q$15</f>
        <v>0.38526082133577699</v>
      </c>
      <c r="V75" s="566">
        <f>+T75/U75/8.76</f>
        <v>0.80000000240404534</v>
      </c>
      <c r="X75" s="559">
        <f>+'[13]Electricity and CHPs'!$Q$13</f>
        <v>34.309310156129548</v>
      </c>
      <c r="Y75" s="559">
        <f>+'[13]Electricity and CHPs_CAP'!$Q$13</f>
        <v>35.611196736549104</v>
      </c>
      <c r="Z75" s="564">
        <f>SUM([13]Storages!$G$18:$G$20)</f>
        <v>0.63575538931241549</v>
      </c>
    </row>
    <row r="76" spans="10:30" x14ac:dyDescent="0.25">
      <c r="J76" s="559" t="s">
        <v>2213</v>
      </c>
      <c r="K76" s="559" t="s">
        <v>2164</v>
      </c>
      <c r="L76" s="559" t="s">
        <v>2165</v>
      </c>
      <c r="M76" s="558">
        <v>13.7</v>
      </c>
      <c r="N76" s="559" cm="1">
        <f t="array" ref="N76">SUMPRODUCT(--(K76=[1]STEM_Results_AGS_Nov2024!$H:$H),--(LCA_Shortlist!J76=[1]STEM_Results_AGS_Nov2024!$C:$C),[1]STEM_Results_AGS_Nov2024!F:F)</f>
        <v>12000</v>
      </c>
      <c r="O76" s="559" cm="1">
        <f t="array" ref="O76">SUMPRODUCT(--(K76=[1]STEM_Results_AGS_Nov2024!$H:$H),--(LCA_Shortlist!J76=[1]STEM_Results_AGS_Nov2024!$C:$C),[1]STEM_Results_AGS_Nov2024!G:G)</f>
        <v>60</v>
      </c>
      <c r="Q76" s="559" t="str">
        <f t="shared" si="4"/>
        <v>1152</v>
      </c>
      <c r="R76" s="559">
        <f t="shared" si="5"/>
        <v>5.3</v>
      </c>
      <c r="S76" s="565">
        <f t="shared" si="2"/>
        <v>13</v>
      </c>
      <c r="T76" s="559">
        <f>+'[14]Electricity and CHPs'!$Q$15</f>
        <v>5.2938921046654235</v>
      </c>
      <c r="U76" s="559">
        <f>+'[14]Electricity and CHPs_CAP'!$Q$15</f>
        <v>0.7554071980618231</v>
      </c>
      <c r="V76" s="566">
        <f>+T76/U76/8.76</f>
        <v>0.79999976737699152</v>
      </c>
      <c r="X76" s="559">
        <f>+'[14]Electricity and CHPs'!$Q$13</f>
        <v>32.819040859124328</v>
      </c>
      <c r="Y76" s="559">
        <f>+'[14]Electricity and CHPs_CAP'!$Q$13</f>
        <v>34.064624819578654</v>
      </c>
      <c r="Z76" s="564">
        <f>SUM([14]Storages!$G$18:$G$20)</f>
        <v>0.59863709984280855</v>
      </c>
    </row>
    <row r="77" spans="10:30" x14ac:dyDescent="0.25">
      <c r="J77" s="559" t="s">
        <v>2214</v>
      </c>
      <c r="K77" s="559" t="s">
        <v>2164</v>
      </c>
      <c r="L77" s="559" t="s">
        <v>2165</v>
      </c>
      <c r="M77" s="558">
        <v>15.8</v>
      </c>
      <c r="N77" s="559" cm="1">
        <f t="array" ref="N77">SUMPRODUCT(--(K77=[1]STEM_Results_AGS_Nov2024!$H:$H),--(LCA_Shortlist!J77=[1]STEM_Results_AGS_Nov2024!$C:$C),[1]STEM_Results_AGS_Nov2024!F:F)</f>
        <v>10500.000000000002</v>
      </c>
      <c r="O77" s="559" cm="1">
        <f t="array" ref="O77">SUMPRODUCT(--(K77=[1]STEM_Results_AGS_Nov2024!$H:$H),--(LCA_Shortlist!J77=[1]STEM_Results_AGS_Nov2024!$C:$C),[1]STEM_Results_AGS_Nov2024!G:G)</f>
        <v>60</v>
      </c>
      <c r="Q77" s="559" t="str">
        <f t="shared" si="4"/>
        <v>1154</v>
      </c>
      <c r="R77" s="559">
        <f t="shared" si="5"/>
        <v>10.199999999999999</v>
      </c>
      <c r="S77" s="565">
        <f t="shared" si="2"/>
        <v>12.5</v>
      </c>
      <c r="T77" s="559">
        <f>+'[15]Electricity and CHPs'!$Q$15</f>
        <v>10.247476886590217</v>
      </c>
      <c r="U77" s="559">
        <f>+'[15]Electricity and CHPs_CAP'!$Q$15</f>
        <v>1.4622541695240461</v>
      </c>
      <c r="V77" s="566">
        <f t="shared" ref="V77:V85" si="7">+T77/U77/8.76</f>
        <v>0.79999997396945299</v>
      </c>
      <c r="X77" s="559">
        <f>+'[15]Electricity and CHPs'!$Q$13</f>
        <v>32.143061502972522</v>
      </c>
      <c r="Y77" s="559">
        <f>+'[15]Electricity and CHPs_CAP'!$Q$13</f>
        <v>33.363116855917752</v>
      </c>
      <c r="Z77" s="564">
        <f>SUM([15]Storages!$G$18:$G$20)</f>
        <v>0.65654333490365469</v>
      </c>
    </row>
    <row r="78" spans="10:30" x14ac:dyDescent="0.25">
      <c r="J78" s="559" t="s">
        <v>2215</v>
      </c>
      <c r="K78" s="559" t="s">
        <v>2164</v>
      </c>
      <c r="L78" s="559" t="s">
        <v>2165</v>
      </c>
      <c r="M78" s="559">
        <v>17</v>
      </c>
      <c r="N78" s="559" cm="1">
        <f t="array" ref="N78">SUMPRODUCT(--(K78=[1]STEM_Results_AGS_Nov2024!$H:$H),--(LCA_Shortlist!J78=[1]STEM_Results_AGS_Nov2024!$C:$C),[1]STEM_Results_AGS_Nov2024!F:F)</f>
        <v>10000</v>
      </c>
      <c r="O78" s="559" cm="1">
        <f t="array" ref="O78">SUMPRODUCT(--(K78=[1]STEM_Results_AGS_Nov2024!$H:$H),--(LCA_Shortlist!J78=[1]STEM_Results_AGS_Nov2024!$C:$C),[1]STEM_Results_AGS_Nov2024!G:G)</f>
        <v>60</v>
      </c>
      <c r="Q78" s="559" t="str">
        <f t="shared" si="4"/>
        <v>1155</v>
      </c>
      <c r="R78" s="559">
        <f t="shared" si="5"/>
        <v>13.2</v>
      </c>
      <c r="S78" s="565">
        <f t="shared" si="2"/>
        <v>12</v>
      </c>
      <c r="T78" s="559">
        <f>+'[16]Electricity and CHPs'!$Q$15</f>
        <v>13.220349651041339</v>
      </c>
      <c r="U78" s="559">
        <f>+'[16]Electricity and CHPs_CAP'!$Q$15</f>
        <v>1.8864654188815599</v>
      </c>
      <c r="V78" s="566">
        <f t="shared" si="7"/>
        <v>0.79999999972886449</v>
      </c>
      <c r="X78" s="559">
        <f>+'[16]Electricity and CHPs'!$Q$13</f>
        <v>29.463957973182712</v>
      </c>
      <c r="Y78" s="559">
        <f>+'[16]Electricity and CHPs_CAP'!$Q$13</f>
        <v>30.581908122300987</v>
      </c>
      <c r="Z78" s="564">
        <f>SUM([16]Storages!$G$18:$G$20)</f>
        <v>0.37505895191374439</v>
      </c>
    </row>
    <row r="79" spans="10:30" x14ac:dyDescent="0.25">
      <c r="J79" s="559" t="s">
        <v>2190</v>
      </c>
      <c r="K79" s="559" t="s">
        <v>2155</v>
      </c>
      <c r="L79" s="559" t="s">
        <v>2156</v>
      </c>
      <c r="M79" s="559">
        <v>0</v>
      </c>
      <c r="N79" s="559" cm="1">
        <f t="array" ref="N79">SUMPRODUCT(--(K79=[1]STEM_Results_AGS_Nov2024!$H:$H),--(LCA_Shortlist!J79=[1]STEM_Results_AGS_Nov2024!$C:$C),[1]STEM_Results_AGS_Nov2024!F:F)</f>
        <v>22500</v>
      </c>
      <c r="O79" s="559" cm="1">
        <f t="array" ref="O79">SUMPRODUCT(--(K79=[1]STEM_Results_AGS_Nov2024!$H:$H),--(LCA_Shortlist!J79=[1]STEM_Results_AGS_Nov2024!$C:$C),[1]STEM_Results_AGS_Nov2024!G:G)</f>
        <v>60</v>
      </c>
      <c r="Q79" s="559" t="str">
        <f t="shared" si="4"/>
        <v>1157</v>
      </c>
      <c r="R79" s="559">
        <f t="shared" si="5"/>
        <v>13.8</v>
      </c>
      <c r="S79" s="565">
        <f t="shared" si="2"/>
        <v>10.500000000000002</v>
      </c>
      <c r="T79" s="559">
        <f>+'[17]Electricity and CHPs'!$Q$15</f>
        <v>13.800655136251216</v>
      </c>
      <c r="U79" s="559">
        <f>+'[17]Electricity and CHPs_CAP'!$Q$15</f>
        <v>1.9692715613298799</v>
      </c>
      <c r="V79" s="566">
        <f t="shared" si="7"/>
        <v>0.80000000199708887</v>
      </c>
      <c r="X79" s="559">
        <f>+'[17]Electricity and CHPs'!$Q$13</f>
        <v>29.17114438918917</v>
      </c>
      <c r="Y79" s="559">
        <f>+'[17]Electricity and CHPs_CAP'!$Q$13</f>
        <v>30.277996765358878</v>
      </c>
      <c r="Z79" s="564">
        <f>SUM([17]Storages!$G$18:$G$20)</f>
        <v>0.66800913868172662</v>
      </c>
    </row>
    <row r="80" spans="10:30" x14ac:dyDescent="0.25">
      <c r="J80" s="559" t="s">
        <v>2208</v>
      </c>
      <c r="K80" s="559" t="s">
        <v>2155</v>
      </c>
      <c r="L80" s="559" t="s">
        <v>2156</v>
      </c>
      <c r="M80" s="558">
        <v>2.7</v>
      </c>
      <c r="N80" s="559" cm="1">
        <f t="array" ref="N80">SUMPRODUCT(--(K80=[1]STEM_Results_AGS_Nov2024!$H:$H),--(LCA_Shortlist!J80=[1]STEM_Results_AGS_Nov2024!$C:$C),[1]STEM_Results_AGS_Nov2024!F:F)</f>
        <v>14500.000000000002</v>
      </c>
      <c r="O80" s="559" cm="1">
        <f t="array" ref="O80">SUMPRODUCT(--(K80=[1]STEM_Results_AGS_Nov2024!$H:$H),--(LCA_Shortlist!J80=[1]STEM_Results_AGS_Nov2024!$C:$C),[1]STEM_Results_AGS_Nov2024!G:G)</f>
        <v>60</v>
      </c>
      <c r="Q80" s="559" t="str">
        <f t="shared" si="4"/>
        <v>1158</v>
      </c>
      <c r="R80" s="559">
        <f t="shared" si="5"/>
        <v>14</v>
      </c>
      <c r="S80" s="565">
        <f t="shared" si="2"/>
        <v>10</v>
      </c>
      <c r="T80" s="559">
        <f>+'[18]Electricity and CHPs'!$Q$15</f>
        <v>13.968706682459509</v>
      </c>
      <c r="U80" s="559">
        <f>+'[18]Electricity and CHPs_CAP'!$Q$15</f>
        <v>1.9932526035809699</v>
      </c>
      <c r="V80" s="566">
        <f t="shared" si="7"/>
        <v>0.79999956683567031</v>
      </c>
      <c r="X80" s="559">
        <f>+'[18]Electricity and CHPs'!$Q$13</f>
        <v>29.09089569311941</v>
      </c>
      <c r="Y80" s="559">
        <f>+'[18]Electricity and CHPs_CAP'!$Q$13</f>
        <v>30.194707113384226</v>
      </c>
      <c r="Z80" s="564">
        <f>SUM([18]Storages!$G$18:$G$20)</f>
        <v>0.752998134686092</v>
      </c>
    </row>
    <row r="81" spans="10:26" x14ac:dyDescent="0.25">
      <c r="J81" s="559" t="s">
        <v>2209</v>
      </c>
      <c r="K81" s="559" t="s">
        <v>2155</v>
      </c>
      <c r="L81" s="559" t="s">
        <v>2156</v>
      </c>
      <c r="M81" s="558">
        <v>5.3</v>
      </c>
      <c r="N81" s="559" cm="1">
        <f t="array" ref="N81">SUMPRODUCT(--(K81=[1]STEM_Results_AGS_Nov2024!$H:$H),--(LCA_Shortlist!J81=[1]STEM_Results_AGS_Nov2024!$C:$C),[1]STEM_Results_AGS_Nov2024!F:F)</f>
        <v>14000.000000000002</v>
      </c>
      <c r="O81" s="559" cm="1">
        <f t="array" ref="O81">SUMPRODUCT(--(K81=[1]STEM_Results_AGS_Nov2024!$H:$H),--(LCA_Shortlist!J81=[1]STEM_Results_AGS_Nov2024!$C:$C),[1]STEM_Results_AGS_Nov2024!G:G)</f>
        <v>60</v>
      </c>
      <c r="Q81" s="559" t="str">
        <f t="shared" si="4"/>
        <v>1159</v>
      </c>
      <c r="R81" s="559">
        <f t="shared" si="5"/>
        <v>15</v>
      </c>
      <c r="S81" s="565">
        <f t="shared" si="2"/>
        <v>22.5</v>
      </c>
      <c r="T81" s="559">
        <f>+'[19]Electricity and CHPs'!$Q$15</f>
        <v>15.029372832994653</v>
      </c>
      <c r="U81" s="559">
        <f>+'[19]Electricity and CHPs_CAP'!$Q$15</f>
        <v>2.1446023080633427</v>
      </c>
      <c r="V81" s="566">
        <f t="shared" si="7"/>
        <v>0.79999999244608522</v>
      </c>
      <c r="X81" s="559">
        <f>+'[19]Electricity and CHPs'!$Q$13</f>
        <v>27.947785041566082</v>
      </c>
      <c r="Y81" s="559">
        <f>+'[19]Electricity and CHPs_CAP'!$Q$13</f>
        <v>29.008424474283721</v>
      </c>
      <c r="Z81" s="564">
        <f>SUM([19]Storages!$G$18:$G$20)</f>
        <v>0.62859295163665974</v>
      </c>
    </row>
    <row r="82" spans="10:26" x14ac:dyDescent="0.25">
      <c r="J82" s="559" t="s">
        <v>2211</v>
      </c>
      <c r="K82" s="559" t="s">
        <v>2155</v>
      </c>
      <c r="L82" s="559" t="s">
        <v>2156</v>
      </c>
      <c r="M82" s="558">
        <v>10.199999999999999</v>
      </c>
      <c r="N82" s="559" cm="1">
        <f t="array" ref="N82">SUMPRODUCT(--(K82=[1]STEM_Results_AGS_Nov2024!$H:$H),--(LCA_Shortlist!J82=[1]STEM_Results_AGS_Nov2024!$C:$C),[1]STEM_Results_AGS_Nov2024!F:F)</f>
        <v>13000</v>
      </c>
      <c r="O82" s="559" cm="1">
        <f t="array" ref="O82">SUMPRODUCT(--(K82=[1]STEM_Results_AGS_Nov2024!$H:$H),--(LCA_Shortlist!J82=[1]STEM_Results_AGS_Nov2024!$C:$C),[1]STEM_Results_AGS_Nov2024!G:G)</f>
        <v>60</v>
      </c>
      <c r="Q82" s="559" t="str">
        <f t="shared" si="4"/>
        <v>1160</v>
      </c>
      <c r="R82" s="559">
        <f t="shared" si="5"/>
        <v>15.8</v>
      </c>
      <c r="S82" s="565">
        <f t="shared" si="2"/>
        <v>14.500000000000002</v>
      </c>
      <c r="T82" s="559">
        <f>+'[20]Electricity and CHPs'!$Q$15</f>
        <v>15.83187696451124</v>
      </c>
      <c r="U82" s="559">
        <f>+'[20]Electricity and CHPs_CAP'!$Q$15</f>
        <v>2.2591148345708798</v>
      </c>
      <c r="V82" s="566">
        <f t="shared" si="7"/>
        <v>0.80000001030015666</v>
      </c>
      <c r="X82" s="559">
        <f>+'[20]Electricity and CHPs'!$Q$13</f>
        <v>27.667670203163329</v>
      </c>
      <c r="Y82" s="559">
        <f>+'[20]Electricity and CHPs_CAP'!$Q$13</f>
        <v>28.717726924129671</v>
      </c>
      <c r="Z82" s="564">
        <f>SUM([20]Storages!$G$18:$G$20)</f>
        <v>0.60857001448200043</v>
      </c>
    </row>
    <row r="83" spans="10:26" x14ac:dyDescent="0.25">
      <c r="J83" s="559" t="s">
        <v>2212</v>
      </c>
      <c r="K83" s="559" t="s">
        <v>2155</v>
      </c>
      <c r="L83" s="559" t="s">
        <v>2156</v>
      </c>
      <c r="M83" s="559">
        <v>13.2</v>
      </c>
      <c r="N83" s="559" cm="1">
        <f t="array" ref="N83">SUMPRODUCT(--(K83=[1]STEM_Results_AGS_Nov2024!$H:$H),--(LCA_Shortlist!J83=[1]STEM_Results_AGS_Nov2024!$C:$C),[1]STEM_Results_AGS_Nov2024!F:F)</f>
        <v>12500</v>
      </c>
      <c r="O83" s="559" cm="1">
        <f t="array" ref="O83">SUMPRODUCT(--(K83=[1]STEM_Results_AGS_Nov2024!$H:$H),--(LCA_Shortlist!J83=[1]STEM_Results_AGS_Nov2024!$C:$C),[1]STEM_Results_AGS_Nov2024!G:G)</f>
        <v>60</v>
      </c>
    </row>
    <row r="84" spans="10:26" x14ac:dyDescent="0.25">
      <c r="J84" s="559" t="s">
        <v>2216</v>
      </c>
      <c r="K84" s="559" t="s">
        <v>2155</v>
      </c>
      <c r="L84" s="559" t="s">
        <v>2156</v>
      </c>
      <c r="M84" s="559">
        <v>13.8</v>
      </c>
      <c r="N84" s="559" cm="1">
        <f t="array" ref="N84">SUMPRODUCT(--(K84=[1]STEM_Results_AGS_Nov2024!$H:$H),--(LCA_Shortlist!J84=[1]STEM_Results_AGS_Nov2024!$C:$C),[1]STEM_Results_AGS_Nov2024!F:F)</f>
        <v>11500</v>
      </c>
      <c r="O84" s="559" cm="1">
        <f t="array" ref="O84">SUMPRODUCT(--(K84=[1]STEM_Results_AGS_Nov2024!$H:$H),--(LCA_Shortlist!J84=[1]STEM_Results_AGS_Nov2024!$C:$C),[1]STEM_Results_AGS_Nov2024!G:G)</f>
        <v>60</v>
      </c>
    </row>
    <row r="85" spans="10:26" x14ac:dyDescent="0.25">
      <c r="J85" s="559" t="s">
        <v>2217</v>
      </c>
      <c r="K85" s="559" t="s">
        <v>2155</v>
      </c>
      <c r="L85" s="559" t="s">
        <v>2156</v>
      </c>
      <c r="M85" s="558">
        <v>14</v>
      </c>
      <c r="N85" s="559" cm="1">
        <f t="array" ref="N85">SUMPRODUCT(--(K85=[1]STEM_Results_AGS_Nov2024!$H:$H),--(LCA_Shortlist!J85=[1]STEM_Results_AGS_Nov2024!$C:$C),[1]STEM_Results_AGS_Nov2024!F:F)</f>
        <v>10999.999999999998</v>
      </c>
      <c r="O85" s="559" cm="1">
        <f t="array" ref="O85">SUMPRODUCT(--(K85=[1]STEM_Results_AGS_Nov2024!$H:$H),--(LCA_Shortlist!J85=[1]STEM_Results_AGS_Nov2024!$C:$C),[1]STEM_Results_AGS_Nov2024!G:G)</f>
        <v>60</v>
      </c>
    </row>
    <row r="86" spans="10:26" x14ac:dyDescent="0.25">
      <c r="J86" s="559" t="s">
        <v>2214</v>
      </c>
      <c r="K86" s="559" t="s">
        <v>2155</v>
      </c>
      <c r="L86" s="559" t="s">
        <v>2156</v>
      </c>
      <c r="M86" s="559">
        <v>15</v>
      </c>
      <c r="N86" s="559" cm="1">
        <f t="array" ref="N86">SUMPRODUCT(--(K86=[1]STEM_Results_AGS_Nov2024!$H:$H),--(LCA_Shortlist!J86=[1]STEM_Results_AGS_Nov2024!$C:$C),[1]STEM_Results_AGS_Nov2024!F:F)</f>
        <v>10500.000000000002</v>
      </c>
      <c r="O86" s="559" cm="1">
        <f t="array" ref="O86">SUMPRODUCT(--(K86=[1]STEM_Results_AGS_Nov2024!$H:$H),--(LCA_Shortlist!J86=[1]STEM_Results_AGS_Nov2024!$C:$C),[1]STEM_Results_AGS_Nov2024!G:G)</f>
        <v>60</v>
      </c>
    </row>
    <row r="87" spans="10:26" x14ac:dyDescent="0.25">
      <c r="J87" s="559" t="s">
        <v>2215</v>
      </c>
      <c r="K87" s="559" t="s">
        <v>2155</v>
      </c>
      <c r="L87" s="559" t="s">
        <v>2156</v>
      </c>
      <c r="M87" s="558">
        <v>15.8</v>
      </c>
      <c r="N87" s="559" cm="1">
        <f t="array" ref="N87">SUMPRODUCT(--(K87=[1]STEM_Results_AGS_Nov2024!$H:$H),--(LCA_Shortlist!J87=[1]STEM_Results_AGS_Nov2024!$C:$C),[1]STEM_Results_AGS_Nov2024!F:F)</f>
        <v>10000</v>
      </c>
      <c r="O87" s="559" cm="1">
        <f t="array" ref="O87">SUMPRODUCT(--(K87=[1]STEM_Results_AGS_Nov2024!$H:$H),--(LCA_Shortlist!J87=[1]STEM_Results_AGS_Nov2024!$C:$C),[1]STEM_Results_AGS_Nov2024!G:G)</f>
        <v>60</v>
      </c>
    </row>
  </sheetData>
  <conditionalFormatting sqref="S64:S82">
    <cfRule type="cellIs" dxfId="0" priority="1" operator="lessThan">
      <formula>18</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9E22D-4948-4510-9161-D223018C57A1}">
  <sheetPr>
    <tabColor rgb="FFFF0000"/>
  </sheetPr>
  <dimension ref="A4:AX228"/>
  <sheetViews>
    <sheetView topLeftCell="A10" zoomScale="55" zoomScaleNormal="55" workbookViewId="0">
      <selection activeCell="P54" sqref="P54"/>
    </sheetView>
  </sheetViews>
  <sheetFormatPr defaultRowHeight="15" x14ac:dyDescent="0.25"/>
  <cols>
    <col min="3" max="3" width="103.7109375" customWidth="1"/>
    <col min="4" max="4" width="41.140625" customWidth="1"/>
    <col min="5" max="10" width="10.5703125" bestFit="1" customWidth="1"/>
    <col min="11" max="11" width="9.7109375" bestFit="1" customWidth="1"/>
    <col min="12" max="12" width="10.5703125" bestFit="1" customWidth="1"/>
    <col min="13" max="13" width="11" bestFit="1" customWidth="1"/>
    <col min="14" max="14" width="10" bestFit="1" customWidth="1"/>
    <col min="15" max="16" width="11" bestFit="1" customWidth="1"/>
    <col min="17" max="18" width="9" bestFit="1" customWidth="1"/>
    <col min="19" max="19" width="12" bestFit="1" customWidth="1"/>
    <col min="23" max="23" width="12" bestFit="1" customWidth="1"/>
    <col min="29" max="30" width="12" bestFit="1" customWidth="1"/>
    <col min="39" max="39" width="12" bestFit="1" customWidth="1"/>
    <col min="41" max="41" width="12" bestFit="1" customWidth="1"/>
    <col min="43" max="43" width="12" bestFit="1" customWidth="1"/>
  </cols>
  <sheetData>
    <row r="4" spans="2:49" x14ac:dyDescent="0.25">
      <c r="Y4" s="9" t="s">
        <v>847</v>
      </c>
    </row>
    <row r="5" spans="2:49" x14ac:dyDescent="0.25">
      <c r="D5" s="9"/>
      <c r="E5" s="9"/>
      <c r="F5" s="9"/>
      <c r="G5" s="9"/>
      <c r="H5" s="9"/>
      <c r="J5" s="9"/>
      <c r="K5" s="9"/>
      <c r="AD5" s="65"/>
    </row>
    <row r="6" spans="2:49" x14ac:dyDescent="0.25">
      <c r="D6" s="301" t="s">
        <v>1173</v>
      </c>
      <c r="E6" s="301"/>
      <c r="F6" s="301"/>
      <c r="G6" s="55"/>
      <c r="H6" s="55"/>
      <c r="I6" s="22" t="s">
        <v>1275</v>
      </c>
      <c r="J6" s="22"/>
      <c r="K6" s="22"/>
      <c r="L6" s="24"/>
      <c r="M6" s="357" t="s">
        <v>1557</v>
      </c>
      <c r="N6" s="357"/>
      <c r="O6" s="357"/>
      <c r="P6" s="357"/>
      <c r="Q6" s="351" t="s">
        <v>1385</v>
      </c>
      <c r="R6" s="50"/>
      <c r="S6" s="9" t="s">
        <v>1496</v>
      </c>
      <c r="Y6" s="423" t="str">
        <f>D6</f>
        <v>BAU</v>
      </c>
      <c r="Z6" s="423"/>
      <c r="AA6" s="423"/>
      <c r="AB6" s="423"/>
      <c r="AC6" s="423"/>
      <c r="AD6" s="407" t="str">
        <f>I6</f>
        <v>LOW</v>
      </c>
      <c r="AE6" s="407"/>
      <c r="AF6" s="407"/>
      <c r="AG6" s="407"/>
      <c r="AH6" s="357" t="str">
        <f>M6</f>
        <v>Well depth variation, 2030</v>
      </c>
      <c r="AI6" s="357"/>
      <c r="AJ6" s="357"/>
      <c r="AK6" s="357"/>
      <c r="AL6" s="351" t="s">
        <v>1385</v>
      </c>
      <c r="AM6" s="351"/>
      <c r="AN6" s="50"/>
      <c r="AO6" s="50"/>
      <c r="AP6" s="50"/>
      <c r="AQ6" s="50"/>
      <c r="AR6" s="351" t="str">
        <f>S6</f>
        <v>Rotary drilling</v>
      </c>
    </row>
    <row r="7" spans="2:49" x14ac:dyDescent="0.25">
      <c r="D7" s="301">
        <v>2020</v>
      </c>
      <c r="E7" s="301">
        <v>2030</v>
      </c>
      <c r="F7" s="301">
        <v>2040</v>
      </c>
      <c r="G7" s="301">
        <v>2050</v>
      </c>
      <c r="H7" s="301" t="s">
        <v>1428</v>
      </c>
      <c r="I7" s="22">
        <v>2030</v>
      </c>
      <c r="J7" s="22">
        <v>2040</v>
      </c>
      <c r="K7" s="22">
        <v>2050</v>
      </c>
      <c r="L7" s="22" t="s">
        <v>1428</v>
      </c>
      <c r="M7" s="357" t="s">
        <v>1527</v>
      </c>
      <c r="N7" s="357" t="s">
        <v>1528</v>
      </c>
      <c r="O7" s="357" t="s">
        <v>1529</v>
      </c>
      <c r="P7" s="357" t="s">
        <v>1530</v>
      </c>
      <c r="Q7" s="351" t="s">
        <v>1380</v>
      </c>
      <c r="R7" s="351" t="s">
        <v>1379</v>
      </c>
      <c r="S7" s="357" t="s">
        <v>1293</v>
      </c>
      <c r="T7" s="357" t="s">
        <v>1294</v>
      </c>
      <c r="U7" s="357" t="s">
        <v>1295</v>
      </c>
      <c r="V7" s="357" t="s">
        <v>1502</v>
      </c>
      <c r="W7" s="357" t="s">
        <v>1503</v>
      </c>
      <c r="X7" s="357" t="s">
        <v>1504</v>
      </c>
      <c r="Y7" s="423">
        <f>D7</f>
        <v>2020</v>
      </c>
      <c r="Z7" s="423">
        <f>E7</f>
        <v>2030</v>
      </c>
      <c r="AA7" s="423">
        <f>F7</f>
        <v>2040</v>
      </c>
      <c r="AB7" s="423">
        <f>G7</f>
        <v>2050</v>
      </c>
      <c r="AC7" s="423" t="str">
        <f>H7</f>
        <v>Hydro drilling, 2030</v>
      </c>
      <c r="AD7" s="407">
        <f>I7</f>
        <v>2030</v>
      </c>
      <c r="AE7" s="407">
        <f>J7</f>
        <v>2040</v>
      </c>
      <c r="AF7" s="407">
        <f>K7</f>
        <v>2050</v>
      </c>
      <c r="AG7" s="407" t="str">
        <f>L7</f>
        <v>Hydro drilling, 2030</v>
      </c>
      <c r="AH7" s="357" t="str">
        <f>M7</f>
        <v>BAU, 4.5 km</v>
      </c>
      <c r="AI7" s="357" t="str">
        <f>N7</f>
        <v>BAU, 8 km</v>
      </c>
      <c r="AJ7" s="357" t="str">
        <f>O7</f>
        <v>LOW, 4.5 km</v>
      </c>
      <c r="AK7" s="357" t="str">
        <f>P7</f>
        <v>LOW, 8 km</v>
      </c>
      <c r="AL7" s="351" t="s">
        <v>1429</v>
      </c>
      <c r="AM7" s="351" t="s">
        <v>1430</v>
      </c>
      <c r="AN7" s="50" t="s">
        <v>1431</v>
      </c>
      <c r="AO7" s="50" t="s">
        <v>1432</v>
      </c>
      <c r="AP7" s="351" t="s">
        <v>1433</v>
      </c>
      <c r="AQ7" s="351" t="s">
        <v>1434</v>
      </c>
      <c r="AR7" s="351" t="str">
        <f>S7</f>
        <v>BAU 2030</v>
      </c>
      <c r="AS7" s="351" t="str">
        <f>T7</f>
        <v>BAU 2040</v>
      </c>
      <c r="AT7" s="351" t="str">
        <f>U7</f>
        <v>BAU 2050</v>
      </c>
      <c r="AU7" s="351" t="str">
        <f>V7</f>
        <v>LOW 2030</v>
      </c>
      <c r="AV7" s="351" t="str">
        <f>W7</f>
        <v>LOW 2040</v>
      </c>
      <c r="AW7" s="351" t="str">
        <f>X7</f>
        <v>LOW 2050</v>
      </c>
    </row>
    <row r="8" spans="2:49" x14ac:dyDescent="0.25">
      <c r="B8" s="9" t="s">
        <v>816</v>
      </c>
      <c r="C8" s="9" t="s">
        <v>827</v>
      </c>
      <c r="D8" s="56">
        <f>H27*LCIA_CC_ch_el_ev_mediumv</f>
        <v>53524.315558957409</v>
      </c>
      <c r="E8" s="56" t="e">
        <f>$H$27*LCIA_CC_ch_el_BAU_2030</f>
        <v>#REF!</v>
      </c>
      <c r="F8" s="56" t="e">
        <f>$H$27*LCIA_CC_ch_el_BAU_2040</f>
        <v>#REF!</v>
      </c>
      <c r="G8" s="56" t="e">
        <f>$H$27*LCIA_CC_ch_el_BAU_2050</f>
        <v>#REF!</v>
      </c>
      <c r="H8" s="56">
        <f>$H$27*LCIA_CC_el_hydro_run</f>
        <v>8597.649805372901</v>
      </c>
      <c r="I8" s="23" t="e">
        <f>$H$27*LCIA_CC_ch_el_LOW_2030</f>
        <v>#REF!</v>
      </c>
      <c r="J8" s="23" t="e">
        <f>H27*LCIA_CC_ch_el_LOW_2040</f>
        <v>#REF!</v>
      </c>
      <c r="K8" s="23" t="e">
        <f>H27*LCIA_CC_ch_el_LOW_2050</f>
        <v>#REF!</v>
      </c>
      <c r="L8" s="23">
        <f>H27*LCIA_CC_el_hydro_run</f>
        <v>8597.649805372901</v>
      </c>
      <c r="M8" s="412" t="e">
        <f>$I$27*LCIA_CC_ch_el_BAU_2030</f>
        <v>#REF!</v>
      </c>
      <c r="N8" s="412" t="e">
        <f>J27*LCIA_CC_ch_el_BAU_2030</f>
        <v>#REF!</v>
      </c>
      <c r="O8" s="412" t="e">
        <f>I27*LCIA_CC_ch_el_LOW_2030</f>
        <v>#REF!</v>
      </c>
      <c r="P8" s="412" t="e">
        <f>J27*LCIA_CC_ch_el_LOW_2030</f>
        <v>#REF!</v>
      </c>
      <c r="Q8" s="361" t="e">
        <f>O8</f>
        <v>#REF!</v>
      </c>
      <c r="R8" s="361" t="e">
        <f>O8</f>
        <v>#REF!</v>
      </c>
      <c r="S8" s="53" t="e">
        <f>$M$27*LCIA_CC_ch_el_BAU_2030</f>
        <v>#REF!</v>
      </c>
      <c r="T8" s="53" t="e">
        <f>$M$27*LCIA_CC_ch_el_BAU_2040</f>
        <v>#REF!</v>
      </c>
      <c r="U8" s="53" t="e">
        <f>$M$27*LCIA_CC_ch_el_BAU_2050</f>
        <v>#REF!</v>
      </c>
      <c r="V8" s="53" t="e">
        <f>$M$27*LCIA_CC_ch_el_LOW_2030</f>
        <v>#REF!</v>
      </c>
      <c r="W8" s="53" t="e">
        <f>$M$27*LCIA_CC_ch_el_LOW_2040</f>
        <v>#REF!</v>
      </c>
      <c r="X8" s="53" t="e">
        <f>$M$27*LCIA_CC_ch_el_LOW_2050</f>
        <v>#REF!</v>
      </c>
      <c r="Y8" s="307">
        <f t="shared" ref="Y8:AK21" si="0">D8/lifetime_60a_elprod</f>
        <v>6.0001446766251439E-5</v>
      </c>
      <c r="Z8" s="307" t="e">
        <f t="shared" si="0"/>
        <v>#REF!</v>
      </c>
      <c r="AA8" s="307" t="e">
        <f t="shared" si="0"/>
        <v>#REF!</v>
      </c>
      <c r="AB8" s="307" t="e">
        <f t="shared" si="0"/>
        <v>#REF!</v>
      </c>
      <c r="AC8" s="307">
        <f t="shared" si="0"/>
        <v>9.638076110356202E-6</v>
      </c>
      <c r="AD8" s="308" t="e">
        <f t="shared" si="0"/>
        <v>#REF!</v>
      </c>
      <c r="AE8" s="308" t="e">
        <f t="shared" si="0"/>
        <v>#REF!</v>
      </c>
      <c r="AF8" s="308" t="e">
        <f t="shared" si="0"/>
        <v>#REF!</v>
      </c>
      <c r="AG8" s="308">
        <f t="shared" si="0"/>
        <v>9.638076110356202E-6</v>
      </c>
      <c r="AH8" s="309" t="e">
        <f t="shared" si="0"/>
        <v>#REF!</v>
      </c>
      <c r="AI8" s="309" t="e">
        <f t="shared" si="0"/>
        <v>#REF!</v>
      </c>
      <c r="AJ8" s="309" t="e">
        <f t="shared" si="0"/>
        <v>#REF!</v>
      </c>
      <c r="AK8" s="309" t="e">
        <f t="shared" si="0"/>
        <v>#REF!</v>
      </c>
      <c r="AL8" s="50" t="e">
        <f>I8/lifetime_30a_elprod</f>
        <v>#REF!</v>
      </c>
      <c r="AM8" s="50" t="e">
        <f>I8/lifetime_100a_elprod</f>
        <v>#REF!</v>
      </c>
      <c r="AN8" s="50" t="e">
        <f>O8/lifetime_30a_elprod</f>
        <v>#REF!</v>
      </c>
      <c r="AO8" s="50" t="e">
        <f t="shared" ref="AO8:AO19" si="1">O8/lifetime_100a_elprod</f>
        <v>#REF!</v>
      </c>
      <c r="AP8" s="50" t="e">
        <f>P8/lifetime_30a_elprod</f>
        <v>#REF!</v>
      </c>
      <c r="AQ8" s="50" t="e">
        <f t="shared" ref="AQ8:AQ19" si="2">P8/lifetime_100a_elprod</f>
        <v>#REF!</v>
      </c>
      <c r="AR8" s="50" t="e">
        <f t="shared" ref="AR8:AW21" si="3">S8/lifetime_60a_elprod</f>
        <v>#REF!</v>
      </c>
      <c r="AS8" s="50" t="e">
        <f t="shared" si="3"/>
        <v>#REF!</v>
      </c>
      <c r="AT8" s="50" t="e">
        <f t="shared" si="3"/>
        <v>#REF!</v>
      </c>
      <c r="AU8" s="50" t="e">
        <f t="shared" si="3"/>
        <v>#REF!</v>
      </c>
      <c r="AV8" s="50" t="e">
        <f t="shared" si="3"/>
        <v>#REF!</v>
      </c>
      <c r="AW8" s="50" t="e">
        <f t="shared" si="3"/>
        <v>#REF!</v>
      </c>
    </row>
    <row r="9" spans="2:49" x14ac:dyDescent="0.25">
      <c r="B9" s="9"/>
      <c r="C9" s="9" t="s">
        <v>826</v>
      </c>
      <c r="D9" s="56">
        <f>H28*LCIA_CC_ch_el_ev_mediumv</f>
        <v>240859.42001530834</v>
      </c>
      <c r="E9" s="56" t="e">
        <f>H28*LCIA_CC_ch_el_BAU_2030</f>
        <v>#REF!</v>
      </c>
      <c r="F9" s="56" t="e">
        <f>H28*LCIA_CC_ch_el_BAU_2040</f>
        <v>#REF!</v>
      </c>
      <c r="G9" s="56" t="e">
        <f>H28*LCIA_CC_ch_el_BAU_2050</f>
        <v>#REF!</v>
      </c>
      <c r="H9" s="56">
        <f>H28*LCIA_CC_el_hydro_run</f>
        <v>38689.424124178055</v>
      </c>
      <c r="I9" s="23" t="e">
        <f>$H$28*LCIA_CC_ch_el_LOW_2030</f>
        <v>#REF!</v>
      </c>
      <c r="J9" s="23" t="e">
        <f>H28*LCIA_CC_ch_el_LOW_2040</f>
        <v>#REF!</v>
      </c>
      <c r="K9" s="23" t="e">
        <f>H28*LCIA_CC_ch_el_LOW_2050</f>
        <v>#REF!</v>
      </c>
      <c r="L9" s="23">
        <f>H28*LCIA_CC_el_hydro_run</f>
        <v>38689.424124178055</v>
      </c>
      <c r="M9" s="412" t="e">
        <f>$I$28*LCIA_CC_ch_el_BAU_2030</f>
        <v>#REF!</v>
      </c>
      <c r="N9" s="412" t="e">
        <f>J28*LCIA_CC_ch_el_BAU_2030</f>
        <v>#REF!</v>
      </c>
      <c r="O9" s="412" t="e">
        <f>I28*LCIA_CC_ch_el_LOW_2030</f>
        <v>#REF!</v>
      </c>
      <c r="P9" s="412" t="e">
        <f>J28*LCIA_CC_ch_el_LOW_2030</f>
        <v>#REF!</v>
      </c>
      <c r="Q9" s="361" t="e">
        <f>O9</f>
        <v>#REF!</v>
      </c>
      <c r="R9" s="361" t="e">
        <f t="shared" ref="R9:R21" si="4">O9</f>
        <v>#REF!</v>
      </c>
      <c r="S9" s="53" t="e">
        <f>$M$28*LCIA_CC_ch_el_BAU_2030</f>
        <v>#REF!</v>
      </c>
      <c r="T9" s="53" t="e">
        <f>$M$28*LCIA_CC_ch_el_BAU_2040</f>
        <v>#REF!</v>
      </c>
      <c r="U9" s="53" t="e">
        <f>$M$28*LCIA_CC_ch_el_BAU_2050</f>
        <v>#REF!</v>
      </c>
      <c r="V9" s="53" t="e">
        <f>$M$28*LCIA_CC_ch_el_LOW_2030</f>
        <v>#REF!</v>
      </c>
      <c r="W9" s="53" t="e">
        <f>$M$28*LCIA_CC_ch_el_LOW_2040</f>
        <v>#REF!</v>
      </c>
      <c r="X9" s="53" t="e">
        <f>$M$28*LCIA_CC_ch_el_LOW_2050</f>
        <v>#REF!</v>
      </c>
      <c r="Y9" s="307">
        <f t="shared" si="0"/>
        <v>2.7000651044813145E-4</v>
      </c>
      <c r="Z9" s="307" t="e">
        <f t="shared" si="0"/>
        <v>#REF!</v>
      </c>
      <c r="AA9" s="307" t="e">
        <f t="shared" si="0"/>
        <v>#REF!</v>
      </c>
      <c r="AB9" s="307" t="e">
        <f t="shared" si="0"/>
        <v>#REF!</v>
      </c>
      <c r="AC9" s="307">
        <f t="shared" si="0"/>
        <v>4.3371342496602912E-5</v>
      </c>
      <c r="AD9" s="308" t="e">
        <f t="shared" si="0"/>
        <v>#REF!</v>
      </c>
      <c r="AE9" s="308" t="e">
        <f t="shared" si="0"/>
        <v>#REF!</v>
      </c>
      <c r="AF9" s="308" t="e">
        <f t="shared" si="0"/>
        <v>#REF!</v>
      </c>
      <c r="AG9" s="308">
        <f t="shared" si="0"/>
        <v>4.3371342496602912E-5</v>
      </c>
      <c r="AH9" s="309" t="e">
        <f t="shared" si="0"/>
        <v>#REF!</v>
      </c>
      <c r="AI9" s="309" t="e">
        <f t="shared" si="0"/>
        <v>#REF!</v>
      </c>
      <c r="AJ9" s="309" t="e">
        <f t="shared" si="0"/>
        <v>#REF!</v>
      </c>
      <c r="AK9" s="309" t="e">
        <f t="shared" si="0"/>
        <v>#REF!</v>
      </c>
      <c r="AL9" s="50" t="e">
        <f t="shared" ref="AL9:AL21" si="5">I9/lifetime_30a_elprod</f>
        <v>#REF!</v>
      </c>
      <c r="AM9" s="50" t="e">
        <f t="shared" ref="AM9:AM19" si="6">I9/lifetime_100a_elprod</f>
        <v>#REF!</v>
      </c>
      <c r="AN9" s="50" t="e">
        <f t="shared" ref="AN9:AN21" si="7">O9/lifetime_30a_elprod</f>
        <v>#REF!</v>
      </c>
      <c r="AO9" s="50" t="e">
        <f t="shared" si="1"/>
        <v>#REF!</v>
      </c>
      <c r="AP9" s="50" t="e">
        <f t="shared" ref="AP9:AP21" si="8">P9/lifetime_30a_elprod</f>
        <v>#REF!</v>
      </c>
      <c r="AQ9" s="50" t="e">
        <f t="shared" si="2"/>
        <v>#REF!</v>
      </c>
      <c r="AR9" s="50" t="e">
        <f t="shared" si="3"/>
        <v>#REF!</v>
      </c>
      <c r="AS9" s="50" t="e">
        <f t="shared" si="3"/>
        <v>#REF!</v>
      </c>
      <c r="AT9" s="50" t="e">
        <f t="shared" si="3"/>
        <v>#REF!</v>
      </c>
      <c r="AU9" s="50" t="e">
        <f t="shared" si="3"/>
        <v>#REF!</v>
      </c>
      <c r="AV9" s="50" t="e">
        <f t="shared" si="3"/>
        <v>#REF!</v>
      </c>
      <c r="AW9" s="50" t="e">
        <f t="shared" si="3"/>
        <v>#REF!</v>
      </c>
    </row>
    <row r="10" spans="2:49" x14ac:dyDescent="0.25">
      <c r="B10" s="9"/>
      <c r="C10" s="9" t="s">
        <v>824</v>
      </c>
      <c r="D10" s="56">
        <f>$H$29*LCIA_CC_steel_ev_2020</f>
        <v>4100626.3983987928</v>
      </c>
      <c r="E10" s="56">
        <f>$H$29*LCIA_CC_steel_BAU_2030</f>
        <v>3302299.3575830385</v>
      </c>
      <c r="F10" s="56">
        <f>$H$29*LCIA_CC_steel_BAU_2040</f>
        <v>2998053.2090665149</v>
      </c>
      <c r="G10" s="56">
        <f>$H$29*LCIA_CC_steel_BAU_2050</f>
        <v>2680131.3635865152</v>
      </c>
      <c r="H10" s="56">
        <f t="shared" ref="H10:H19" si="9">E10</f>
        <v>3302299.3575830385</v>
      </c>
      <c r="I10" s="23">
        <f>$H$29*LCIA_CC_steel_LOW_2030</f>
        <v>3168038.7049720376</v>
      </c>
      <c r="J10" s="23">
        <f>$H$29*LCIA_CC_steel_LOW_2040</f>
        <v>2482538.430938263</v>
      </c>
      <c r="K10" s="23">
        <f>$H$29*LCIA_CC_steel_LOW_2050</f>
        <v>2167730.6567426631</v>
      </c>
      <c r="L10" s="23">
        <f>I10</f>
        <v>3168038.7049720376</v>
      </c>
      <c r="M10" s="412">
        <f>$I$29*LCIA_CC_steel_BAU_2030</f>
        <v>2694555.5422320296</v>
      </c>
      <c r="N10" s="412">
        <f>$J$29*LCIA_CC_steel_BAU_2030</f>
        <v>4929931.2727119345</v>
      </c>
      <c r="O10" s="412">
        <f>$I$29*LCIA_CC_steel_LOW_2030</f>
        <v>2585003.7583315405</v>
      </c>
      <c r="P10" s="412">
        <f>$J$29*LCIA_CC_steel_LOW_2030</f>
        <v>4729496.4488726659</v>
      </c>
      <c r="Q10" s="361">
        <f>O10</f>
        <v>2585003.7583315405</v>
      </c>
      <c r="R10" s="361">
        <f t="shared" si="4"/>
        <v>2585003.7583315405</v>
      </c>
      <c r="S10" s="53">
        <f t="shared" ref="S10:U21" si="10">E10</f>
        <v>3302299.3575830385</v>
      </c>
      <c r="T10" s="53">
        <f t="shared" si="10"/>
        <v>2998053.2090665149</v>
      </c>
      <c r="U10" s="53">
        <f t="shared" si="10"/>
        <v>2680131.3635865152</v>
      </c>
      <c r="V10" s="53">
        <f>I10</f>
        <v>3168038.7049720376</v>
      </c>
      <c r="W10" s="53">
        <f t="shared" ref="W10:X21" si="11">J10</f>
        <v>2482538.430938263</v>
      </c>
      <c r="X10" s="53">
        <f t="shared" si="11"/>
        <v>2167730.6567426631</v>
      </c>
      <c r="Y10" s="307">
        <f t="shared" si="0"/>
        <v>4.5968549804395326E-3</v>
      </c>
      <c r="Z10" s="307">
        <f>E10/lifetime_60a_elprod</f>
        <v>3.7019200907294067E-3</v>
      </c>
      <c r="AA10" s="307">
        <f t="shared" si="0"/>
        <v>3.3608562416467787E-3</v>
      </c>
      <c r="AB10" s="307">
        <f t="shared" si="0"/>
        <v>3.0044617602192764E-3</v>
      </c>
      <c r="AC10" s="307">
        <f t="shared" si="0"/>
        <v>3.7019200907294067E-3</v>
      </c>
      <c r="AD10" s="308">
        <f t="shared" si="0"/>
        <v>3.5514121707996772E-3</v>
      </c>
      <c r="AE10" s="308">
        <f t="shared" si="0"/>
        <v>2.7829575390840747E-3</v>
      </c>
      <c r="AF10" s="308">
        <f t="shared" si="0"/>
        <v>2.4300539716541818E-3</v>
      </c>
      <c r="AG10" s="308">
        <f t="shared" si="0"/>
        <v>3.5514121707996772E-3</v>
      </c>
      <c r="AH10" s="309">
        <f t="shared" si="0"/>
        <v>3.0206314501650057E-3</v>
      </c>
      <c r="AI10" s="309">
        <f t="shared" si="0"/>
        <v>5.5265164202814377E-3</v>
      </c>
      <c r="AJ10" s="309">
        <f t="shared" si="0"/>
        <v>2.897822490139864E-3</v>
      </c>
      <c r="AK10" s="309">
        <f t="shared" si="0"/>
        <v>5.3018264025371147E-3</v>
      </c>
      <c r="AL10" s="50">
        <f t="shared" si="5"/>
        <v>7.1028243415993545E-3</v>
      </c>
      <c r="AM10" s="50">
        <f t="shared" si="6"/>
        <v>2.1308473024798063E-3</v>
      </c>
      <c r="AN10" s="50">
        <f t="shared" si="7"/>
        <v>5.795644980279728E-3</v>
      </c>
      <c r="AO10" s="50">
        <f t="shared" si="1"/>
        <v>1.7386934940839184E-3</v>
      </c>
      <c r="AP10" s="50">
        <f t="shared" si="8"/>
        <v>1.0603652805074229E-2</v>
      </c>
      <c r="AQ10" s="50">
        <f t="shared" si="2"/>
        <v>3.1810958415222691E-3</v>
      </c>
      <c r="AR10" s="50">
        <f t="shared" si="3"/>
        <v>3.7019200907294067E-3</v>
      </c>
      <c r="AS10" s="50">
        <f t="shared" si="3"/>
        <v>3.3608562416467787E-3</v>
      </c>
      <c r="AT10" s="50">
        <f t="shared" si="3"/>
        <v>3.0044617602192764E-3</v>
      </c>
      <c r="AU10" s="50">
        <f t="shared" si="3"/>
        <v>3.5514121707996772E-3</v>
      </c>
      <c r="AV10" s="50">
        <f t="shared" si="3"/>
        <v>2.7829575390840747E-3</v>
      </c>
      <c r="AW10" s="50">
        <f t="shared" si="3"/>
        <v>2.4300539716541818E-3</v>
      </c>
    </row>
    <row r="11" spans="2:49" x14ac:dyDescent="0.25">
      <c r="B11" s="9"/>
      <c r="C11" s="9" t="s">
        <v>825</v>
      </c>
      <c r="D11" s="56">
        <f>$H$30*LCIA_CC_cement_ev_2020</f>
        <v>744766.78613994806</v>
      </c>
      <c r="E11" s="56">
        <f>$H$30*LCIA_CC_cement_BAU_2030</f>
        <v>741069.1163394067</v>
      </c>
      <c r="F11" s="56">
        <f>$H$30*LCIA_CC_cement_BAU_2040</f>
        <v>727218.5783692532</v>
      </c>
      <c r="G11" s="56">
        <f>$H$30*LCIA_CC_cement_BAU_2050</f>
        <v>719368.0489693071</v>
      </c>
      <c r="H11" s="56">
        <f t="shared" si="9"/>
        <v>741069.1163394067</v>
      </c>
      <c r="I11" s="23">
        <f>$H$30*LCIA_CC_cement_LOW_2030</f>
        <v>738163.55483256583</v>
      </c>
      <c r="J11" s="23">
        <f>$H$30*LCIA_CC_cement_LOW_2040</f>
        <v>602049.91975939635</v>
      </c>
      <c r="K11" s="23">
        <f>$H$30*LCIA_CC_cement_LOW_2050</f>
        <v>441069.33280385047</v>
      </c>
      <c r="L11" s="23">
        <f>I11</f>
        <v>738163.55483256583</v>
      </c>
      <c r="M11" s="412">
        <f>$I$30*LCIA_CC_cement_BAU_2030</f>
        <v>545610.08830275072</v>
      </c>
      <c r="N11" s="412">
        <f>$J$30*LCIA_CC_cement_BAU_2030</f>
        <v>2025615.5551440469</v>
      </c>
      <c r="O11" s="412">
        <f>$I$30*LCIA_CC_cement_LOW_2030</f>
        <v>543470.87667543686</v>
      </c>
      <c r="P11" s="412">
        <f>$J$30*LCIA_CC_cement_LOW_2030</f>
        <v>2017673.5825872135</v>
      </c>
      <c r="Q11" s="361">
        <f>O11</f>
        <v>543470.87667543686</v>
      </c>
      <c r="R11" s="361">
        <f t="shared" si="4"/>
        <v>543470.87667543686</v>
      </c>
      <c r="S11" s="53">
        <f t="shared" si="10"/>
        <v>741069.1163394067</v>
      </c>
      <c r="T11" s="53">
        <f t="shared" si="10"/>
        <v>727218.5783692532</v>
      </c>
      <c r="U11" s="53">
        <f t="shared" si="10"/>
        <v>719368.0489693071</v>
      </c>
      <c r="V11" s="53">
        <f t="shared" ref="V11:V21" si="12">I11</f>
        <v>738163.55483256583</v>
      </c>
      <c r="W11" s="53">
        <f t="shared" si="11"/>
        <v>602049.91975939635</v>
      </c>
      <c r="X11" s="53">
        <f t="shared" si="11"/>
        <v>441069.33280385047</v>
      </c>
      <c r="Y11" s="307">
        <f t="shared" si="0"/>
        <v>8.3489315473123853E-4</v>
      </c>
      <c r="Z11" s="307">
        <f t="shared" si="0"/>
        <v>8.3074801928430372E-4</v>
      </c>
      <c r="AA11" s="307">
        <f t="shared" si="0"/>
        <v>8.1522138792019595E-4</v>
      </c>
      <c r="AB11" s="307">
        <f t="shared" si="0"/>
        <v>8.0642084340208989E-4</v>
      </c>
      <c r="AC11" s="307">
        <f t="shared" si="0"/>
        <v>8.3074801928430372E-4</v>
      </c>
      <c r="AD11" s="308">
        <f t="shared" si="0"/>
        <v>8.2749084743150817E-4</v>
      </c>
      <c r="AE11" s="308">
        <f t="shared" si="0"/>
        <v>6.7490571030803142E-4</v>
      </c>
      <c r="AF11" s="308">
        <f t="shared" si="0"/>
        <v>4.9444440000928386E-4</v>
      </c>
      <c r="AG11" s="308">
        <f t="shared" si="0"/>
        <v>8.2749084743150817E-4</v>
      </c>
      <c r="AH11" s="309">
        <f t="shared" si="0"/>
        <v>6.116359326887006E-4</v>
      </c>
      <c r="AI11" s="309">
        <f t="shared" si="0"/>
        <v>2.2707411132981115E-3</v>
      </c>
      <c r="AJ11" s="309">
        <f t="shared" si="0"/>
        <v>6.092378489161649E-4</v>
      </c>
      <c r="AK11" s="309">
        <f t="shared" si="0"/>
        <v>2.2618380598239769E-3</v>
      </c>
      <c r="AL11" s="50">
        <f t="shared" si="5"/>
        <v>1.6549816948630163E-3</v>
      </c>
      <c r="AM11" s="50">
        <f t="shared" si="6"/>
        <v>4.9649450845890496E-4</v>
      </c>
      <c r="AN11" s="50">
        <f t="shared" si="7"/>
        <v>1.2184756978323298E-3</v>
      </c>
      <c r="AO11" s="50">
        <f t="shared" si="1"/>
        <v>3.6554270934969894E-4</v>
      </c>
      <c r="AP11" s="50">
        <f t="shared" si="8"/>
        <v>4.5236761196479538E-3</v>
      </c>
      <c r="AQ11" s="50">
        <f t="shared" si="2"/>
        <v>1.357102835894386E-3</v>
      </c>
      <c r="AR11" s="50">
        <f t="shared" si="3"/>
        <v>8.3074801928430372E-4</v>
      </c>
      <c r="AS11" s="50">
        <f t="shared" si="3"/>
        <v>8.1522138792019595E-4</v>
      </c>
      <c r="AT11" s="50">
        <f t="shared" si="3"/>
        <v>8.0642084340208989E-4</v>
      </c>
      <c r="AU11" s="50">
        <f t="shared" si="3"/>
        <v>8.2749084743150817E-4</v>
      </c>
      <c r="AV11" s="50">
        <f t="shared" si="3"/>
        <v>6.7490571030803142E-4</v>
      </c>
      <c r="AW11" s="50">
        <f t="shared" si="3"/>
        <v>4.9444440000928386E-4</v>
      </c>
    </row>
    <row r="12" spans="2:49" x14ac:dyDescent="0.25">
      <c r="B12" s="9"/>
      <c r="C12" s="9" t="s">
        <v>1280</v>
      </c>
      <c r="D12" s="56">
        <f>$H$31*LCIA_CC_water_ev_2020</f>
        <v>25.394265697640119</v>
      </c>
      <c r="E12" s="56">
        <f>$H$31*LCIA_CC_water_BAU_2030</f>
        <v>56.064954157528923</v>
      </c>
      <c r="F12" s="56">
        <f>$H$31*LCIA_CC_water_BAU_2040</f>
        <v>44.919303560295724</v>
      </c>
      <c r="G12" s="56">
        <f>$H$31*LCIA_CC_water_BAU_2050</f>
        <v>33.500413364394753</v>
      </c>
      <c r="H12" s="56">
        <f t="shared" si="9"/>
        <v>56.064954157528923</v>
      </c>
      <c r="I12" s="23">
        <f>$H$31*LCIA_CC_water_LOW_2030</f>
        <v>52.430432695423377</v>
      </c>
      <c r="J12" s="23">
        <f>$H$31*LCIA_CC_water_LOW_2040</f>
        <v>23.401125793179602</v>
      </c>
      <c r="K12" s="23">
        <f>$H$31*LCIA_CC_water_LOW_2050</f>
        <v>15.149204965064078</v>
      </c>
      <c r="L12" s="23">
        <f>I12</f>
        <v>52.430432695423377</v>
      </c>
      <c r="M12" s="412">
        <f>$I$31*LCIA_CC_water_BAU_2030</f>
        <v>41.277667513227094</v>
      </c>
      <c r="N12" s="412">
        <f>$J$31*LCIA_CC_water_BAU_2030</f>
        <v>153.2462232414982</v>
      </c>
      <c r="O12" s="412">
        <f>$I$31*LCIA_CC_water_LOW_2030</f>
        <v>38.60176113397727</v>
      </c>
      <c r="P12" s="412">
        <f>$J$31*LCIA_CC_water_LOW_2030</f>
        <v>143.31173393837895</v>
      </c>
      <c r="Q12" s="361">
        <f t="shared" ref="Q12:Q21" si="13">O12</f>
        <v>38.60176113397727</v>
      </c>
      <c r="R12" s="361">
        <f t="shared" si="4"/>
        <v>38.60176113397727</v>
      </c>
      <c r="S12" s="53">
        <f t="shared" si="10"/>
        <v>56.064954157528923</v>
      </c>
      <c r="T12" s="53">
        <f t="shared" si="10"/>
        <v>44.919303560295724</v>
      </c>
      <c r="U12" s="53">
        <f t="shared" si="10"/>
        <v>33.500413364394753</v>
      </c>
      <c r="V12" s="53">
        <f t="shared" si="12"/>
        <v>52.430432695423377</v>
      </c>
      <c r="W12" s="53">
        <f t="shared" si="11"/>
        <v>23.401125793179602</v>
      </c>
      <c r="X12" s="53">
        <f t="shared" si="11"/>
        <v>15.149204965064078</v>
      </c>
      <c r="Y12" s="307">
        <f t="shared" si="0"/>
        <v>2.8467298750352827E-8</v>
      </c>
      <c r="Z12" s="307">
        <f t="shared" si="0"/>
        <v>6.284953534118252E-8</v>
      </c>
      <c r="AA12" s="307">
        <f t="shared" si="0"/>
        <v>5.0355117542444152E-8</v>
      </c>
      <c r="AB12" s="307">
        <f t="shared" si="0"/>
        <v>3.755439463615448E-8</v>
      </c>
      <c r="AC12" s="307">
        <f t="shared" si="0"/>
        <v>6.284953534118252E-8</v>
      </c>
      <c r="AD12" s="308">
        <f t="shared" si="0"/>
        <v>5.877518999455008E-8</v>
      </c>
      <c r="AE12" s="308">
        <f t="shared" si="0"/>
        <v>2.6232963259533733E-8</v>
      </c>
      <c r="AF12" s="308">
        <f t="shared" si="0"/>
        <v>1.6982453783291873E-8</v>
      </c>
      <c r="AG12" s="308">
        <f t="shared" si="0"/>
        <v>5.877518999455008E-8</v>
      </c>
      <c r="AH12" s="309">
        <f t="shared" si="0"/>
        <v>4.627279665448123E-8</v>
      </c>
      <c r="AI12" s="309">
        <f t="shared" si="0"/>
        <v>1.7179098900994794E-7</v>
      </c>
      <c r="AJ12" s="309">
        <f t="shared" si="0"/>
        <v>4.3273071156092091E-8</v>
      </c>
      <c r="AK12" s="309">
        <f t="shared" si="0"/>
        <v>1.6065429861332973E-7</v>
      </c>
      <c r="AL12" s="50">
        <f t="shared" si="5"/>
        <v>1.1755037998910016E-7</v>
      </c>
      <c r="AM12" s="50">
        <f t="shared" si="6"/>
        <v>3.5265113996730051E-8</v>
      </c>
      <c r="AN12" s="50">
        <f t="shared" si="7"/>
        <v>8.6546142312184182E-8</v>
      </c>
      <c r="AO12" s="50">
        <f t="shared" si="1"/>
        <v>2.5963842693655255E-8</v>
      </c>
      <c r="AP12" s="50">
        <f t="shared" si="8"/>
        <v>3.2130859722665945E-7</v>
      </c>
      <c r="AQ12" s="50">
        <f t="shared" si="2"/>
        <v>9.6392579167997844E-8</v>
      </c>
      <c r="AR12" s="50">
        <f t="shared" si="3"/>
        <v>6.284953534118252E-8</v>
      </c>
      <c r="AS12" s="50">
        <f t="shared" si="3"/>
        <v>5.0355117542444152E-8</v>
      </c>
      <c r="AT12" s="50">
        <f t="shared" si="3"/>
        <v>3.755439463615448E-8</v>
      </c>
      <c r="AU12" s="50">
        <f t="shared" si="3"/>
        <v>5.877518999455008E-8</v>
      </c>
      <c r="AV12" s="50">
        <f t="shared" si="3"/>
        <v>2.6232963259533733E-8</v>
      </c>
      <c r="AW12" s="50">
        <f t="shared" si="3"/>
        <v>1.6982453783291873E-8</v>
      </c>
    </row>
    <row r="13" spans="2:49" x14ac:dyDescent="0.25">
      <c r="B13" s="9"/>
      <c r="C13" s="9" t="s">
        <v>817</v>
      </c>
      <c r="D13" s="56">
        <f>$E$32*P70</f>
        <v>1794039.9715909101</v>
      </c>
      <c r="E13" s="56">
        <f>$E$32*Q70</f>
        <v>1659994.0797162501</v>
      </c>
      <c r="F13" s="56">
        <f>$E$32*R70</f>
        <v>1558780.85591546</v>
      </c>
      <c r="G13" s="56">
        <f>$E$32*S70</f>
        <v>1501880.7688502001</v>
      </c>
      <c r="H13" s="56">
        <f t="shared" si="9"/>
        <v>1659994.0797162501</v>
      </c>
      <c r="I13" s="23">
        <f>$E$32*T70</f>
        <v>1501485.7975568201</v>
      </c>
      <c r="J13" s="23">
        <f>$E$32*U70</f>
        <v>1169593.9558528501</v>
      </c>
      <c r="K13" s="23">
        <f>$E$32*V70</f>
        <v>973872.61671132396</v>
      </c>
      <c r="L13" s="23">
        <f>I13</f>
        <v>1501485.7975568201</v>
      </c>
      <c r="M13" s="412">
        <f>$E$13</f>
        <v>1659994.0797162501</v>
      </c>
      <c r="N13" s="412">
        <f>$E$13</f>
        <v>1659994.0797162501</v>
      </c>
      <c r="O13" s="412">
        <f>$I$13</f>
        <v>1501485.7975568201</v>
      </c>
      <c r="P13" s="412">
        <f>$I$13</f>
        <v>1501485.7975568201</v>
      </c>
      <c r="Q13" s="361">
        <f t="shared" si="13"/>
        <v>1501485.7975568201</v>
      </c>
      <c r="R13" s="361">
        <f t="shared" si="4"/>
        <v>1501485.7975568201</v>
      </c>
      <c r="S13" s="53">
        <f>E13</f>
        <v>1659994.0797162501</v>
      </c>
      <c r="T13" s="53">
        <f t="shared" si="10"/>
        <v>1558780.85591546</v>
      </c>
      <c r="U13" s="53">
        <f t="shared" si="10"/>
        <v>1501880.7688502001</v>
      </c>
      <c r="V13" s="53">
        <f t="shared" si="12"/>
        <v>1501485.7975568201</v>
      </c>
      <c r="W13" s="53">
        <f t="shared" si="11"/>
        <v>1169593.9558528501</v>
      </c>
      <c r="X13" s="53">
        <f t="shared" si="11"/>
        <v>973872.61671132396</v>
      </c>
      <c r="Y13" s="307">
        <f t="shared" si="0"/>
        <v>2.0111419030359673E-3</v>
      </c>
      <c r="Z13" s="307">
        <f t="shared" si="0"/>
        <v>1.8608747326563154E-3</v>
      </c>
      <c r="AA13" s="307">
        <f t="shared" si="0"/>
        <v>1.7474134058461778E-3</v>
      </c>
      <c r="AB13" s="307">
        <f t="shared" si="0"/>
        <v>1.6836276757646669E-3</v>
      </c>
      <c r="AC13" s="307">
        <f t="shared" si="0"/>
        <v>1.8608747326563154E-3</v>
      </c>
      <c r="AD13" s="308">
        <f t="shared" si="0"/>
        <v>1.6831849078602771E-3</v>
      </c>
      <c r="AE13" s="308">
        <f t="shared" si="0"/>
        <v>1.3111298808283387E-3</v>
      </c>
      <c r="AF13" s="308">
        <f t="shared" si="0"/>
        <v>1.0917237401074152E-3</v>
      </c>
      <c r="AG13" s="308">
        <f t="shared" si="0"/>
        <v>1.6831849078602771E-3</v>
      </c>
      <c r="AH13" s="309">
        <f t="shared" si="0"/>
        <v>1.8608747326563154E-3</v>
      </c>
      <c r="AI13" s="309">
        <f t="shared" si="0"/>
        <v>1.8608747326563154E-3</v>
      </c>
      <c r="AJ13" s="309">
        <f t="shared" si="0"/>
        <v>1.6831849078602771E-3</v>
      </c>
      <c r="AK13" s="309">
        <f t="shared" si="0"/>
        <v>1.6831849078602771E-3</v>
      </c>
      <c r="AL13" s="50">
        <f t="shared" si="5"/>
        <v>3.3663698157205542E-3</v>
      </c>
      <c r="AM13" s="50">
        <f t="shared" si="6"/>
        <v>1.0099109447161663E-3</v>
      </c>
      <c r="AN13" s="50">
        <f t="shared" si="7"/>
        <v>3.3663698157205542E-3</v>
      </c>
      <c r="AO13" s="351">
        <f t="shared" si="1"/>
        <v>1.0099109447161663E-3</v>
      </c>
      <c r="AP13" s="50">
        <f t="shared" si="8"/>
        <v>3.3663698157205542E-3</v>
      </c>
      <c r="AQ13" s="50">
        <f t="shared" si="2"/>
        <v>1.0099109447161663E-3</v>
      </c>
      <c r="AR13" s="50">
        <f t="shared" si="3"/>
        <v>1.8608747326563154E-3</v>
      </c>
      <c r="AS13" s="50">
        <f t="shared" si="3"/>
        <v>1.7474134058461778E-3</v>
      </c>
      <c r="AT13" s="50">
        <f t="shared" si="3"/>
        <v>1.6836276757646669E-3</v>
      </c>
      <c r="AU13" s="50">
        <f t="shared" si="3"/>
        <v>1.6831849078602771E-3</v>
      </c>
      <c r="AV13" s="50">
        <f t="shared" si="3"/>
        <v>1.3111298808283387E-3</v>
      </c>
      <c r="AW13" s="50">
        <f t="shared" si="3"/>
        <v>1.0917237401074152E-3</v>
      </c>
    </row>
    <row r="14" spans="2:49" x14ac:dyDescent="0.25">
      <c r="B14" s="9" t="s">
        <v>849</v>
      </c>
      <c r="C14" s="9" t="s">
        <v>818</v>
      </c>
      <c r="D14" s="56">
        <f>$E$33*P55</f>
        <v>18706.938786313793</v>
      </c>
      <c r="E14" s="56">
        <f>$E$33*Q55</f>
        <v>16163.879170996908</v>
      </c>
      <c r="F14" s="56">
        <f>$E$33*R55</f>
        <v>15166.624106659177</v>
      </c>
      <c r="G14" s="56">
        <f>$E$33*S55</f>
        <v>14393.920942791663</v>
      </c>
      <c r="H14" s="56">
        <f t="shared" si="9"/>
        <v>16163.879170996908</v>
      </c>
      <c r="I14" s="23">
        <f>$E$33*T55</f>
        <v>14642.773359404791</v>
      </c>
      <c r="J14" s="23">
        <f>$E$33*U55</f>
        <v>13322.340273208714</v>
      </c>
      <c r="K14" s="23">
        <f t="shared" ref="K14" si="14">$E$33*V55</f>
        <v>12902.250305018835</v>
      </c>
      <c r="L14" s="23">
        <f>I14</f>
        <v>14642.773359404791</v>
      </c>
      <c r="M14" s="412">
        <f>$I$33*Q55</f>
        <v>15579.501760621028</v>
      </c>
      <c r="N14" s="412">
        <f>$J$33*Q55</f>
        <v>26760.589545812909</v>
      </c>
      <c r="O14" s="412">
        <f>$I$33*T55</f>
        <v>14113.388928479097</v>
      </c>
      <c r="P14" s="412">
        <f>$J$33*T55</f>
        <v>24242.27770685744</v>
      </c>
      <c r="Q14" s="361">
        <f t="shared" si="13"/>
        <v>14113.388928479097</v>
      </c>
      <c r="R14" s="361">
        <f t="shared" si="4"/>
        <v>14113.388928479097</v>
      </c>
      <c r="S14" s="53">
        <f t="shared" si="10"/>
        <v>16163.879170996908</v>
      </c>
      <c r="T14" s="53">
        <f t="shared" si="10"/>
        <v>15166.624106659177</v>
      </c>
      <c r="U14" s="53">
        <f t="shared" si="10"/>
        <v>14393.920942791663</v>
      </c>
      <c r="V14" s="53">
        <f t="shared" si="12"/>
        <v>14642.773359404791</v>
      </c>
      <c r="W14" s="53">
        <f t="shared" si="11"/>
        <v>13322.340273208714</v>
      </c>
      <c r="X14" s="53">
        <f t="shared" si="11"/>
        <v>12902.250305018835</v>
      </c>
      <c r="Y14" s="307">
        <f t="shared" si="0"/>
        <v>2.0970719196028805E-5</v>
      </c>
      <c r="Z14" s="307">
        <f t="shared" si="0"/>
        <v>1.8119916630160139E-5</v>
      </c>
      <c r="AA14" s="307">
        <f t="shared" si="0"/>
        <v>1.7001980865258589E-5</v>
      </c>
      <c r="AB14" s="307">
        <f t="shared" si="0"/>
        <v>1.6135770671466551E-5</v>
      </c>
      <c r="AC14" s="307">
        <f t="shared" si="0"/>
        <v>1.8119916630160139E-5</v>
      </c>
      <c r="AD14" s="308">
        <f t="shared" si="0"/>
        <v>1.6414737433995601E-5</v>
      </c>
      <c r="AE14" s="308">
        <f t="shared" si="0"/>
        <v>1.4934514946283059E-5</v>
      </c>
      <c r="AF14" s="308">
        <f t="shared" si="0"/>
        <v>1.4463588684075808E-5</v>
      </c>
      <c r="AG14" s="308">
        <f t="shared" si="0"/>
        <v>1.6414737433995601E-5</v>
      </c>
      <c r="AH14" s="309">
        <f t="shared" si="0"/>
        <v>1.746482203037127E-5</v>
      </c>
      <c r="AI14" s="309">
        <f t="shared" si="0"/>
        <v>2.999896537299831E-5</v>
      </c>
      <c r="AJ14" s="309">
        <f t="shared" si="0"/>
        <v>1.5821290672101331E-5</v>
      </c>
      <c r="AK14" s="309">
        <f t="shared" si="0"/>
        <v>2.717590538301176E-5</v>
      </c>
      <c r="AL14" s="50">
        <f t="shared" si="5"/>
        <v>3.2829474867991202E-5</v>
      </c>
      <c r="AM14" s="50">
        <f t="shared" si="6"/>
        <v>9.84884246039736E-6</v>
      </c>
      <c r="AN14" s="50">
        <f t="shared" si="7"/>
        <v>3.1642581344202662E-5</v>
      </c>
      <c r="AO14" s="50">
        <f t="shared" si="1"/>
        <v>9.4927744032607993E-6</v>
      </c>
      <c r="AP14" s="50">
        <f t="shared" si="8"/>
        <v>5.435181076602352E-5</v>
      </c>
      <c r="AQ14" s="50">
        <f t="shared" si="2"/>
        <v>1.6305543229807055E-5</v>
      </c>
      <c r="AR14" s="50">
        <f t="shared" si="3"/>
        <v>1.8119916630160139E-5</v>
      </c>
      <c r="AS14" s="50">
        <f t="shared" si="3"/>
        <v>1.7001980865258589E-5</v>
      </c>
      <c r="AT14" s="50">
        <f t="shared" si="3"/>
        <v>1.6135770671466551E-5</v>
      </c>
      <c r="AU14" s="50">
        <f t="shared" si="3"/>
        <v>1.6414737433995601E-5</v>
      </c>
      <c r="AV14" s="50">
        <f t="shared" si="3"/>
        <v>1.4934514946283059E-5</v>
      </c>
      <c r="AW14" s="50">
        <f t="shared" si="3"/>
        <v>1.4463588684075808E-5</v>
      </c>
    </row>
    <row r="15" spans="2:49" x14ac:dyDescent="0.25">
      <c r="B15" s="9"/>
      <c r="C15" s="9" t="s">
        <v>819</v>
      </c>
      <c r="D15" s="56">
        <f>$E$34*(P58-P56)</f>
        <v>3420.2672132808625</v>
      </c>
      <c r="E15" s="56">
        <f>$E$34*(Q58-Q56)</f>
        <v>2809.7165577599835</v>
      </c>
      <c r="F15" s="56">
        <f>$E$34*(R58-R56)</f>
        <v>2559.117397347155</v>
      </c>
      <c r="G15" s="56">
        <f>$E$34*(S58-S56)</f>
        <v>2360.4155028726177</v>
      </c>
      <c r="H15" s="56">
        <f t="shared" si="9"/>
        <v>2809.7165577599835</v>
      </c>
      <c r="I15" s="23">
        <f>$E$34*(T58-T56)</f>
        <v>2462.7385397504058</v>
      </c>
      <c r="J15" s="23">
        <f>$E$34*(U58-U56)</f>
        <v>2048.0579156051849</v>
      </c>
      <c r="K15" s="23">
        <f t="shared" ref="K15" si="15">$E$34*(V58-V56)</f>
        <v>1931.7618874148825</v>
      </c>
      <c r="L15" s="23">
        <f t="shared" ref="L15:L19" si="16">I15</f>
        <v>2462.7385397504058</v>
      </c>
      <c r="M15" s="412">
        <f>$I$34*(Q58-Q56)</f>
        <v>2708.1360603716985</v>
      </c>
      <c r="N15" s="412">
        <f>$J$34*(Q58-Q56)</f>
        <v>4651.7095770675651</v>
      </c>
      <c r="O15" s="412">
        <f>$I$34*(T58-T56)</f>
        <v>2373.702439253284</v>
      </c>
      <c r="P15" s="412">
        <f>$J$34*(T58-T56)</f>
        <v>4077.2598287648925</v>
      </c>
      <c r="Q15" s="361">
        <f t="shared" si="13"/>
        <v>2373.702439253284</v>
      </c>
      <c r="R15" s="361">
        <f t="shared" si="4"/>
        <v>2373.702439253284</v>
      </c>
      <c r="S15" s="53">
        <f t="shared" si="10"/>
        <v>2809.7165577599835</v>
      </c>
      <c r="T15" s="53">
        <f t="shared" si="10"/>
        <v>2559.117397347155</v>
      </c>
      <c r="U15" s="53">
        <f t="shared" si="10"/>
        <v>2360.4155028726177</v>
      </c>
      <c r="V15" s="53">
        <f t="shared" si="12"/>
        <v>2462.7385397504058</v>
      </c>
      <c r="W15" s="53">
        <f t="shared" si="11"/>
        <v>2048.0579156051849</v>
      </c>
      <c r="X15" s="53">
        <f t="shared" si="11"/>
        <v>1931.7618874148825</v>
      </c>
      <c r="Y15" s="307">
        <f t="shared" si="0"/>
        <v>3.8341635755804193E-6</v>
      </c>
      <c r="Z15" s="307">
        <f t="shared" si="0"/>
        <v>3.1497284310528184E-6</v>
      </c>
      <c r="AA15" s="307">
        <f t="shared" si="0"/>
        <v>2.8688035462382707E-6</v>
      </c>
      <c r="AB15" s="307">
        <f t="shared" si="0"/>
        <v>2.6460561646200105E-6</v>
      </c>
      <c r="AC15" s="307">
        <f t="shared" si="0"/>
        <v>3.1497284310528184E-6</v>
      </c>
      <c r="AD15" s="308">
        <f t="shared" si="0"/>
        <v>2.7607616061762139E-6</v>
      </c>
      <c r="AE15" s="308">
        <f t="shared" si="0"/>
        <v>2.2958992882781308E-6</v>
      </c>
      <c r="AF15" s="308">
        <f t="shared" si="0"/>
        <v>2.1655299435846769E-6</v>
      </c>
      <c r="AG15" s="308">
        <f t="shared" si="0"/>
        <v>2.7607616061762139E-6</v>
      </c>
      <c r="AH15" s="309">
        <f t="shared" si="0"/>
        <v>3.0358553858231439E-6</v>
      </c>
      <c r="AI15" s="309">
        <f t="shared" si="0"/>
        <v>5.2146263178842639E-6</v>
      </c>
      <c r="AJ15" s="309">
        <f t="shared" si="0"/>
        <v>2.6609509913469949E-6</v>
      </c>
      <c r="AK15" s="309">
        <f t="shared" si="0"/>
        <v>4.5706607550793968E-6</v>
      </c>
      <c r="AL15" s="50">
        <f t="shared" si="5"/>
        <v>5.5215232123524279E-6</v>
      </c>
      <c r="AM15" s="50">
        <f t="shared" si="6"/>
        <v>1.6564569637057286E-6</v>
      </c>
      <c r="AN15" s="50">
        <f t="shared" si="7"/>
        <v>5.3219019826939898E-6</v>
      </c>
      <c r="AO15" s="50">
        <f t="shared" si="1"/>
        <v>1.5965705948081971E-6</v>
      </c>
      <c r="AP15" s="50">
        <f t="shared" si="8"/>
        <v>9.1413215101587936E-6</v>
      </c>
      <c r="AQ15" s="50">
        <f t="shared" si="2"/>
        <v>2.7423964530476379E-6</v>
      </c>
      <c r="AR15" s="50">
        <f t="shared" si="3"/>
        <v>3.1497284310528184E-6</v>
      </c>
      <c r="AS15" s="50">
        <f t="shared" si="3"/>
        <v>2.8688035462382707E-6</v>
      </c>
      <c r="AT15" s="50">
        <f t="shared" si="3"/>
        <v>2.6460561646200105E-6</v>
      </c>
      <c r="AU15" s="50">
        <f t="shared" si="3"/>
        <v>2.7607616061762139E-6</v>
      </c>
      <c r="AV15" s="50">
        <f t="shared" si="3"/>
        <v>2.2958992882781308E-6</v>
      </c>
      <c r="AW15" s="50">
        <f t="shared" si="3"/>
        <v>2.1655299435846769E-6</v>
      </c>
    </row>
    <row r="16" spans="2:49" x14ac:dyDescent="0.25">
      <c r="B16" s="9"/>
      <c r="C16" s="9" t="s">
        <v>754</v>
      </c>
      <c r="D16" s="56">
        <f>$E$35*(P60-P58)</f>
        <v>12977.067861358548</v>
      </c>
      <c r="E16" s="56">
        <f>$E$35*(Q60-Q58)</f>
        <v>11773.74190619699</v>
      </c>
      <c r="F16" s="56">
        <f>$E$35*(R60-R58)</f>
        <v>9976.0337418520703</v>
      </c>
      <c r="G16" s="56">
        <f>$E$35*(S60-S58)</f>
        <v>8708.3492490224307</v>
      </c>
      <c r="H16" s="56">
        <f t="shared" si="9"/>
        <v>11773.74190619699</v>
      </c>
      <c r="I16" s="23">
        <f>E35*(T60-T58)</f>
        <v>10093.65539128138</v>
      </c>
      <c r="J16" s="23">
        <f>E35*(U60-U58)</f>
        <v>7128.7422129732277</v>
      </c>
      <c r="K16" s="23">
        <f>E35*(V60-V58)</f>
        <v>5344.9176943466082</v>
      </c>
      <c r="L16" s="23">
        <f t="shared" si="16"/>
        <v>10093.65539128138</v>
      </c>
      <c r="M16" s="412">
        <f>I35*(Q60-Q58)</f>
        <v>11348.082401273023</v>
      </c>
      <c r="N16" s="412">
        <f>J35*(Q60-Q58)</f>
        <v>19492.367595484968</v>
      </c>
      <c r="O16" s="412">
        <f>I35*(T60-T58)</f>
        <v>9728.7365412712079</v>
      </c>
      <c r="P16" s="412">
        <f>J35*(T60-T58)</f>
        <v>16710.850538132512</v>
      </c>
      <c r="Q16" s="361">
        <f t="shared" si="13"/>
        <v>9728.7365412712079</v>
      </c>
      <c r="R16" s="361">
        <f t="shared" si="4"/>
        <v>9728.7365412712079</v>
      </c>
      <c r="S16" s="53">
        <f t="shared" si="10"/>
        <v>11773.74190619699</v>
      </c>
      <c r="T16" s="53">
        <f t="shared" si="10"/>
        <v>9976.0337418520703</v>
      </c>
      <c r="U16" s="53">
        <f t="shared" si="10"/>
        <v>8708.3492490224307</v>
      </c>
      <c r="V16" s="53">
        <f t="shared" si="12"/>
        <v>10093.65539128138</v>
      </c>
      <c r="W16" s="53">
        <f t="shared" si="11"/>
        <v>7128.7422129732277</v>
      </c>
      <c r="X16" s="53">
        <f t="shared" si="11"/>
        <v>5344.9176943466082</v>
      </c>
      <c r="Y16" s="307">
        <f t="shared" si="0"/>
        <v>1.4547460127867619E-5</v>
      </c>
      <c r="Z16" s="307">
        <f t="shared" si="0"/>
        <v>1.3198516241578319E-5</v>
      </c>
      <c r="AA16" s="307">
        <f t="shared" si="0"/>
        <v>1.118326224724404E-5</v>
      </c>
      <c r="AB16" s="307">
        <f t="shared" si="0"/>
        <v>9.7621716117339743E-6</v>
      </c>
      <c r="AC16" s="307">
        <f t="shared" si="0"/>
        <v>1.3198516241578319E-5</v>
      </c>
      <c r="AD16" s="308">
        <f t="shared" si="0"/>
        <v>1.1315117630411294E-5</v>
      </c>
      <c r="AE16" s="308">
        <f t="shared" si="0"/>
        <v>7.9914117898600626E-6</v>
      </c>
      <c r="AF16" s="308">
        <f t="shared" si="0"/>
        <v>5.9917215411017641E-6</v>
      </c>
      <c r="AG16" s="308">
        <f t="shared" si="0"/>
        <v>1.1315117630411294E-5</v>
      </c>
      <c r="AH16" s="309">
        <f t="shared" si="0"/>
        <v>1.2721346456994867E-5</v>
      </c>
      <c r="AI16" s="309">
        <f t="shared" si="0"/>
        <v>2.1851195002024939E-5</v>
      </c>
      <c r="AJ16" s="309">
        <f t="shared" si="0"/>
        <v>1.0906038901907634E-5</v>
      </c>
      <c r="AK16" s="309">
        <f t="shared" si="0"/>
        <v>1.8733078573944367E-5</v>
      </c>
      <c r="AL16" s="50">
        <f t="shared" si="5"/>
        <v>2.2630235260822588E-5</v>
      </c>
      <c r="AM16" s="50">
        <f t="shared" si="6"/>
        <v>6.7890705782467768E-6</v>
      </c>
      <c r="AN16" s="50">
        <f t="shared" si="7"/>
        <v>2.1812077803815267E-5</v>
      </c>
      <c r="AO16" s="50">
        <f t="shared" si="1"/>
        <v>6.5436233411445802E-6</v>
      </c>
      <c r="AP16" s="50">
        <f t="shared" si="8"/>
        <v>3.7466157147888733E-5</v>
      </c>
      <c r="AQ16" s="50">
        <f t="shared" si="2"/>
        <v>1.1239847144366621E-5</v>
      </c>
      <c r="AR16" s="50">
        <f t="shared" si="3"/>
        <v>1.3198516241578319E-5</v>
      </c>
      <c r="AS16" s="50">
        <f t="shared" si="3"/>
        <v>1.118326224724404E-5</v>
      </c>
      <c r="AT16" s="50">
        <f t="shared" si="3"/>
        <v>9.7621716117339743E-6</v>
      </c>
      <c r="AU16" s="50">
        <f t="shared" si="3"/>
        <v>1.1315117630411294E-5</v>
      </c>
      <c r="AV16" s="50">
        <f t="shared" si="3"/>
        <v>7.9914117898600626E-6</v>
      </c>
      <c r="AW16" s="50">
        <f t="shared" si="3"/>
        <v>5.9917215411017641E-6</v>
      </c>
    </row>
    <row r="17" spans="2:50" x14ac:dyDescent="0.25">
      <c r="B17" s="9"/>
      <c r="C17" s="9" t="s">
        <v>820</v>
      </c>
      <c r="D17" s="56">
        <f>$E$36*((P56-P55)+(P62-P60))</f>
        <v>2114.2703195155805</v>
      </c>
      <c r="E17" s="56">
        <f>$E$36*((Q56-Q55)+(Q62-Q60))</f>
        <v>2044.7564479812072</v>
      </c>
      <c r="F17" s="56">
        <f>$E$36*((R56-R55)+(R62-R60))</f>
        <v>2019.320040323063</v>
      </c>
      <c r="G17" s="56">
        <f>$E$36*((S56-S55)+(S62-S60))</f>
        <v>2000.7533417855254</v>
      </c>
      <c r="H17" s="56">
        <f t="shared" si="9"/>
        <v>2044.7564479812072</v>
      </c>
      <c r="I17" s="23">
        <f>E36*((T56-T55)+(T62-T60))</f>
        <v>2011.4075545729961</v>
      </c>
      <c r="J17" s="23">
        <f>E36*((U56-U55)+(U62-U60))</f>
        <v>1963.552168275043</v>
      </c>
      <c r="K17" s="23">
        <f>E36*((V56-V55)+(V62-V60))</f>
        <v>1948.4303821045899</v>
      </c>
      <c r="L17" s="23">
        <f t="shared" si="16"/>
        <v>2011.4075545729961</v>
      </c>
      <c r="M17" s="412">
        <f>I36*((Q56-Q55)+(Q62-Q60))</f>
        <v>1970.8317752414678</v>
      </c>
      <c r="N17" s="412">
        <f>J36*((Q56-Q55)+(Q62-Q60))</f>
        <v>3385.2571803284918</v>
      </c>
      <c r="O17" s="412">
        <f>I36*((T56-T55)+(T62-T60))</f>
        <v>1938.6885540461349</v>
      </c>
      <c r="P17" s="412">
        <f>J36*((T56-T55)+(T62-T60))</f>
        <v>3330.0454307934224</v>
      </c>
      <c r="Q17" s="361">
        <f t="shared" si="13"/>
        <v>1938.6885540461349</v>
      </c>
      <c r="R17" s="361">
        <f t="shared" si="4"/>
        <v>1938.6885540461349</v>
      </c>
      <c r="S17" s="53">
        <f t="shared" si="10"/>
        <v>2044.7564479812072</v>
      </c>
      <c r="T17" s="53">
        <f t="shared" si="10"/>
        <v>2019.320040323063</v>
      </c>
      <c r="U17" s="53">
        <f t="shared" si="10"/>
        <v>2000.7533417855254</v>
      </c>
      <c r="V17" s="53">
        <f t="shared" si="12"/>
        <v>2011.4075545729961</v>
      </c>
      <c r="W17" s="53">
        <f t="shared" si="11"/>
        <v>1963.552168275043</v>
      </c>
      <c r="X17" s="53">
        <f t="shared" si="11"/>
        <v>1948.4303821045899</v>
      </c>
      <c r="Y17" s="307">
        <f t="shared" si="0"/>
        <v>2.3701242454215625E-6</v>
      </c>
      <c r="Z17" s="307">
        <f t="shared" si="0"/>
        <v>2.2921983005714796E-6</v>
      </c>
      <c r="AA17" s="307">
        <f t="shared" si="0"/>
        <v>2.2636837601409035E-6</v>
      </c>
      <c r="AB17" s="307">
        <f t="shared" si="0"/>
        <v>2.2428702520690817E-6</v>
      </c>
      <c r="AC17" s="307">
        <f t="shared" si="0"/>
        <v>2.2921983005714796E-6</v>
      </c>
      <c r="AD17" s="308">
        <f t="shared" si="0"/>
        <v>2.2548137617567408E-6</v>
      </c>
      <c r="AE17" s="308">
        <f t="shared" si="0"/>
        <v>2.2011672576688527E-6</v>
      </c>
      <c r="AF17" s="308">
        <f t="shared" si="0"/>
        <v>2.184215540707285E-6</v>
      </c>
      <c r="AG17" s="308">
        <f t="shared" si="0"/>
        <v>2.2548137617567408E-6</v>
      </c>
      <c r="AH17" s="309">
        <f t="shared" si="0"/>
        <v>2.2093277907894313E-6</v>
      </c>
      <c r="AI17" s="309">
        <f t="shared" si="0"/>
        <v>3.794916877952638E-6</v>
      </c>
      <c r="AJ17" s="309">
        <f t="shared" si="0"/>
        <v>2.1732948260460855E-6</v>
      </c>
      <c r="AK17" s="309">
        <f t="shared" si="0"/>
        <v>3.7330237959766338E-6</v>
      </c>
      <c r="AL17" s="50">
        <f t="shared" si="5"/>
        <v>4.5096275235134815E-6</v>
      </c>
      <c r="AM17" s="50">
        <f t="shared" si="6"/>
        <v>1.3528882570540446E-6</v>
      </c>
      <c r="AN17" s="50">
        <f t="shared" si="7"/>
        <v>4.3465896520921709E-6</v>
      </c>
      <c r="AO17" s="50">
        <f t="shared" si="1"/>
        <v>1.3039768956276515E-6</v>
      </c>
      <c r="AP17" s="50">
        <f t="shared" si="8"/>
        <v>7.4660475919532675E-6</v>
      </c>
      <c r="AQ17" s="50">
        <f t="shared" si="2"/>
        <v>2.2398142775859801E-6</v>
      </c>
      <c r="AR17" s="50">
        <f t="shared" si="3"/>
        <v>2.2921983005714796E-6</v>
      </c>
      <c r="AS17" s="50">
        <f t="shared" si="3"/>
        <v>2.2636837601409035E-6</v>
      </c>
      <c r="AT17" s="50">
        <f t="shared" si="3"/>
        <v>2.2428702520690817E-6</v>
      </c>
      <c r="AU17" s="50">
        <f t="shared" si="3"/>
        <v>2.2548137617567408E-6</v>
      </c>
      <c r="AV17" s="50">
        <f t="shared" si="3"/>
        <v>2.2011672576688527E-6</v>
      </c>
      <c r="AW17" s="50">
        <f t="shared" si="3"/>
        <v>2.184215540707285E-6</v>
      </c>
    </row>
    <row r="18" spans="2:50" x14ac:dyDescent="0.25">
      <c r="B18" s="9"/>
      <c r="C18" s="9" t="s">
        <v>821</v>
      </c>
      <c r="D18" s="56">
        <f>$E$37*(P64-P62)</f>
        <v>1.5754930006604131E-2</v>
      </c>
      <c r="E18" s="56">
        <f>$E$37*(Q64-Q62)</f>
        <v>2.2556536299455716E-2</v>
      </c>
      <c r="F18" s="56">
        <f>$E$37*(R64-R62)</f>
        <v>3.4242684905082629E-2</v>
      </c>
      <c r="G18" s="56">
        <f>$E$37*(S64-S62)</f>
        <v>4.9965307954519735E-2</v>
      </c>
      <c r="H18" s="56">
        <f t="shared" si="9"/>
        <v>2.2556536299455716E-2</v>
      </c>
      <c r="I18" s="23">
        <f>E37*(T64-T62)</f>
        <v>4.283700735698974E-2</v>
      </c>
      <c r="J18" s="23">
        <f>E37*(U64-U62)</f>
        <v>7.3839114561307137E-2</v>
      </c>
      <c r="K18" s="23">
        <f>E37*(V64-V62)</f>
        <v>0.10620478378942169</v>
      </c>
      <c r="L18" s="23">
        <f t="shared" si="16"/>
        <v>4.283700735698974E-2</v>
      </c>
      <c r="M18" s="412">
        <f>I37*($Q$64-$Q$62)</f>
        <v>2.174104330236766E-2</v>
      </c>
      <c r="N18" s="412">
        <f>J37*($Q$64-$Q$62)</f>
        <v>3.734414264665252E-2</v>
      </c>
      <c r="O18" s="412">
        <f>I37*(T64-T62)</f>
        <v>4.1288308609448543E-2</v>
      </c>
      <c r="P18" s="412">
        <f>J37*(T64-T62)</f>
        <v>7.0920077979070267E-2</v>
      </c>
      <c r="Q18" s="361">
        <f t="shared" si="13"/>
        <v>4.1288308609448543E-2</v>
      </c>
      <c r="R18" s="361">
        <f t="shared" si="4"/>
        <v>4.1288308609448543E-2</v>
      </c>
      <c r="S18" s="53">
        <f t="shared" si="10"/>
        <v>2.2556536299455716E-2</v>
      </c>
      <c r="T18" s="53">
        <f t="shared" si="10"/>
        <v>3.4242684905082629E-2</v>
      </c>
      <c r="U18" s="53">
        <f t="shared" si="10"/>
        <v>4.9965307954519735E-2</v>
      </c>
      <c r="V18" s="53">
        <f t="shared" si="12"/>
        <v>4.283700735698974E-2</v>
      </c>
      <c r="W18" s="53">
        <f t="shared" si="11"/>
        <v>7.3839114561307137E-2</v>
      </c>
      <c r="X18" s="53">
        <f t="shared" si="11"/>
        <v>0.10620478378942169</v>
      </c>
      <c r="Y18" s="307">
        <f t="shared" si="0"/>
        <v>1.7661479352426285E-11</v>
      </c>
      <c r="Z18" s="307">
        <f t="shared" si="0"/>
        <v>2.528616756457172E-11</v>
      </c>
      <c r="AA18" s="307">
        <f t="shared" si="0"/>
        <v>3.8386490588612366E-11</v>
      </c>
      <c r="AB18" s="307">
        <f t="shared" si="0"/>
        <v>5.6011753426163244E-11</v>
      </c>
      <c r="AC18" s="307">
        <f t="shared" si="0"/>
        <v>2.528616756457172E-11</v>
      </c>
      <c r="AD18" s="308">
        <f t="shared" si="0"/>
        <v>4.8020836692900012E-11</v>
      </c>
      <c r="AE18" s="308">
        <f t="shared" si="0"/>
        <v>8.2774597962625712E-11</v>
      </c>
      <c r="AF18" s="308">
        <f t="shared" si="0"/>
        <v>1.1905692981431853E-10</v>
      </c>
      <c r="AG18" s="308">
        <f t="shared" si="0"/>
        <v>4.8020836692900012E-11</v>
      </c>
      <c r="AH18" s="309">
        <f t="shared" si="0"/>
        <v>2.4371989416901019E-11</v>
      </c>
      <c r="AI18" s="309">
        <f t="shared" si="0"/>
        <v>4.1863264642333852E-11</v>
      </c>
      <c r="AJ18" s="309">
        <f t="shared" si="0"/>
        <v>4.6284725460329528E-11</v>
      </c>
      <c r="AK18" s="309">
        <f t="shared" si="0"/>
        <v>7.9502320376845074E-11</v>
      </c>
      <c r="AL18" s="50">
        <f t="shared" si="5"/>
        <v>9.6041673385800025E-11</v>
      </c>
      <c r="AM18" s="50">
        <f t="shared" si="6"/>
        <v>2.8812502015740011E-11</v>
      </c>
      <c r="AN18" s="50">
        <f t="shared" si="7"/>
        <v>9.2569450920659055E-11</v>
      </c>
      <c r="AO18" s="50">
        <f t="shared" si="1"/>
        <v>2.7770835276197715E-11</v>
      </c>
      <c r="AP18" s="50">
        <f t="shared" si="8"/>
        <v>1.5900464075369015E-10</v>
      </c>
      <c r="AQ18" s="50">
        <f t="shared" si="2"/>
        <v>4.7701392226107045E-11</v>
      </c>
      <c r="AR18" s="50">
        <f t="shared" si="3"/>
        <v>2.528616756457172E-11</v>
      </c>
      <c r="AS18" s="50">
        <f t="shared" si="3"/>
        <v>3.8386490588612366E-11</v>
      </c>
      <c r="AT18" s="50">
        <f t="shared" si="3"/>
        <v>5.6011753426163244E-11</v>
      </c>
      <c r="AU18" s="50">
        <f t="shared" si="3"/>
        <v>4.8020836692900012E-11</v>
      </c>
      <c r="AV18" s="50">
        <f t="shared" si="3"/>
        <v>8.2774597962625712E-11</v>
      </c>
      <c r="AW18" s="50">
        <f t="shared" si="3"/>
        <v>1.1905692981431853E-10</v>
      </c>
    </row>
    <row r="19" spans="2:50" x14ac:dyDescent="0.25">
      <c r="B19" s="9" t="s">
        <v>822</v>
      </c>
      <c r="C19" s="9"/>
      <c r="D19" s="56">
        <f>$E$38*P72</f>
        <v>199786.28138645101</v>
      </c>
      <c r="E19" s="56">
        <f>$E$38*Q72</f>
        <v>141405.12001558</v>
      </c>
      <c r="F19" s="56">
        <f>$E$38*R72</f>
        <v>128189.00321824101</v>
      </c>
      <c r="G19" s="56">
        <f>$E$38*S72</f>
        <v>121611.71102168399</v>
      </c>
      <c r="H19" s="56">
        <f t="shared" si="9"/>
        <v>141405.12001558</v>
      </c>
      <c r="I19" s="23">
        <f>$E$38*T72</f>
        <v>126632.99720480001</v>
      </c>
      <c r="J19" s="23">
        <f>$E$38*U72</f>
        <v>98730.199294238206</v>
      </c>
      <c r="K19" s="23">
        <f>$E$38*V72</f>
        <v>84227.751465200301</v>
      </c>
      <c r="L19" s="23">
        <f t="shared" si="16"/>
        <v>126632.99720480001</v>
      </c>
      <c r="M19" s="412">
        <f>$E$19</f>
        <v>141405.12001558</v>
      </c>
      <c r="N19" s="412">
        <f>$E$19</f>
        <v>141405.12001558</v>
      </c>
      <c r="O19" s="412">
        <f>$I$19</f>
        <v>126632.99720480001</v>
      </c>
      <c r="P19" s="412">
        <f>$I$19</f>
        <v>126632.99720480001</v>
      </c>
      <c r="Q19" s="361">
        <f t="shared" si="13"/>
        <v>126632.99720480001</v>
      </c>
      <c r="R19" s="361">
        <f t="shared" si="4"/>
        <v>126632.99720480001</v>
      </c>
      <c r="S19" s="53">
        <f t="shared" si="10"/>
        <v>141405.12001558</v>
      </c>
      <c r="T19" s="53">
        <f t="shared" si="10"/>
        <v>128189.00321824101</v>
      </c>
      <c r="U19" s="53">
        <f t="shared" si="10"/>
        <v>121611.71102168399</v>
      </c>
      <c r="V19" s="53">
        <f t="shared" si="12"/>
        <v>126632.99720480001</v>
      </c>
      <c r="W19" s="53">
        <f t="shared" si="11"/>
        <v>98730.199294238206</v>
      </c>
      <c r="X19" s="53">
        <f t="shared" si="11"/>
        <v>84227.751465200301</v>
      </c>
      <c r="Y19" s="307">
        <f t="shared" si="0"/>
        <v>2.2396299330595257E-4</v>
      </c>
      <c r="Z19" s="307">
        <f t="shared" si="0"/>
        <v>1.5851695986181217E-4</v>
      </c>
      <c r="AA19" s="307">
        <f t="shared" si="0"/>
        <v>1.4370152279940605E-4</v>
      </c>
      <c r="AB19" s="307">
        <f t="shared" si="0"/>
        <v>1.3632829357682795E-4</v>
      </c>
      <c r="AC19" s="307">
        <f t="shared" si="0"/>
        <v>1.5851695986181217E-4</v>
      </c>
      <c r="AD19" s="308">
        <f t="shared" si="0"/>
        <v>1.4195722002769461E-4</v>
      </c>
      <c r="AE19" s="308">
        <f t="shared" si="0"/>
        <v>1.1067782437403336E-4</v>
      </c>
      <c r="AF19" s="308">
        <f t="shared" si="0"/>
        <v>9.4420393666005698E-5</v>
      </c>
      <c r="AG19" s="308">
        <f t="shared" si="0"/>
        <v>1.4195722002769461E-4</v>
      </c>
      <c r="AH19" s="309">
        <f t="shared" si="0"/>
        <v>1.5851695986181217E-4</v>
      </c>
      <c r="AI19" s="309">
        <f t="shared" si="0"/>
        <v>1.5851695986181217E-4</v>
      </c>
      <c r="AJ19" s="309">
        <f t="shared" si="0"/>
        <v>1.4195722002769461E-4</v>
      </c>
      <c r="AK19" s="309">
        <f t="shared" si="0"/>
        <v>1.4195722002769461E-4</v>
      </c>
      <c r="AL19" s="50">
        <f t="shared" si="5"/>
        <v>2.8391444005538923E-4</v>
      </c>
      <c r="AM19" s="50">
        <f t="shared" si="6"/>
        <v>8.5174332016616763E-5</v>
      </c>
      <c r="AN19" s="50">
        <f t="shared" si="7"/>
        <v>2.8391444005538923E-4</v>
      </c>
      <c r="AO19" s="50">
        <f t="shared" si="1"/>
        <v>8.5174332016616763E-5</v>
      </c>
      <c r="AP19" s="50">
        <f t="shared" si="8"/>
        <v>2.8391444005538923E-4</v>
      </c>
      <c r="AQ19" s="50">
        <f t="shared" si="2"/>
        <v>8.5174332016616763E-5</v>
      </c>
      <c r="AR19" s="50">
        <f t="shared" si="3"/>
        <v>1.5851695986181217E-4</v>
      </c>
      <c r="AS19" s="50">
        <f t="shared" si="3"/>
        <v>1.4370152279940605E-4</v>
      </c>
      <c r="AT19" s="50">
        <f t="shared" si="3"/>
        <v>1.3632829357682795E-4</v>
      </c>
      <c r="AU19" s="50">
        <f t="shared" si="3"/>
        <v>1.4195722002769461E-4</v>
      </c>
      <c r="AV19" s="50">
        <f t="shared" si="3"/>
        <v>1.1067782437403336E-4</v>
      </c>
      <c r="AW19" s="50">
        <f t="shared" si="3"/>
        <v>9.4420393666005698E-5</v>
      </c>
    </row>
    <row r="20" spans="2:50" x14ac:dyDescent="0.25">
      <c r="B20" s="9" t="s">
        <v>823</v>
      </c>
      <c r="C20" s="9"/>
      <c r="D20" s="56">
        <f t="shared" ref="D20:P20" si="17">$E$39*LCIA_CC_maintenance</f>
        <v>0</v>
      </c>
      <c r="E20" s="56">
        <f t="shared" si="17"/>
        <v>0</v>
      </c>
      <c r="F20" s="56">
        <f t="shared" si="17"/>
        <v>0</v>
      </c>
      <c r="G20" s="56">
        <f t="shared" si="17"/>
        <v>0</v>
      </c>
      <c r="H20" s="56">
        <f t="shared" si="17"/>
        <v>0</v>
      </c>
      <c r="I20" s="23">
        <f t="shared" si="17"/>
        <v>0</v>
      </c>
      <c r="J20" s="23">
        <f t="shared" si="17"/>
        <v>0</v>
      </c>
      <c r="K20" s="23">
        <f t="shared" si="17"/>
        <v>0</v>
      </c>
      <c r="L20" s="23">
        <f t="shared" si="17"/>
        <v>0</v>
      </c>
      <c r="M20" s="412">
        <f t="shared" si="17"/>
        <v>0</v>
      </c>
      <c r="N20" s="412">
        <f t="shared" si="17"/>
        <v>0</v>
      </c>
      <c r="O20" s="412">
        <f t="shared" si="17"/>
        <v>0</v>
      </c>
      <c r="P20" s="412">
        <f t="shared" si="17"/>
        <v>0</v>
      </c>
      <c r="Q20" s="361">
        <f t="shared" si="13"/>
        <v>0</v>
      </c>
      <c r="R20" s="361">
        <f>R19</f>
        <v>126632.99720480001</v>
      </c>
      <c r="S20" s="53">
        <f t="shared" si="10"/>
        <v>0</v>
      </c>
      <c r="T20" s="53">
        <f t="shared" si="10"/>
        <v>0</v>
      </c>
      <c r="U20" s="53">
        <f t="shared" si="10"/>
        <v>0</v>
      </c>
      <c r="V20" s="53">
        <f t="shared" si="12"/>
        <v>0</v>
      </c>
      <c r="W20" s="53">
        <f t="shared" si="11"/>
        <v>0</v>
      </c>
      <c r="X20" s="53">
        <f t="shared" si="11"/>
        <v>0</v>
      </c>
      <c r="Y20" s="307">
        <f t="shared" si="0"/>
        <v>0</v>
      </c>
      <c r="Z20" s="307">
        <f t="shared" si="0"/>
        <v>0</v>
      </c>
      <c r="AA20" s="307">
        <f t="shared" si="0"/>
        <v>0</v>
      </c>
      <c r="AB20" s="307">
        <f t="shared" si="0"/>
        <v>0</v>
      </c>
      <c r="AC20" s="307">
        <f t="shared" si="0"/>
        <v>0</v>
      </c>
      <c r="AD20" s="308">
        <f t="shared" si="0"/>
        <v>0</v>
      </c>
      <c r="AE20" s="308">
        <f t="shared" si="0"/>
        <v>0</v>
      </c>
      <c r="AF20" s="308">
        <f t="shared" si="0"/>
        <v>0</v>
      </c>
      <c r="AG20" s="308">
        <f t="shared" si="0"/>
        <v>0</v>
      </c>
      <c r="AH20" s="309">
        <f t="shared" si="0"/>
        <v>0</v>
      </c>
      <c r="AI20" s="309">
        <f t="shared" si="0"/>
        <v>0</v>
      </c>
      <c r="AJ20" s="309">
        <f t="shared" si="0"/>
        <v>0</v>
      </c>
      <c r="AK20" s="309">
        <f t="shared" si="0"/>
        <v>0</v>
      </c>
      <c r="AL20" s="50">
        <f t="shared" si="5"/>
        <v>0</v>
      </c>
      <c r="AM20" s="50">
        <f>AM19</f>
        <v>8.5174332016616763E-5</v>
      </c>
      <c r="AN20" s="50">
        <f t="shared" si="7"/>
        <v>0</v>
      </c>
      <c r="AO20" s="50">
        <f>AO19</f>
        <v>8.5174332016616763E-5</v>
      </c>
      <c r="AP20" s="50">
        <f t="shared" si="8"/>
        <v>0</v>
      </c>
      <c r="AQ20" s="50">
        <f>AQ19</f>
        <v>8.5174332016616763E-5</v>
      </c>
      <c r="AR20" s="50">
        <f t="shared" si="3"/>
        <v>0</v>
      </c>
      <c r="AS20" s="50">
        <f t="shared" si="3"/>
        <v>0</v>
      </c>
      <c r="AT20" s="50">
        <f t="shared" si="3"/>
        <v>0</v>
      </c>
      <c r="AU20" s="50">
        <f t="shared" si="3"/>
        <v>0</v>
      </c>
      <c r="AV20" s="50">
        <f t="shared" si="3"/>
        <v>0</v>
      </c>
      <c r="AW20" s="50">
        <f t="shared" si="3"/>
        <v>0</v>
      </c>
    </row>
    <row r="21" spans="2:50" x14ac:dyDescent="0.25">
      <c r="B21" s="9" t="s">
        <v>829</v>
      </c>
      <c r="C21" s="9" t="s">
        <v>830</v>
      </c>
      <c r="D21" s="56">
        <f>$H$40*LCIA_CC_cement_ev_2020</f>
        <v>45343.568864903857</v>
      </c>
      <c r="E21" s="56">
        <f>$H$40*LCIA_CC_cement_BAU_2030</f>
        <v>45118.443968948821</v>
      </c>
      <c r="F21" s="56">
        <f>$H$40*LCIA_CC_cement_BAU_2040</f>
        <v>44275.182918706967</v>
      </c>
      <c r="G21" s="56">
        <f>$H$40*LCIA_CC_cement_BAU_2050</f>
        <v>43797.219847451648</v>
      </c>
      <c r="H21" s="56">
        <f>E21</f>
        <v>45118.443968948821</v>
      </c>
      <c r="I21" s="23">
        <f>$H$40*LCIA_CC_cement_LOW_2030</f>
        <v>44941.544930580727</v>
      </c>
      <c r="J21" s="23">
        <f>$H$40*LCIA_CC_cement_LOW_2040</f>
        <v>36654.550800000761</v>
      </c>
      <c r="K21" s="23">
        <f>$H$40*LCIA_CC_cement_LOW_2050</f>
        <v>26853.584287565805</v>
      </c>
      <c r="L21" s="23">
        <f>I21</f>
        <v>44941.544930580727</v>
      </c>
      <c r="M21" s="412">
        <f>$I$40*LCIA_CC_cement_BAU_2030</f>
        <v>45118.443968948821</v>
      </c>
      <c r="N21" s="412">
        <f>$J$40*LCIA_CC_cement_BAU_2030</f>
        <v>97930.537268191401</v>
      </c>
      <c r="O21" s="412">
        <f>$I$40*LCIA_CC_cement_LOW_2030</f>
        <v>44941.544930580727</v>
      </c>
      <c r="P21" s="412">
        <f>$J$40*LCIA_CC_cement_LOW_2030</f>
        <v>97546.574162514808</v>
      </c>
      <c r="Q21" s="361">
        <f t="shared" si="13"/>
        <v>44941.544930580727</v>
      </c>
      <c r="R21" s="361">
        <f t="shared" si="4"/>
        <v>44941.544930580727</v>
      </c>
      <c r="S21" s="53">
        <f t="shared" si="10"/>
        <v>45118.443968948821</v>
      </c>
      <c r="T21" s="53">
        <f t="shared" si="10"/>
        <v>44275.182918706967</v>
      </c>
      <c r="U21" s="53">
        <f t="shared" si="10"/>
        <v>43797.219847451648</v>
      </c>
      <c r="V21" s="53">
        <f t="shared" si="12"/>
        <v>44941.544930580727</v>
      </c>
      <c r="W21" s="53">
        <f t="shared" si="11"/>
        <v>36654.550800000761</v>
      </c>
      <c r="X21" s="53">
        <f t="shared" si="11"/>
        <v>26853.584287565805</v>
      </c>
      <c r="Y21" s="307">
        <f t="shared" si="0"/>
        <v>5.0830724410525848E-5</v>
      </c>
      <c r="Z21" s="307">
        <f t="shared" si="0"/>
        <v>5.0578356504101619E-5</v>
      </c>
      <c r="AA21" s="307">
        <f t="shared" si="0"/>
        <v>4.9633050011384171E-5</v>
      </c>
      <c r="AB21" s="307">
        <f t="shared" si="0"/>
        <v>4.9097247255633463E-5</v>
      </c>
      <c r="AC21" s="307">
        <f t="shared" si="0"/>
        <v>5.0578356504101619E-5</v>
      </c>
      <c r="AD21" s="308">
        <f t="shared" si="0"/>
        <v>5.038005040484935E-5</v>
      </c>
      <c r="AE21" s="308">
        <f t="shared" si="0"/>
        <v>4.1090223305042204E-5</v>
      </c>
      <c r="AF21" s="308">
        <f t="shared" si="0"/>
        <v>3.0103213675635297E-5</v>
      </c>
      <c r="AG21" s="308">
        <f t="shared" si="0"/>
        <v>5.038005040484935E-5</v>
      </c>
      <c r="AH21" s="309">
        <f t="shared" si="0"/>
        <v>5.0578356504101619E-5</v>
      </c>
      <c r="AI21" s="309">
        <f t="shared" si="0"/>
        <v>1.097813929486938E-4</v>
      </c>
      <c r="AJ21" s="309">
        <f t="shared" si="0"/>
        <v>5.038005040484935E-5</v>
      </c>
      <c r="AK21" s="309">
        <f t="shared" si="0"/>
        <v>1.093509653644292E-4</v>
      </c>
      <c r="AL21" s="50">
        <f t="shared" si="5"/>
        <v>1.007601008096987E-4</v>
      </c>
      <c r="AM21" s="50">
        <f>I21/lifetime_100a_elprod</f>
        <v>3.0228030242909613E-5</v>
      </c>
      <c r="AN21" s="50">
        <f t="shared" si="7"/>
        <v>1.007601008096987E-4</v>
      </c>
      <c r="AO21" s="50">
        <f>O21/lifetime_100a_elprod</f>
        <v>3.0228030242909613E-5</v>
      </c>
      <c r="AP21" s="50">
        <f t="shared" si="8"/>
        <v>2.187019307288584E-4</v>
      </c>
      <c r="AQ21" s="50">
        <f>P21/lifetime_100a_elprod</f>
        <v>6.5610579218657524E-5</v>
      </c>
      <c r="AR21" s="50">
        <f t="shared" si="3"/>
        <v>5.0578356504101619E-5</v>
      </c>
      <c r="AS21" s="50">
        <f t="shared" si="3"/>
        <v>4.9633050011384171E-5</v>
      </c>
      <c r="AT21" s="50">
        <f t="shared" si="3"/>
        <v>4.9097247255633463E-5</v>
      </c>
      <c r="AU21" s="50">
        <f t="shared" si="3"/>
        <v>5.038005040484935E-5</v>
      </c>
      <c r="AV21" s="50">
        <f t="shared" si="3"/>
        <v>4.1090223305042204E-5</v>
      </c>
      <c r="AW21" s="50">
        <f t="shared" si="3"/>
        <v>3.0103213675635297E-5</v>
      </c>
    </row>
    <row r="22" spans="2:50" x14ac:dyDescent="0.25">
      <c r="Y22" s="32" t="str">
        <f>Y6</f>
        <v>BAU</v>
      </c>
      <c r="Z22" s="32"/>
      <c r="AA22" s="32"/>
      <c r="AB22" s="32"/>
      <c r="AC22" s="32"/>
      <c r="AD22" s="32" t="str">
        <f t="shared" ref="Z22:AQ23" si="18">AD6</f>
        <v>LOW</v>
      </c>
      <c r="AE22" s="32"/>
      <c r="AF22" s="32"/>
      <c r="AG22" s="32"/>
      <c r="AH22" s="32" t="str">
        <f t="shared" si="18"/>
        <v>Well depth variation, 2030</v>
      </c>
      <c r="AI22" s="32"/>
      <c r="AJ22" s="32"/>
      <c r="AK22" s="32"/>
      <c r="AL22" s="32" t="str">
        <f t="shared" si="18"/>
        <v>Lifetime variation, 2030 LOW</v>
      </c>
      <c r="AM22" s="32"/>
      <c r="AN22" s="32"/>
      <c r="AO22" s="32"/>
      <c r="AP22" s="32"/>
      <c r="AQ22" s="32"/>
      <c r="AR22" s="351" t="str">
        <f>AR6</f>
        <v>Rotary drilling</v>
      </c>
    </row>
    <row r="23" spans="2:50" x14ac:dyDescent="0.25">
      <c r="R23">
        <v>1000</v>
      </c>
      <c r="W23" t="s">
        <v>1574</v>
      </c>
      <c r="Y23" s="32">
        <f>Y7</f>
        <v>2020</v>
      </c>
      <c r="Z23" s="32">
        <f t="shared" si="18"/>
        <v>2030</v>
      </c>
      <c r="AA23" s="32">
        <f t="shared" si="18"/>
        <v>2040</v>
      </c>
      <c r="AB23" s="32">
        <f t="shared" si="18"/>
        <v>2050</v>
      </c>
      <c r="AC23" s="32" t="str">
        <f t="shared" si="18"/>
        <v>Hydro drilling, 2030</v>
      </c>
      <c r="AD23" s="32">
        <f t="shared" si="18"/>
        <v>2030</v>
      </c>
      <c r="AE23" s="32">
        <f t="shared" si="18"/>
        <v>2040</v>
      </c>
      <c r="AF23" s="32">
        <f t="shared" si="18"/>
        <v>2050</v>
      </c>
      <c r="AG23" s="32" t="str">
        <f t="shared" si="18"/>
        <v>Hydro drilling, 2030</v>
      </c>
      <c r="AH23" s="32" t="str">
        <f t="shared" si="18"/>
        <v>BAU, 4.5 km</v>
      </c>
      <c r="AI23" s="32" t="str">
        <f t="shared" si="18"/>
        <v>BAU, 8 km</v>
      </c>
      <c r="AJ23" s="32" t="str">
        <f t="shared" si="18"/>
        <v>LOW, 4.5 km</v>
      </c>
      <c r="AK23" s="32" t="str">
        <f t="shared" si="18"/>
        <v>LOW, 8 km</v>
      </c>
      <c r="AL23" s="32" t="str">
        <f t="shared" si="18"/>
        <v>6 km, 30a</v>
      </c>
      <c r="AM23" s="32" t="str">
        <f t="shared" si="18"/>
        <v>6 km, 100a</v>
      </c>
      <c r="AN23" s="32" t="str">
        <f t="shared" si="18"/>
        <v>4.5 km, 30a</v>
      </c>
      <c r="AO23" s="32" t="str">
        <f t="shared" si="18"/>
        <v>4.5 km, 100a</v>
      </c>
      <c r="AP23" s="32" t="str">
        <f t="shared" si="18"/>
        <v>8 km, 30a</v>
      </c>
      <c r="AQ23" s="32" t="str">
        <f t="shared" si="18"/>
        <v>8 km, 100a</v>
      </c>
      <c r="AR23" s="351" t="str">
        <f>AR7</f>
        <v>BAU 2030</v>
      </c>
      <c r="AS23" s="351" t="str">
        <f t="shared" ref="AS23:AW23" si="19">AS7</f>
        <v>BAU 2040</v>
      </c>
      <c r="AT23" s="351" t="str">
        <f t="shared" si="19"/>
        <v>BAU 2050</v>
      </c>
      <c r="AU23" s="351" t="str">
        <f t="shared" si="19"/>
        <v>LOW 2030</v>
      </c>
      <c r="AV23" s="351" t="str">
        <f t="shared" si="19"/>
        <v>LOW 2040</v>
      </c>
      <c r="AW23" s="351" t="str">
        <f t="shared" si="19"/>
        <v>LOW 2050</v>
      </c>
    </row>
    <row r="24" spans="2:50" x14ac:dyDescent="0.25">
      <c r="E24" s="9" t="s">
        <v>845</v>
      </c>
      <c r="F24" s="9"/>
      <c r="G24" s="9"/>
      <c r="R24" s="425" t="s">
        <v>1205</v>
      </c>
      <c r="Y24" s="460">
        <f>(SUM(Y8:Y21))*1000</f>
        <v>8.0894426652427285</v>
      </c>
      <c r="Z24" s="339" t="e">
        <f>(SUM(Z8:Z21))*1000</f>
        <v>#REF!</v>
      </c>
      <c r="AA24" s="339" t="e">
        <f>(SUM(AA8:AA21))*1000</f>
        <v>#REF!</v>
      </c>
      <c r="AB24" s="339" t="e">
        <f>(SUM(AB8:AB21))*1000</f>
        <v>#REF!</v>
      </c>
      <c r="AC24" s="460">
        <f t="shared" ref="AC24:AQ24" si="20">(SUM(AC8:AC21))*1000</f>
        <v>6.6924708120677687</v>
      </c>
      <c r="AD24" s="460" t="e">
        <f t="shared" si="20"/>
        <v>#REF!</v>
      </c>
      <c r="AE24" s="460" t="e">
        <f t="shared" si="20"/>
        <v>#REF!</v>
      </c>
      <c r="AF24" s="460" t="e">
        <f t="shared" si="20"/>
        <v>#REF!</v>
      </c>
      <c r="AG24" s="460">
        <f t="shared" si="20"/>
        <v>6.3402388687741364</v>
      </c>
      <c r="AH24" s="460" t="e">
        <f t="shared" si="20"/>
        <v>#REF!</v>
      </c>
      <c r="AI24" s="460" t="e">
        <f t="shared" si="20"/>
        <v>#REF!</v>
      </c>
      <c r="AJ24" s="460" t="e">
        <f t="shared" si="20"/>
        <v>#REF!</v>
      </c>
      <c r="AK24" s="460" t="e">
        <f t="shared" si="20"/>
        <v>#REF!</v>
      </c>
      <c r="AL24" s="460" t="e">
        <f t="shared" si="20"/>
        <v>#REF!</v>
      </c>
      <c r="AM24" s="460" t="e">
        <f t="shared" si="20"/>
        <v>#REF!</v>
      </c>
      <c r="AN24" s="460" t="e">
        <f t="shared" si="20"/>
        <v>#REF!</v>
      </c>
      <c r="AO24" s="460" t="e">
        <f t="shared" si="20"/>
        <v>#REF!</v>
      </c>
      <c r="AP24" s="460" t="e">
        <f t="shared" si="20"/>
        <v>#REF!</v>
      </c>
      <c r="AQ24" s="460" t="e">
        <f t="shared" si="20"/>
        <v>#REF!</v>
      </c>
      <c r="AR24" s="460" t="e">
        <f t="shared" ref="AR24:AW24" si="21">(SUM(AR8:AR22))*1000</f>
        <v>#REF!</v>
      </c>
      <c r="AS24" s="460" t="e">
        <f t="shared" si="21"/>
        <v>#REF!</v>
      </c>
      <c r="AT24" s="460" t="e">
        <f t="shared" si="21"/>
        <v>#REF!</v>
      </c>
      <c r="AU24" s="460" t="e">
        <f t="shared" si="21"/>
        <v>#REF!</v>
      </c>
      <c r="AV24" s="460" t="e">
        <f t="shared" si="21"/>
        <v>#REF!</v>
      </c>
      <c r="AW24" s="460" t="e">
        <f t="shared" si="21"/>
        <v>#REF!</v>
      </c>
      <c r="AX24" t="e">
        <f>MIN(Y24:AW24)</f>
        <v>#REF!</v>
      </c>
    </row>
    <row r="25" spans="2:50" x14ac:dyDescent="0.25">
      <c r="E25" t="s">
        <v>1276</v>
      </c>
      <c r="F25" t="s">
        <v>1427</v>
      </c>
      <c r="G25" t="s">
        <v>1277</v>
      </c>
      <c r="H25" t="s">
        <v>1276</v>
      </c>
      <c r="I25" t="s">
        <v>1427</v>
      </c>
      <c r="J25" t="s">
        <v>1277</v>
      </c>
      <c r="K25" t="s">
        <v>1384</v>
      </c>
      <c r="L25" s="15" t="s">
        <v>1496</v>
      </c>
      <c r="R25" s="424" t="s">
        <v>1381</v>
      </c>
      <c r="Y25" s="460">
        <f t="shared" ref="Y25:AW25" si="22">(SUM(Y8:Y9))*1000</f>
        <v>0.33000795721438292</v>
      </c>
      <c r="Z25" s="460" t="e">
        <f t="shared" si="22"/>
        <v>#REF!</v>
      </c>
      <c r="AA25" s="460" t="e">
        <f t="shared" si="22"/>
        <v>#REF!</v>
      </c>
      <c r="AB25" s="460" t="e">
        <f t="shared" si="22"/>
        <v>#REF!</v>
      </c>
      <c r="AC25" s="460">
        <f t="shared" si="22"/>
        <v>5.3009418606959118E-2</v>
      </c>
      <c r="AD25" s="460" t="e">
        <f t="shared" si="22"/>
        <v>#REF!</v>
      </c>
      <c r="AE25" s="460" t="e">
        <f t="shared" si="22"/>
        <v>#REF!</v>
      </c>
      <c r="AF25" s="460" t="e">
        <f t="shared" si="22"/>
        <v>#REF!</v>
      </c>
      <c r="AG25" s="460">
        <f t="shared" si="22"/>
        <v>5.3009418606959118E-2</v>
      </c>
      <c r="AH25" s="460" t="e">
        <f t="shared" si="22"/>
        <v>#REF!</v>
      </c>
      <c r="AI25" s="460" t="e">
        <f t="shared" si="22"/>
        <v>#REF!</v>
      </c>
      <c r="AJ25" s="460" t="e">
        <f t="shared" si="22"/>
        <v>#REF!</v>
      </c>
      <c r="AK25" s="460" t="e">
        <f t="shared" si="22"/>
        <v>#REF!</v>
      </c>
      <c r="AL25" s="460" t="e">
        <f t="shared" si="22"/>
        <v>#REF!</v>
      </c>
      <c r="AM25" s="460" t="e">
        <f t="shared" si="22"/>
        <v>#REF!</v>
      </c>
      <c r="AN25" s="460" t="e">
        <f t="shared" si="22"/>
        <v>#REF!</v>
      </c>
      <c r="AO25" s="460" t="e">
        <f t="shared" si="22"/>
        <v>#REF!</v>
      </c>
      <c r="AP25" s="460" t="e">
        <f t="shared" si="22"/>
        <v>#REF!</v>
      </c>
      <c r="AQ25" s="460" t="e">
        <f t="shared" si="22"/>
        <v>#REF!</v>
      </c>
      <c r="AR25" s="460" t="e">
        <f t="shared" si="22"/>
        <v>#REF!</v>
      </c>
      <c r="AS25" s="460" t="e">
        <f t="shared" si="22"/>
        <v>#REF!</v>
      </c>
      <c r="AT25" s="460" t="e">
        <f t="shared" si="22"/>
        <v>#REF!</v>
      </c>
      <c r="AU25" s="460" t="e">
        <f t="shared" si="22"/>
        <v>#REF!</v>
      </c>
      <c r="AV25" s="460" t="e">
        <f t="shared" si="22"/>
        <v>#REF!</v>
      </c>
      <c r="AW25" s="460" t="e">
        <f t="shared" si="22"/>
        <v>#REF!</v>
      </c>
      <c r="AX25" t="e">
        <f>MAX(Y24:AW24)</f>
        <v>#REF!</v>
      </c>
    </row>
    <row r="26" spans="2:50" x14ac:dyDescent="0.25">
      <c r="H26">
        <v>6000</v>
      </c>
      <c r="I26">
        <v>4500</v>
      </c>
      <c r="J26">
        <v>8000</v>
      </c>
      <c r="M26">
        <v>6000</v>
      </c>
      <c r="N26">
        <v>4500</v>
      </c>
      <c r="O26">
        <v>8000</v>
      </c>
      <c r="R26" s="424" t="s">
        <v>1382</v>
      </c>
      <c r="Y26" s="460">
        <f t="shared" ref="Y26:AW26" si="23">(SUM(Y10:Y12))*1000</f>
        <v>5.4317766024695215</v>
      </c>
      <c r="Z26" s="460">
        <f t="shared" si="23"/>
        <v>4.5327309595490508</v>
      </c>
      <c r="AA26" s="460">
        <f t="shared" si="23"/>
        <v>4.1761279846845172</v>
      </c>
      <c r="AB26" s="460">
        <f t="shared" si="23"/>
        <v>3.8109201580160024</v>
      </c>
      <c r="AC26" s="460">
        <f t="shared" si="23"/>
        <v>4.5327309595490508</v>
      </c>
      <c r="AD26" s="460">
        <f t="shared" si="23"/>
        <v>4.3789617934211797</v>
      </c>
      <c r="AE26" s="460">
        <f t="shared" si="23"/>
        <v>3.4578894823553656</v>
      </c>
      <c r="AF26" s="460">
        <f t="shared" si="23"/>
        <v>2.9245153541172488</v>
      </c>
      <c r="AG26" s="460">
        <f t="shared" si="23"/>
        <v>4.3789617934211797</v>
      </c>
      <c r="AH26" s="460">
        <f t="shared" si="23"/>
        <v>3.632313655650361</v>
      </c>
      <c r="AI26" s="460">
        <f t="shared" si="23"/>
        <v>7.7974293245685589</v>
      </c>
      <c r="AJ26" s="460">
        <f t="shared" si="23"/>
        <v>3.5071036121271848</v>
      </c>
      <c r="AK26" s="460">
        <f t="shared" si="23"/>
        <v>7.5638251166597055</v>
      </c>
      <c r="AL26" s="460">
        <f t="shared" si="23"/>
        <v>8.7579235868423595</v>
      </c>
      <c r="AM26" s="460">
        <f t="shared" si="23"/>
        <v>2.6273770760527078</v>
      </c>
      <c r="AN26" s="460">
        <f t="shared" si="23"/>
        <v>7.0142072242543696</v>
      </c>
      <c r="AO26" s="460">
        <f t="shared" si="23"/>
        <v>2.1042621672763109</v>
      </c>
      <c r="AP26" s="460">
        <f t="shared" si="23"/>
        <v>15.127650233319411</v>
      </c>
      <c r="AQ26" s="460">
        <f t="shared" si="23"/>
        <v>4.5382950699958231</v>
      </c>
      <c r="AR26" s="460">
        <f>(SUM(AR10:AR12))*1000</f>
        <v>4.5327309595490508</v>
      </c>
      <c r="AS26" s="460">
        <f t="shared" si="23"/>
        <v>4.1761279846845172</v>
      </c>
      <c r="AT26" s="460">
        <f t="shared" si="23"/>
        <v>3.8109201580160024</v>
      </c>
      <c r="AU26" s="460">
        <f t="shared" si="23"/>
        <v>4.3789617934211797</v>
      </c>
      <c r="AV26" s="460">
        <f t="shared" si="23"/>
        <v>3.4578894823553656</v>
      </c>
      <c r="AW26" s="460">
        <f t="shared" si="23"/>
        <v>2.9245153541172488</v>
      </c>
    </row>
    <row r="27" spans="2:50" x14ac:dyDescent="0.25">
      <c r="B27" s="9" t="s">
        <v>816</v>
      </c>
      <c r="C27" s="9" t="s">
        <v>827</v>
      </c>
      <c r="D27" t="s">
        <v>1278</v>
      </c>
      <c r="E27" s="53" cm="1">
        <f t="array" ref="E27">kWh_per_m_ppgd</f>
        <v>191.29382716049381</v>
      </c>
      <c r="F27" s="53" cm="1">
        <f t="array" ref="F27">kWh_per_m_ppgd</f>
        <v>191.29382716049381</v>
      </c>
      <c r="G27" s="53" cm="1">
        <f t="array" ref="G27">kWh_per_m_ppgd</f>
        <v>191.29382716049381</v>
      </c>
      <c r="H27" s="53">
        <f>E27*H26*2</f>
        <v>2295525.9259259258</v>
      </c>
      <c r="I27" s="53">
        <f>F27*I26*2</f>
        <v>1721644.4444444443</v>
      </c>
      <c r="J27" s="53">
        <f>G27*J26*2</f>
        <v>3060701.2345679007</v>
      </c>
      <c r="L27" s="53">
        <f>kWh_per_m_rotary</f>
        <v>1845.7382716049387</v>
      </c>
      <c r="M27" s="53">
        <f>L27*M26</f>
        <v>11074429.629629632</v>
      </c>
      <c r="N27">
        <f>L27*$I$26</f>
        <v>8305822.2222222248</v>
      </c>
      <c r="O27">
        <f>L27*$J$26</f>
        <v>14765906.172839509</v>
      </c>
      <c r="R27" s="424" t="s">
        <v>1384</v>
      </c>
      <c r="Y27" s="460">
        <f t="shared" ref="Y27:AW27" si="24">(Y13)*1000</f>
        <v>2.0111419030359672</v>
      </c>
      <c r="Z27" s="460">
        <f t="shared" si="24"/>
        <v>1.8608747326563153</v>
      </c>
      <c r="AA27" s="460">
        <f t="shared" si="24"/>
        <v>1.7474134058461779</v>
      </c>
      <c r="AB27" s="460">
        <f t="shared" si="24"/>
        <v>1.6836276757646669</v>
      </c>
      <c r="AC27" s="460">
        <f t="shared" si="24"/>
        <v>1.8608747326563153</v>
      </c>
      <c r="AD27" s="460">
        <f t="shared" si="24"/>
        <v>1.6831849078602772</v>
      </c>
      <c r="AE27" s="460">
        <f t="shared" si="24"/>
        <v>1.3111298808283387</v>
      </c>
      <c r="AF27" s="460">
        <f t="shared" si="24"/>
        <v>1.0917237401074151</v>
      </c>
      <c r="AG27" s="460">
        <f t="shared" si="24"/>
        <v>1.6831849078602772</v>
      </c>
      <c r="AH27" s="460">
        <f t="shared" si="24"/>
        <v>1.8608747326563153</v>
      </c>
      <c r="AI27" s="460">
        <f t="shared" si="24"/>
        <v>1.8608747326563153</v>
      </c>
      <c r="AJ27" s="460">
        <f t="shared" si="24"/>
        <v>1.6831849078602772</v>
      </c>
      <c r="AK27" s="460">
        <f t="shared" si="24"/>
        <v>1.6831849078602772</v>
      </c>
      <c r="AL27" s="460">
        <f t="shared" si="24"/>
        <v>3.3663698157205544</v>
      </c>
      <c r="AM27" s="460">
        <f t="shared" si="24"/>
        <v>1.0099109447161663</v>
      </c>
      <c r="AN27" s="460">
        <f t="shared" si="24"/>
        <v>3.3663698157205544</v>
      </c>
      <c r="AO27" s="460">
        <f t="shared" si="24"/>
        <v>1.0099109447161663</v>
      </c>
      <c r="AP27" s="460">
        <f t="shared" si="24"/>
        <v>3.3663698157205544</v>
      </c>
      <c r="AQ27" s="460">
        <f t="shared" si="24"/>
        <v>1.0099109447161663</v>
      </c>
      <c r="AR27" s="460">
        <f t="shared" si="24"/>
        <v>1.8608747326563153</v>
      </c>
      <c r="AS27" s="460">
        <f t="shared" si="24"/>
        <v>1.7474134058461779</v>
      </c>
      <c r="AT27" s="460">
        <f t="shared" si="24"/>
        <v>1.6836276757646669</v>
      </c>
      <c r="AU27" s="460">
        <f t="shared" si="24"/>
        <v>1.6831849078602772</v>
      </c>
      <c r="AV27" s="460">
        <f t="shared" si="24"/>
        <v>1.3111298808283387</v>
      </c>
      <c r="AW27" s="460">
        <f t="shared" si="24"/>
        <v>1.0917237401074151</v>
      </c>
    </row>
    <row r="28" spans="2:50" x14ac:dyDescent="0.25">
      <c r="B28" s="9"/>
      <c r="C28" s="9" t="s">
        <v>826</v>
      </c>
      <c r="D28" t="s">
        <v>1278</v>
      </c>
      <c r="E28" s="53" cm="1">
        <f t="array" ref="E28">kWh_per_m_ppgd</f>
        <v>191.29382716049381</v>
      </c>
      <c r="F28" s="53" cm="1">
        <f t="array" ref="F28">kWh_per_m_ppgd</f>
        <v>191.29382716049381</v>
      </c>
      <c r="G28" s="53" cm="1">
        <f t="array" ref="G28">kWh_per_m_ppgd</f>
        <v>191.29382716049381</v>
      </c>
      <c r="H28" s="53">
        <f>E28*well_horizontal_length</f>
        <v>10329866.666666666</v>
      </c>
      <c r="I28" s="53">
        <f>F28*well_horizontal_length</f>
        <v>10329866.666666666</v>
      </c>
      <c r="J28" s="53">
        <f>G28*well_horizontal_length</f>
        <v>10329866.666666666</v>
      </c>
      <c r="L28" s="53">
        <f>L27</f>
        <v>1845.7382716049387</v>
      </c>
      <c r="M28" s="53">
        <f>L28*well_horizontal_length</f>
        <v>99669866.666666687</v>
      </c>
      <c r="N28">
        <f>L28*$I$26</f>
        <v>8305822.2222222248</v>
      </c>
      <c r="O28">
        <f>L28*$J$26</f>
        <v>14765906.172839509</v>
      </c>
      <c r="R28" s="424" t="s">
        <v>1383</v>
      </c>
      <c r="Y28" s="460">
        <f t="shared" ref="Y28:AW28" si="25">(SUM(Y14:Y18))*1000</f>
        <v>4.172248480637776E-2</v>
      </c>
      <c r="Z28" s="460">
        <f t="shared" si="25"/>
        <v>3.6760384889530318E-2</v>
      </c>
      <c r="AA28" s="460">
        <f t="shared" si="25"/>
        <v>3.3317768805372384E-2</v>
      </c>
      <c r="AB28" s="460">
        <f t="shared" si="25"/>
        <v>3.0786924711643047E-2</v>
      </c>
      <c r="AC28" s="460">
        <f t="shared" si="25"/>
        <v>3.6760384889530318E-2</v>
      </c>
      <c r="AD28" s="460">
        <f t="shared" si="25"/>
        <v>3.2745478453176539E-2</v>
      </c>
      <c r="AE28" s="460">
        <f t="shared" si="25"/>
        <v>2.7423076056688069E-2</v>
      </c>
      <c r="AF28" s="460">
        <f t="shared" si="25"/>
        <v>2.4805174766399346E-2</v>
      </c>
      <c r="AG28" s="460">
        <f t="shared" si="25"/>
        <v>3.2745478453176539E-2</v>
      </c>
      <c r="AH28" s="460">
        <f t="shared" si="25"/>
        <v>3.5431376035968132E-2</v>
      </c>
      <c r="AI28" s="460">
        <f t="shared" si="25"/>
        <v>6.0859745434124785E-2</v>
      </c>
      <c r="AJ28" s="460">
        <f t="shared" si="25"/>
        <v>3.1561621676127506E-2</v>
      </c>
      <c r="AK28" s="460">
        <f t="shared" si="25"/>
        <v>5.4212748010332538E-2</v>
      </c>
      <c r="AL28" s="460">
        <f t="shared" si="25"/>
        <v>6.5490956906353079E-2</v>
      </c>
      <c r="AM28" s="460">
        <f t="shared" si="25"/>
        <v>1.9647287071905925E-2</v>
      </c>
      <c r="AN28" s="460">
        <f t="shared" si="25"/>
        <v>6.3123243352255012E-2</v>
      </c>
      <c r="AO28" s="460">
        <f t="shared" si="25"/>
        <v>1.8936973005676504E-2</v>
      </c>
      <c r="AP28" s="460">
        <f t="shared" si="25"/>
        <v>0.10842549602066508</v>
      </c>
      <c r="AQ28" s="460">
        <f t="shared" si="25"/>
        <v>3.2527648806199523E-2</v>
      </c>
      <c r="AR28" s="460">
        <f t="shared" si="25"/>
        <v>3.6760384889530318E-2</v>
      </c>
      <c r="AS28" s="460">
        <f t="shared" si="25"/>
        <v>3.3317768805372384E-2</v>
      </c>
      <c r="AT28" s="460">
        <f t="shared" si="25"/>
        <v>3.0786924711643047E-2</v>
      </c>
      <c r="AU28" s="460">
        <f t="shared" si="25"/>
        <v>3.2745478453176539E-2</v>
      </c>
      <c r="AV28" s="460">
        <f t="shared" si="25"/>
        <v>2.7423076056688069E-2</v>
      </c>
      <c r="AW28" s="460">
        <f t="shared" si="25"/>
        <v>2.4805174766399346E-2</v>
      </c>
    </row>
    <row r="29" spans="2:50" x14ac:dyDescent="0.25">
      <c r="B29" s="9"/>
      <c r="C29" s="9" t="s">
        <v>824</v>
      </c>
      <c r="D29" t="s">
        <v>1279</v>
      </c>
      <c r="E29" s="53">
        <f>'Drilling - energy_material_6km'!AL50</f>
        <v>66.863406067743341</v>
      </c>
      <c r="F29" s="53">
        <f>'Drilling - energy_material_4_5'!AL49</f>
        <v>72.744126393279046</v>
      </c>
      <c r="G29" s="53">
        <f>'Drilling - energy_material_8'!AL49</f>
        <v>74.864199353203858</v>
      </c>
      <c r="H29" s="53">
        <f>E29*H26*2</f>
        <v>802360.87281292013</v>
      </c>
      <c r="I29" s="53">
        <f>F29*I26*2</f>
        <v>654697.13753951143</v>
      </c>
      <c r="J29" s="53">
        <f>G29*J26*2</f>
        <v>1197827.1896512618</v>
      </c>
      <c r="K29">
        <f>LCI_ags!D79+LCI_ags!D76</f>
        <v>307000</v>
      </c>
      <c r="R29" s="424" t="s">
        <v>822</v>
      </c>
      <c r="Y29" s="460">
        <f t="shared" ref="Y29:AW29" si="26">(Y19)*1000</f>
        <v>0.22396299330595257</v>
      </c>
      <c r="Z29" s="460">
        <f t="shared" si="26"/>
        <v>0.15851695986181216</v>
      </c>
      <c r="AA29" s="460">
        <f t="shared" si="26"/>
        <v>0.14370152279940604</v>
      </c>
      <c r="AB29" s="460">
        <f t="shared" si="26"/>
        <v>0.13632829357682796</v>
      </c>
      <c r="AC29" s="460">
        <f t="shared" si="26"/>
        <v>0.15851695986181216</v>
      </c>
      <c r="AD29" s="460">
        <f t="shared" si="26"/>
        <v>0.14195722002769462</v>
      </c>
      <c r="AE29" s="460">
        <f t="shared" si="26"/>
        <v>0.11067782437403337</v>
      </c>
      <c r="AF29" s="460">
        <f t="shared" si="26"/>
        <v>9.44203936660057E-2</v>
      </c>
      <c r="AG29" s="460">
        <f t="shared" si="26"/>
        <v>0.14195722002769462</v>
      </c>
      <c r="AH29" s="460">
        <f t="shared" si="26"/>
        <v>0.15851695986181216</v>
      </c>
      <c r="AI29" s="460">
        <f t="shared" si="26"/>
        <v>0.15851695986181216</v>
      </c>
      <c r="AJ29" s="460">
        <f t="shared" si="26"/>
        <v>0.14195722002769462</v>
      </c>
      <c r="AK29" s="460">
        <f t="shared" si="26"/>
        <v>0.14195722002769462</v>
      </c>
      <c r="AL29" s="460">
        <f t="shared" si="26"/>
        <v>0.28391444005538924</v>
      </c>
      <c r="AM29" s="460">
        <f t="shared" si="26"/>
        <v>8.5174332016616769E-2</v>
      </c>
      <c r="AN29" s="460">
        <f t="shared" si="26"/>
        <v>0.28391444005538924</v>
      </c>
      <c r="AO29" s="460">
        <f t="shared" si="26"/>
        <v>8.5174332016616769E-2</v>
      </c>
      <c r="AP29" s="460">
        <f t="shared" si="26"/>
        <v>0.28391444005538924</v>
      </c>
      <c r="AQ29" s="460">
        <f t="shared" si="26"/>
        <v>8.5174332016616769E-2</v>
      </c>
      <c r="AR29" s="460">
        <f t="shared" si="26"/>
        <v>0.15851695986181216</v>
      </c>
      <c r="AS29" s="460">
        <f t="shared" si="26"/>
        <v>0.14370152279940604</v>
      </c>
      <c r="AT29" s="460">
        <f t="shared" si="26"/>
        <v>0.13632829357682796</v>
      </c>
      <c r="AU29" s="460">
        <f t="shared" si="26"/>
        <v>0.14195722002769462</v>
      </c>
      <c r="AV29" s="460">
        <f t="shared" si="26"/>
        <v>0.11067782437403337</v>
      </c>
      <c r="AW29" s="460">
        <f t="shared" si="26"/>
        <v>9.44203936660057E-2</v>
      </c>
    </row>
    <row r="30" spans="2:50" x14ac:dyDescent="0.25">
      <c r="B30" s="9"/>
      <c r="C30" s="9" t="s">
        <v>825</v>
      </c>
      <c r="D30" t="s">
        <v>1279</v>
      </c>
      <c r="E30" s="53">
        <f>'Drilling - energy_material_6km'!AJ50</f>
        <v>70.600717765988477</v>
      </c>
      <c r="F30" s="53">
        <f>'Drilling - energy_material_4_5'!AJ49</f>
        <v>69.306111049964642</v>
      </c>
      <c r="G30" s="53">
        <f>'Drilling - energy_material_8'!AJ49</f>
        <v>144.73337468595471</v>
      </c>
      <c r="H30" s="53">
        <f>E30*H26*2</f>
        <v>847208.61319186178</v>
      </c>
      <c r="I30" s="53">
        <f>F30*I26*2</f>
        <v>623754.99944968172</v>
      </c>
      <c r="J30" s="53">
        <f>G30*J26*2</f>
        <v>2315733.9949752754</v>
      </c>
      <c r="K30">
        <f>LCI_ags!D78</f>
        <v>1000000</v>
      </c>
      <c r="R30" s="430" t="s">
        <v>1458</v>
      </c>
      <c r="Y30" s="460">
        <f>Y24-Y27</f>
        <v>6.0783007622067613</v>
      </c>
      <c r="Z30" s="460" t="e">
        <f t="shared" ref="Z30:AW30" si="27">Z24-Z27</f>
        <v>#REF!</v>
      </c>
      <c r="AA30" s="460" t="e">
        <f t="shared" si="27"/>
        <v>#REF!</v>
      </c>
      <c r="AB30" s="460" t="e">
        <f t="shared" si="27"/>
        <v>#REF!</v>
      </c>
      <c r="AC30" s="460">
        <f t="shared" si="27"/>
        <v>4.8315960794114536</v>
      </c>
      <c r="AD30" s="460" t="e">
        <f t="shared" si="27"/>
        <v>#REF!</v>
      </c>
      <c r="AE30" s="460" t="e">
        <f t="shared" si="27"/>
        <v>#REF!</v>
      </c>
      <c r="AF30" s="460" t="e">
        <f t="shared" si="27"/>
        <v>#REF!</v>
      </c>
      <c r="AG30" s="460">
        <f t="shared" si="27"/>
        <v>4.657053960913859</v>
      </c>
      <c r="AH30" s="460" t="e">
        <f t="shared" si="27"/>
        <v>#REF!</v>
      </c>
      <c r="AI30" s="460" t="e">
        <f t="shared" si="27"/>
        <v>#REF!</v>
      </c>
      <c r="AJ30" s="460" t="e">
        <f t="shared" si="27"/>
        <v>#REF!</v>
      </c>
      <c r="AK30" s="460" t="e">
        <f t="shared" si="27"/>
        <v>#REF!</v>
      </c>
      <c r="AL30" s="460" t="e">
        <f t="shared" si="27"/>
        <v>#REF!</v>
      </c>
      <c r="AM30" s="460" t="e">
        <f t="shared" si="27"/>
        <v>#REF!</v>
      </c>
      <c r="AN30" s="460" t="e">
        <f t="shared" si="27"/>
        <v>#REF!</v>
      </c>
      <c r="AO30" s="460" t="e">
        <f t="shared" si="27"/>
        <v>#REF!</v>
      </c>
      <c r="AP30" s="460" t="e">
        <f t="shared" si="27"/>
        <v>#REF!</v>
      </c>
      <c r="AQ30" s="460" t="e">
        <f t="shared" si="27"/>
        <v>#REF!</v>
      </c>
      <c r="AR30" s="460" t="e">
        <f t="shared" si="27"/>
        <v>#REF!</v>
      </c>
      <c r="AS30" s="460" t="e">
        <f t="shared" si="27"/>
        <v>#REF!</v>
      </c>
      <c r="AT30" s="460" t="e">
        <f t="shared" si="27"/>
        <v>#REF!</v>
      </c>
      <c r="AU30" s="460" t="e">
        <f t="shared" si="27"/>
        <v>#REF!</v>
      </c>
      <c r="AV30" s="460" t="e">
        <f t="shared" si="27"/>
        <v>#REF!</v>
      </c>
      <c r="AW30" s="460" t="e">
        <f t="shared" si="27"/>
        <v>#REF!</v>
      </c>
    </row>
    <row r="31" spans="2:50" x14ac:dyDescent="0.25">
      <c r="B31" s="9"/>
      <c r="C31" s="9" t="s">
        <v>1280</v>
      </c>
      <c r="D31" t="s">
        <v>1279</v>
      </c>
      <c r="E31" s="53">
        <f>'Drilling - energy_material_6km'!AK50</f>
        <v>28.240287106395392</v>
      </c>
      <c r="F31" s="53">
        <f>'Drilling - energy_material_4_5'!AK49</f>
        <v>27.722444419985859</v>
      </c>
      <c r="G31" s="53">
        <f>'Drilling - energy_material_8'!AK49</f>
        <v>57.89334987438189</v>
      </c>
      <c r="H31" s="53">
        <f>E31*H26*2</f>
        <v>338883.44527674472</v>
      </c>
      <c r="I31" s="53">
        <f>F31*I26*2</f>
        <v>249501.99977987274</v>
      </c>
      <c r="J31" s="53">
        <f>G31*J26*2</f>
        <v>926293.59799011028</v>
      </c>
      <c r="K31">
        <f>LCI_ags!D80</f>
        <v>500000</v>
      </c>
    </row>
    <row r="32" spans="2:50" x14ac:dyDescent="0.25">
      <c r="B32" s="9"/>
      <c r="C32" s="9" t="s">
        <v>817</v>
      </c>
      <c r="D32" t="s">
        <v>416</v>
      </c>
      <c r="E32">
        <v>1</v>
      </c>
      <c r="F32">
        <v>1</v>
      </c>
      <c r="G32">
        <v>1</v>
      </c>
      <c r="H32">
        <f t="shared" ref="H32:J40" si="28">E32</f>
        <v>1</v>
      </c>
      <c r="I32">
        <f t="shared" si="28"/>
        <v>1</v>
      </c>
      <c r="J32">
        <f t="shared" si="28"/>
        <v>1</v>
      </c>
    </row>
    <row r="33" spans="2:38" x14ac:dyDescent="0.25">
      <c r="B33" s="9" t="s">
        <v>849</v>
      </c>
      <c r="C33" s="9" t="s">
        <v>818</v>
      </c>
      <c r="D33" t="s">
        <v>1281</v>
      </c>
      <c r="E33" s="53">
        <f>E37</f>
        <v>543977.71433816536</v>
      </c>
      <c r="F33" s="53">
        <f>F37</f>
        <v>524311.13030569383</v>
      </c>
      <c r="G33" s="53">
        <f>G37</f>
        <v>900598.43812698429</v>
      </c>
      <c r="H33" s="53">
        <f t="shared" si="28"/>
        <v>543977.71433816536</v>
      </c>
      <c r="I33" s="53">
        <f t="shared" si="28"/>
        <v>524311.13030569383</v>
      </c>
      <c r="J33" s="53">
        <f t="shared" si="28"/>
        <v>900598.43812698429</v>
      </c>
      <c r="L33" t="s">
        <v>1556</v>
      </c>
      <c r="M33">
        <f>E33/lifetime_30a_elprod</f>
        <v>1.2196120409213259E-3</v>
      </c>
    </row>
    <row r="34" spans="2:38" x14ac:dyDescent="0.25">
      <c r="B34" s="9"/>
      <c r="C34" s="9" t="s">
        <v>819</v>
      </c>
      <c r="D34" t="s">
        <v>1281</v>
      </c>
      <c r="E34" s="53">
        <f>E37</f>
        <v>543977.71433816536</v>
      </c>
      <c r="F34" s="53">
        <f>F37</f>
        <v>524311.13030569383</v>
      </c>
      <c r="G34" s="53">
        <f>G37</f>
        <v>900598.43812698429</v>
      </c>
      <c r="H34" s="53">
        <f t="shared" si="28"/>
        <v>543977.71433816536</v>
      </c>
      <c r="I34" s="53">
        <f t="shared" si="28"/>
        <v>524311.13030569383</v>
      </c>
      <c r="J34" s="53">
        <f t="shared" si="28"/>
        <v>900598.43812698429</v>
      </c>
    </row>
    <row r="35" spans="2:38" x14ac:dyDescent="0.25">
      <c r="B35" s="9"/>
      <c r="C35" s="9" t="s">
        <v>754</v>
      </c>
      <c r="D35" t="s">
        <v>1281</v>
      </c>
      <c r="E35" s="53">
        <f>E37</f>
        <v>543977.71433816536</v>
      </c>
      <c r="F35" s="53">
        <f>F37</f>
        <v>524311.13030569383</v>
      </c>
      <c r="G35" s="53">
        <f>G37</f>
        <v>900598.43812698429</v>
      </c>
      <c r="H35" s="53">
        <f t="shared" si="28"/>
        <v>543977.71433816536</v>
      </c>
      <c r="I35" s="53">
        <f t="shared" si="28"/>
        <v>524311.13030569383</v>
      </c>
      <c r="J35" s="53">
        <f t="shared" si="28"/>
        <v>900598.43812698429</v>
      </c>
      <c r="L35" t="s">
        <v>397</v>
      </c>
      <c r="M35" s="53">
        <f>E37/Drilling_summary!$G$11</f>
        <v>10.073661376632693</v>
      </c>
      <c r="N35" s="53">
        <f>F37/Drilling_summary!$G$17</f>
        <v>10.280610398150859</v>
      </c>
      <c r="O35" s="53">
        <f>G37/Drilling_summary!$G$23</f>
        <v>15.527559278051454</v>
      </c>
    </row>
    <row r="36" spans="2:38" x14ac:dyDescent="0.25">
      <c r="B36" s="9"/>
      <c r="C36" s="9" t="s">
        <v>820</v>
      </c>
      <c r="D36" t="s">
        <v>1281</v>
      </c>
      <c r="E36" s="53">
        <f>E37</f>
        <v>543977.71433816536</v>
      </c>
      <c r="F36" s="53">
        <f>F37</f>
        <v>524311.13030569383</v>
      </c>
      <c r="G36" s="53">
        <f>G37</f>
        <v>900598.43812698429</v>
      </c>
      <c r="H36" s="53">
        <f t="shared" si="28"/>
        <v>543977.71433816536</v>
      </c>
      <c r="I36" s="53">
        <f t="shared" si="28"/>
        <v>524311.13030569383</v>
      </c>
      <c r="J36" s="53">
        <f t="shared" si="28"/>
        <v>900598.43812698429</v>
      </c>
    </row>
    <row r="37" spans="2:38" x14ac:dyDescent="0.25">
      <c r="B37" s="9"/>
      <c r="C37" s="9" t="s">
        <v>821</v>
      </c>
      <c r="D37" t="s">
        <v>1281</v>
      </c>
      <c r="E37" s="53">
        <f>'CO2'!C33*1000</f>
        <v>543977.71433816536</v>
      </c>
      <c r="F37" s="53">
        <f>'CO2'!C34*1000</f>
        <v>524311.13030569383</v>
      </c>
      <c r="G37" s="53">
        <f>'CO2'!C35*1000</f>
        <v>900598.43812698429</v>
      </c>
      <c r="H37" s="53">
        <f t="shared" si="28"/>
        <v>543977.71433816536</v>
      </c>
      <c r="I37" s="53">
        <f t="shared" si="28"/>
        <v>524311.13030569383</v>
      </c>
      <c r="J37" s="53">
        <f t="shared" si="28"/>
        <v>900598.43812698429</v>
      </c>
    </row>
    <row r="38" spans="2:38" x14ac:dyDescent="0.25">
      <c r="B38" s="9" t="s">
        <v>822</v>
      </c>
      <c r="C38" s="9"/>
      <c r="D38" t="s">
        <v>416</v>
      </c>
      <c r="E38">
        <v>1</v>
      </c>
      <c r="F38">
        <v>1</v>
      </c>
      <c r="G38">
        <v>1</v>
      </c>
      <c r="H38" s="53">
        <f t="shared" si="28"/>
        <v>1</v>
      </c>
      <c r="I38" s="53">
        <f t="shared" si="28"/>
        <v>1</v>
      </c>
      <c r="J38" s="53">
        <f t="shared" si="28"/>
        <v>1</v>
      </c>
    </row>
    <row r="39" spans="2:38" x14ac:dyDescent="0.25">
      <c r="B39" s="9" t="s">
        <v>823</v>
      </c>
      <c r="C39" s="9"/>
      <c r="D39" t="s">
        <v>416</v>
      </c>
      <c r="E39">
        <v>1</v>
      </c>
      <c r="F39">
        <v>1</v>
      </c>
      <c r="G39">
        <v>1</v>
      </c>
      <c r="H39" s="53">
        <f t="shared" si="28"/>
        <v>1</v>
      </c>
      <c r="I39" s="53">
        <f t="shared" si="28"/>
        <v>1</v>
      </c>
      <c r="J39" s="53">
        <f t="shared" si="28"/>
        <v>1</v>
      </c>
      <c r="L39" s="404"/>
    </row>
    <row r="40" spans="2:38" x14ac:dyDescent="0.25">
      <c r="B40" s="9" t="s">
        <v>829</v>
      </c>
      <c r="C40" s="9" t="s">
        <v>830</v>
      </c>
      <c r="D40" t="s">
        <v>1519</v>
      </c>
      <c r="E40" s="53">
        <f>'Drilling - energy_material_6km'!P56*'Drilling - energy_material_6km'!AI58</f>
        <v>51580.525353860619</v>
      </c>
      <c r="F40" s="53">
        <f>'Drilling - energy_material_4_5'!P56*'Drilling - energy_material_4_5'!AI58</f>
        <v>51580.525353860619</v>
      </c>
      <c r="G40" s="53">
        <f>'Drilling - energy_material_8'!P56*'Drilling - energy_material_8'!AI58</f>
        <v>111956.62164137408</v>
      </c>
      <c r="H40" s="53">
        <f t="shared" si="28"/>
        <v>51580.525353860619</v>
      </c>
      <c r="I40" s="53">
        <f t="shared" si="28"/>
        <v>51580.525353860619</v>
      </c>
      <c r="J40" s="53">
        <f t="shared" si="28"/>
        <v>111956.62164137408</v>
      </c>
      <c r="M40" s="53">
        <f>E40/Drilling_summary!$G$11</f>
        <v>0.95519491396038181</v>
      </c>
      <c r="N40" s="53">
        <f>F40/Drilling_summary!$G$17</f>
        <v>1.0113828500756985</v>
      </c>
      <c r="O40" s="53">
        <f>G40/Drilling_summary!$G$23</f>
        <v>1.930286580023691</v>
      </c>
    </row>
    <row r="42" spans="2:38" ht="75" x14ac:dyDescent="0.25">
      <c r="O42" s="300" t="s">
        <v>1531</v>
      </c>
      <c r="P42" s="300" t="s">
        <v>848</v>
      </c>
      <c r="Q42" t="s">
        <v>831</v>
      </c>
      <c r="Y42" t="s">
        <v>832</v>
      </c>
      <c r="AA42" t="s">
        <v>833</v>
      </c>
      <c r="AD42" t="s">
        <v>834</v>
      </c>
    </row>
    <row r="43" spans="2:38" x14ac:dyDescent="0.25">
      <c r="D43" s="9" t="s">
        <v>828</v>
      </c>
      <c r="P43" t="s">
        <v>835</v>
      </c>
      <c r="Q43" t="s">
        <v>836</v>
      </c>
      <c r="Y43" t="s">
        <v>837</v>
      </c>
      <c r="AA43" t="s">
        <v>838</v>
      </c>
      <c r="AD43" t="s">
        <v>839</v>
      </c>
    </row>
    <row r="45" spans="2:38" x14ac:dyDescent="0.25">
      <c r="P45" t="s">
        <v>1905</v>
      </c>
    </row>
    <row r="46" spans="2:38" x14ac:dyDescent="0.25">
      <c r="P46" t="s">
        <v>1195</v>
      </c>
      <c r="Q46" t="s">
        <v>1333</v>
      </c>
      <c r="R46" t="s">
        <v>1334</v>
      </c>
      <c r="S46" t="s">
        <v>1304</v>
      </c>
      <c r="T46" t="s">
        <v>1305</v>
      </c>
      <c r="U46" t="s">
        <v>1306</v>
      </c>
      <c r="V46" t="s">
        <v>1307</v>
      </c>
      <c r="W46" s="9" t="s">
        <v>1282</v>
      </c>
    </row>
    <row r="47" spans="2:38" x14ac:dyDescent="0.25">
      <c r="B47" s="32"/>
      <c r="C47" s="32"/>
      <c r="D47" s="32"/>
      <c r="E47" s="32"/>
      <c r="F47" s="32"/>
      <c r="G47" s="32"/>
      <c r="H47" s="32"/>
      <c r="I47" s="32" t="s">
        <v>840</v>
      </c>
      <c r="J47" s="32" t="s">
        <v>423</v>
      </c>
      <c r="K47" s="32" t="s">
        <v>416</v>
      </c>
      <c r="L47" s="32" t="s">
        <v>415</v>
      </c>
      <c r="M47" s="32" t="s">
        <v>422</v>
      </c>
      <c r="N47" s="32" t="s">
        <v>418</v>
      </c>
      <c r="O47" s="32" t="s">
        <v>439</v>
      </c>
      <c r="P47" s="420" t="s">
        <v>1150</v>
      </c>
      <c r="Q47" s="32"/>
      <c r="R47" s="32"/>
      <c r="S47" s="32"/>
      <c r="T47" s="32"/>
      <c r="U47" s="32"/>
      <c r="V47" s="32"/>
      <c r="W47" s="32" t="s">
        <v>1148</v>
      </c>
      <c r="X47" s="32" t="s">
        <v>1149</v>
      </c>
      <c r="Y47" s="420" t="s">
        <v>1150</v>
      </c>
      <c r="Z47" s="420" t="s">
        <v>1151</v>
      </c>
      <c r="AA47" s="420" t="s">
        <v>1152</v>
      </c>
      <c r="AB47" s="420" t="s">
        <v>1153</v>
      </c>
      <c r="AK47" s="9"/>
      <c r="AL47" s="9"/>
    </row>
    <row r="48" spans="2:38" x14ac:dyDescent="0.25">
      <c r="B48" s="351" t="s">
        <v>1292</v>
      </c>
      <c r="C48" s="50" t="s">
        <v>1293</v>
      </c>
      <c r="D48" s="50" t="s">
        <v>1284</v>
      </c>
      <c r="E48" s="50"/>
      <c r="F48" s="50"/>
      <c r="G48" s="50"/>
      <c r="H48" s="50"/>
      <c r="I48" s="50"/>
      <c r="J48" s="50">
        <v>1</v>
      </c>
      <c r="K48" s="50" t="s">
        <v>433</v>
      </c>
      <c r="L48" s="50" t="s">
        <v>431</v>
      </c>
      <c r="M48" s="50" t="s">
        <v>1192</v>
      </c>
      <c r="N48" s="50" t="s">
        <v>432</v>
      </c>
      <c r="O48" s="50" t="s">
        <v>1171</v>
      </c>
      <c r="P48" s="511">
        <f>M155</f>
        <v>2.8962454875991598E-7</v>
      </c>
      <c r="Q48" s="511">
        <f>M156</f>
        <v>4.1465919846752199E-7</v>
      </c>
      <c r="R48" s="511">
        <f>M157</f>
        <v>6.2948690730927101E-7</v>
      </c>
      <c r="S48" s="511">
        <f>M158</f>
        <v>9.1851755385847405E-7</v>
      </c>
      <c r="T48" s="511">
        <f>M159</f>
        <v>7.8747724817301996E-7</v>
      </c>
      <c r="U48" s="511">
        <f>M160</f>
        <v>1.35739227207592E-6</v>
      </c>
      <c r="V48" s="511">
        <f>M161</f>
        <v>1.9523738011915399E-6</v>
      </c>
      <c r="W48" s="50">
        <v>0.12947677602759899</v>
      </c>
      <c r="X48" s="50">
        <v>0.108074226069935</v>
      </c>
      <c r="Y48" s="360">
        <v>4.1465919846752199E-7</v>
      </c>
      <c r="Z48" s="360">
        <v>4.2079498394363296E-9</v>
      </c>
      <c r="AA48" s="360">
        <v>1.8511661733594601E-9</v>
      </c>
      <c r="AB48" s="360">
        <v>9.9278976069397799E-5</v>
      </c>
      <c r="AK48" s="9"/>
      <c r="AL48" s="9"/>
    </row>
    <row r="49" spans="1:38" x14ac:dyDescent="0.25">
      <c r="B49" s="50"/>
      <c r="C49" s="50" t="s">
        <v>1299</v>
      </c>
      <c r="D49" s="50" t="s">
        <v>1286</v>
      </c>
      <c r="E49" s="50"/>
      <c r="F49" s="50"/>
      <c r="G49" s="50"/>
      <c r="H49" s="50"/>
      <c r="I49" s="50"/>
      <c r="J49" s="50">
        <v>1</v>
      </c>
      <c r="K49" s="50" t="s">
        <v>433</v>
      </c>
      <c r="L49" s="50" t="s">
        <v>431</v>
      </c>
      <c r="M49" s="50" t="s">
        <v>1287</v>
      </c>
      <c r="N49" s="50" t="s">
        <v>432</v>
      </c>
      <c r="O49" s="50" t="s">
        <v>909</v>
      </c>
      <c r="P49" s="50">
        <v>8.2319679057797999E-3</v>
      </c>
      <c r="Q49" s="50"/>
      <c r="R49" s="50"/>
      <c r="S49" s="50"/>
      <c r="T49" s="50"/>
      <c r="U49" s="50"/>
      <c r="V49" s="50"/>
      <c r="W49" s="50">
        <v>6.6735738075033899E-2</v>
      </c>
      <c r="X49" s="50">
        <v>0.22323660343900001</v>
      </c>
      <c r="Y49" s="360">
        <v>6.0785076071021101E-8</v>
      </c>
      <c r="Z49" s="360">
        <v>1.6895089333304299E-10</v>
      </c>
      <c r="AA49" s="360">
        <v>1.5264665944023201E-9</v>
      </c>
      <c r="AB49" s="360">
        <v>4.9733958273417797E-5</v>
      </c>
    </row>
    <row r="50" spans="1:38" x14ac:dyDescent="0.25">
      <c r="B50" s="50"/>
      <c r="C50" s="50" t="s">
        <v>1300</v>
      </c>
      <c r="D50" s="50" t="s">
        <v>1285</v>
      </c>
      <c r="E50" s="50"/>
      <c r="F50" s="50"/>
      <c r="G50" s="50"/>
      <c r="H50" s="50"/>
      <c r="I50" s="50"/>
      <c r="J50" s="50">
        <v>1</v>
      </c>
      <c r="K50" s="50" t="s">
        <v>433</v>
      </c>
      <c r="L50" s="50" t="s">
        <v>505</v>
      </c>
      <c r="M50" s="50" t="s">
        <v>506</v>
      </c>
      <c r="N50" s="50" t="s">
        <v>432</v>
      </c>
      <c r="O50" s="50" t="s">
        <v>909</v>
      </c>
      <c r="P50" s="50">
        <v>3.32840433370492E-2</v>
      </c>
      <c r="Q50" s="50"/>
      <c r="R50" s="50"/>
      <c r="S50" s="50"/>
      <c r="T50" s="50"/>
      <c r="U50" s="50"/>
      <c r="V50" s="50"/>
      <c r="W50" s="50">
        <v>0.65070767492604698</v>
      </c>
      <c r="X50" s="50">
        <v>1.16561510883971</v>
      </c>
      <c r="Y50" s="360">
        <v>4.1870801841296598E-6</v>
      </c>
      <c r="Z50" s="360">
        <v>1.28761248079914E-9</v>
      </c>
      <c r="AA50" s="360">
        <v>2.8190635327070402E-9</v>
      </c>
      <c r="AB50" s="360">
        <v>1.6278018477426201E-4</v>
      </c>
      <c r="AK50" s="9"/>
      <c r="AL50" s="9"/>
    </row>
    <row r="51" spans="1:38" x14ac:dyDescent="0.25">
      <c r="B51" s="50"/>
      <c r="C51" s="50" t="s">
        <v>1301</v>
      </c>
      <c r="D51" s="50" t="s">
        <v>1288</v>
      </c>
      <c r="E51" s="50"/>
      <c r="F51" s="50"/>
      <c r="G51" s="50"/>
      <c r="H51" s="50"/>
      <c r="I51" s="50"/>
      <c r="J51" s="50">
        <v>1</v>
      </c>
      <c r="K51" s="50" t="s">
        <v>433</v>
      </c>
      <c r="L51" s="50" t="s">
        <v>480</v>
      </c>
      <c r="M51" s="50" t="s">
        <v>1034</v>
      </c>
      <c r="N51" s="50" t="s">
        <v>432</v>
      </c>
      <c r="O51" s="50" t="s">
        <v>909</v>
      </c>
      <c r="P51" s="50">
        <v>2.33167985403466E-2</v>
      </c>
      <c r="Q51" s="50"/>
      <c r="R51" s="50"/>
      <c r="S51" s="50"/>
      <c r="T51" s="50"/>
      <c r="U51" s="50"/>
      <c r="V51" s="50"/>
      <c r="W51" s="50">
        <v>0.27980726115235099</v>
      </c>
      <c r="X51" s="50">
        <v>1.04428337176611</v>
      </c>
      <c r="Y51" s="360">
        <v>6.0288734288702605E-7</v>
      </c>
      <c r="Z51" s="360">
        <v>8.8880277983063399E-10</v>
      </c>
      <c r="AA51" s="360">
        <v>1.7781374769359199E-9</v>
      </c>
      <c r="AB51" s="360">
        <v>8.7927918688659895E-5</v>
      </c>
    </row>
    <row r="52" spans="1:38" x14ac:dyDescent="0.25">
      <c r="B52" s="50"/>
      <c r="C52" s="50" t="s">
        <v>1302</v>
      </c>
      <c r="D52" s="50" t="s">
        <v>1289</v>
      </c>
      <c r="E52" s="50"/>
      <c r="F52" s="50"/>
      <c r="G52" s="50"/>
      <c r="H52" s="50"/>
      <c r="I52" s="50"/>
      <c r="J52" s="50">
        <v>1</v>
      </c>
      <c r="K52" s="50" t="s">
        <v>433</v>
      </c>
      <c r="L52" s="50" t="s">
        <v>431</v>
      </c>
      <c r="M52" s="50" t="s">
        <v>844</v>
      </c>
      <c r="N52" s="50" t="s">
        <v>432</v>
      </c>
      <c r="O52" s="50" t="s">
        <v>909</v>
      </c>
      <c r="P52" s="50">
        <v>2.0408812202523299E-2</v>
      </c>
      <c r="Q52" s="50"/>
      <c r="R52" s="50"/>
      <c r="S52" s="50"/>
      <c r="T52" s="50"/>
      <c r="U52" s="50"/>
      <c r="V52" s="50"/>
      <c r="W52" s="50">
        <v>0.113750924009374</v>
      </c>
      <c r="X52" s="50">
        <v>1.02409405909372</v>
      </c>
      <c r="Y52" s="360">
        <v>1.9824184777474399E-7</v>
      </c>
      <c r="Z52" s="360">
        <v>4.9059580255368703E-10</v>
      </c>
      <c r="AA52" s="360">
        <v>1.6113011724849801E-9</v>
      </c>
      <c r="AB52" s="360">
        <v>7.5665744538927095E-5</v>
      </c>
      <c r="AK52" s="9"/>
      <c r="AL52" s="9"/>
    </row>
    <row r="53" spans="1:38" x14ac:dyDescent="0.25">
      <c r="B53" s="50"/>
      <c r="C53" s="50" t="s">
        <v>1303</v>
      </c>
      <c r="D53" s="50" t="s">
        <v>1290</v>
      </c>
      <c r="E53" s="50"/>
      <c r="F53" s="50"/>
      <c r="G53" s="50"/>
      <c r="H53" s="50"/>
      <c r="I53" s="50"/>
      <c r="J53" s="50">
        <v>1</v>
      </c>
      <c r="K53" s="50" t="s">
        <v>433</v>
      </c>
      <c r="L53" s="50" t="s">
        <v>431</v>
      </c>
      <c r="M53" s="50" t="s">
        <v>842</v>
      </c>
      <c r="N53" s="50" t="s">
        <v>432</v>
      </c>
      <c r="O53" s="50" t="s">
        <v>909</v>
      </c>
      <c r="P53" s="50">
        <v>3.7453943378596101E-3</v>
      </c>
      <c r="Q53" s="50"/>
      <c r="R53" s="50"/>
      <c r="S53" s="50"/>
      <c r="T53" s="50"/>
      <c r="U53" s="50"/>
      <c r="V53" s="50"/>
      <c r="W53" s="50">
        <v>4.6869296392422197E-2</v>
      </c>
      <c r="X53" s="50">
        <v>-6.2492623809148797E-3</v>
      </c>
      <c r="Y53" s="360">
        <v>1.7071395503342101E-8</v>
      </c>
      <c r="Z53" s="360">
        <v>2.4235865568658802E-11</v>
      </c>
      <c r="AA53" s="360">
        <v>4.7526419609627399E-10</v>
      </c>
      <c r="AB53" s="360">
        <v>1.7413829656873399E-5</v>
      </c>
    </row>
    <row r="54" spans="1:38" s="65" customFormat="1" x14ac:dyDescent="0.25">
      <c r="B54" s="408" t="s">
        <v>1044</v>
      </c>
      <c r="C54" s="408" t="s">
        <v>1283</v>
      </c>
      <c r="D54" s="408" t="s">
        <v>1154</v>
      </c>
      <c r="E54" s="408"/>
      <c r="F54" s="408"/>
      <c r="G54" s="408"/>
      <c r="H54" s="408"/>
      <c r="I54" s="408"/>
      <c r="J54" s="408">
        <v>1</v>
      </c>
      <c r="K54" s="408" t="s">
        <v>530</v>
      </c>
      <c r="L54" s="408" t="s">
        <v>915</v>
      </c>
      <c r="M54" s="408" t="s">
        <v>915</v>
      </c>
      <c r="N54" s="408" t="s">
        <v>432</v>
      </c>
      <c r="O54" s="408" t="s">
        <v>911</v>
      </c>
      <c r="P54" s="409">
        <f>K88</f>
        <v>207.91423447585899</v>
      </c>
      <c r="Q54" s="409">
        <f t="shared" ref="Q54:V54" si="29">L88</f>
        <v>185.534312882629</v>
      </c>
      <c r="R54" s="409">
        <f t="shared" si="29"/>
        <v>179.53838294351701</v>
      </c>
      <c r="S54" s="409">
        <f t="shared" si="29"/>
        <v>175.25389152892501</v>
      </c>
      <c r="T54" s="409">
        <f t="shared" si="29"/>
        <v>175.91731143589601</v>
      </c>
      <c r="U54" s="409">
        <f t="shared" si="29"/>
        <v>165.71263289917999</v>
      </c>
      <c r="V54" s="409">
        <f t="shared" si="29"/>
        <v>161.6973511326604</v>
      </c>
      <c r="W54" s="409">
        <f>R88</f>
        <v>1814.5604476083099</v>
      </c>
      <c r="X54" s="409">
        <f t="shared" ref="X54:AB55" si="30">S88</f>
        <v>585.30760609983599</v>
      </c>
      <c r="Y54" s="409">
        <f t="shared" si="30"/>
        <v>3.0679954259471599E-3</v>
      </c>
      <c r="Z54" s="409">
        <f t="shared" si="30"/>
        <v>1.09523118038029E-5</v>
      </c>
      <c r="AA54" s="409">
        <f t="shared" si="30"/>
        <v>1.23898069720073E-5</v>
      </c>
      <c r="AB54" s="409">
        <f t="shared" si="30"/>
        <v>1.69186183795629</v>
      </c>
      <c r="AD54"/>
      <c r="AE54" t="s">
        <v>1552</v>
      </c>
      <c r="AF54"/>
      <c r="AG54"/>
      <c r="AH54"/>
      <c r="AI54"/>
      <c r="AJ54"/>
      <c r="AK54"/>
      <c r="AL54"/>
    </row>
    <row r="55" spans="1:38" s="9" customFormat="1" x14ac:dyDescent="0.25">
      <c r="B55" s="301"/>
      <c r="C55" s="301"/>
      <c r="D55" s="408" t="s">
        <v>1165</v>
      </c>
      <c r="E55" s="408"/>
      <c r="F55" s="408"/>
      <c r="G55" s="408"/>
      <c r="H55" s="408"/>
      <c r="I55" s="408"/>
      <c r="J55" s="408">
        <v>1</v>
      </c>
      <c r="K55" s="408" t="s">
        <v>417</v>
      </c>
      <c r="L55" s="408" t="s">
        <v>983</v>
      </c>
      <c r="M55" s="408" t="s">
        <v>983</v>
      </c>
      <c r="N55" s="408" t="s">
        <v>432</v>
      </c>
      <c r="O55" s="408" t="s">
        <v>911</v>
      </c>
      <c r="P55" s="411">
        <f>K89-literature_CO2_cond_transp!$C$193/1000</f>
        <v>3.4389163918367008E-2</v>
      </c>
      <c r="Q55" s="411">
        <f>L89-literature_CO2_cond_transp!$C$193/1000</f>
        <v>2.9714230463765992E-2</v>
      </c>
      <c r="R55" s="411">
        <f>M89-literature_CO2_cond_transp!$C$193/1000</f>
        <v>2.7880965905215008E-2</v>
      </c>
      <c r="S55" s="411">
        <f>N89-literature_CO2_cond_transp!$C$193/1000</f>
        <v>2.6460497486195986E-2</v>
      </c>
      <c r="T55" s="411">
        <f>O89-literature_CO2_cond_transp!$C$193/1000</f>
        <v>2.6917965522209E-2</v>
      </c>
      <c r="U55" s="411">
        <f>P89-literature_CO2_cond_transp!$C$193/1000</f>
        <v>2.4490599379457009E-2</v>
      </c>
      <c r="V55" s="411">
        <f>Q89-literature_CO2_cond_transp!$C$193/1000</f>
        <v>2.3718343536768702E-2</v>
      </c>
      <c r="W55" s="411">
        <f t="shared" ref="W55" si="31">R89</f>
        <v>0.74208847262787103</v>
      </c>
      <c r="X55" s="411">
        <f t="shared" si="30"/>
        <v>0.100865065711815</v>
      </c>
      <c r="Y55" s="411">
        <f t="shared" si="30"/>
        <v>4.5621005219405902E-7</v>
      </c>
      <c r="Z55" s="411">
        <f t="shared" si="30"/>
        <v>1.3193793389155999E-9</v>
      </c>
      <c r="AA55" s="411">
        <f t="shared" si="30"/>
        <v>1.46761665346135E-9</v>
      </c>
      <c r="AB55" s="411">
        <f t="shared" si="30"/>
        <v>1.75002790353148E-4</v>
      </c>
      <c r="AD55"/>
      <c r="AE55" s="401">
        <v>2020</v>
      </c>
      <c r="AF55" t="s">
        <v>1173</v>
      </c>
      <c r="AG55"/>
      <c r="AH55"/>
      <c r="AI55" t="s">
        <v>655</v>
      </c>
      <c r="AJ55"/>
      <c r="AK55"/>
      <c r="AL55"/>
    </row>
    <row r="56" spans="1:38" s="9" customFormat="1" x14ac:dyDescent="0.25">
      <c r="B56" s="301"/>
      <c r="C56" s="301"/>
      <c r="D56" s="408" t="s">
        <v>1166</v>
      </c>
      <c r="E56" s="408"/>
      <c r="F56" s="408"/>
      <c r="G56" s="408"/>
      <c r="H56" s="408"/>
      <c r="I56" s="408"/>
      <c r="J56" s="408">
        <v>1</v>
      </c>
      <c r="K56" s="408" t="s">
        <v>417</v>
      </c>
      <c r="L56" s="408" t="s">
        <v>984</v>
      </c>
      <c r="M56" s="408" t="s">
        <v>1043</v>
      </c>
      <c r="N56" s="408" t="s">
        <v>432</v>
      </c>
      <c r="O56" s="408" t="s">
        <v>911</v>
      </c>
      <c r="P56" s="411">
        <f>P55+P57+LCI_CO2!$C$123*P48</f>
        <v>3.8275820501638802E-2</v>
      </c>
      <c r="Q56" s="411">
        <f>Q55+Q57+LCI_CO2!$C$123*Q48</f>
        <v>3.3473086456483725E-2</v>
      </c>
      <c r="R56" s="411">
        <f>R55+R57+LCI_CO2!$C$123*R48</f>
        <v>3.1593040397264627E-2</v>
      </c>
      <c r="S56" s="411">
        <f>S55+S57+LCI_CO2!$C$123*S48</f>
        <v>3.0138411716398857E-2</v>
      </c>
      <c r="T56" s="411">
        <f>T55+T57+LCI_CO2!$C$123*T48</f>
        <v>3.0615478608775022E-2</v>
      </c>
      <c r="U56" s="411">
        <f>U55+U57+LCI_CO2!$C$123*U48</f>
        <v>2.8100082410484048E-2</v>
      </c>
      <c r="V56" s="411">
        <f>V55+V57+LCI_CO2!$C$123*V48</f>
        <v>2.7299968529791153E-2</v>
      </c>
      <c r="W56" s="411">
        <f t="shared" ref="W56:AB56" si="32">R92</f>
        <v>0.81482040465799799</v>
      </c>
      <c r="X56" s="411">
        <f t="shared" si="32"/>
        <v>0.216503638646242</v>
      </c>
      <c r="Y56" s="411">
        <f t="shared" si="32"/>
        <v>9.0744459656338996E-7</v>
      </c>
      <c r="Z56" s="411">
        <f t="shared" si="32"/>
        <v>1.4484460156319199E-9</v>
      </c>
      <c r="AA56" s="411">
        <f t="shared" si="32"/>
        <v>1.78799068092155E-9</v>
      </c>
      <c r="AB56" s="411">
        <f t="shared" si="32"/>
        <v>1.93327721059215E-4</v>
      </c>
      <c r="AD56"/>
      <c r="AE56"/>
      <c r="AF56" s="401">
        <v>2030</v>
      </c>
      <c r="AG56" s="401">
        <v>2040</v>
      </c>
      <c r="AH56">
        <v>2050</v>
      </c>
      <c r="AI56" s="401">
        <v>2030</v>
      </c>
      <c r="AJ56" s="401">
        <v>2040</v>
      </c>
      <c r="AK56">
        <v>2050</v>
      </c>
    </row>
    <row r="57" spans="1:38" x14ac:dyDescent="0.25">
      <c r="A57" s="404"/>
      <c r="B57" s="55"/>
      <c r="C57" s="399">
        <f>1-P57/P56</f>
        <v>0.89845732959977775</v>
      </c>
      <c r="D57" s="408" t="s">
        <v>1158</v>
      </c>
      <c r="E57" s="408"/>
      <c r="F57" s="408"/>
      <c r="G57" s="408"/>
      <c r="H57" s="408"/>
      <c r="I57" s="408"/>
      <c r="J57" s="408">
        <v>1</v>
      </c>
      <c r="K57" s="408" t="s">
        <v>417</v>
      </c>
      <c r="L57" s="408" t="s">
        <v>1140</v>
      </c>
      <c r="M57" s="408" t="s">
        <v>1139</v>
      </c>
      <c r="N57" s="408" t="s">
        <v>432</v>
      </c>
      <c r="O57" s="408" t="s">
        <v>911</v>
      </c>
      <c r="P57" s="411">
        <f>K93</f>
        <v>3.8866290254959798E-3</v>
      </c>
      <c r="Q57" s="411">
        <f t="shared" ref="Q57:AB58" si="33">L93</f>
        <v>3.7588165378950001E-3</v>
      </c>
      <c r="R57" s="411">
        <f t="shared" si="33"/>
        <v>3.7120145963703902E-3</v>
      </c>
      <c r="S57" s="411">
        <f t="shared" si="33"/>
        <v>3.6778268332576199E-3</v>
      </c>
      <c r="T57" s="411">
        <f t="shared" si="33"/>
        <v>3.6974381581058599E-3</v>
      </c>
      <c r="U57" s="411">
        <f t="shared" si="33"/>
        <v>3.6093538751523499E-3</v>
      </c>
      <c r="V57" s="411">
        <f t="shared" si="33"/>
        <v>3.5814392246552701E-3</v>
      </c>
      <c r="W57" s="411">
        <f t="shared" si="33"/>
        <v>1.08170958843635E-2</v>
      </c>
      <c r="X57" s="411">
        <f t="shared" si="33"/>
        <v>4.7302937580724902E-3</v>
      </c>
      <c r="Y57" s="411">
        <f t="shared" si="33"/>
        <v>5.2833859209120702E-8</v>
      </c>
      <c r="Z57" s="411">
        <f t="shared" si="33"/>
        <v>6.5503474337704001E-12</v>
      </c>
      <c r="AA57" s="411">
        <f t="shared" si="33"/>
        <v>5.2140128525597899E-11</v>
      </c>
      <c r="AB57" s="411">
        <f t="shared" si="33"/>
        <v>2.8363959055159002E-6</v>
      </c>
      <c r="AD57" t="s">
        <v>1555</v>
      </c>
      <c r="AE57" s="404">
        <f t="shared" ref="AE57:AK57" si="34">P55</f>
        <v>3.4389163918367008E-2</v>
      </c>
      <c r="AF57" s="404">
        <f t="shared" si="34"/>
        <v>2.9714230463765992E-2</v>
      </c>
      <c r="AG57" s="404">
        <f t="shared" si="34"/>
        <v>2.7880965905215008E-2</v>
      </c>
      <c r="AH57" s="404">
        <f t="shared" si="34"/>
        <v>2.6460497486195986E-2</v>
      </c>
      <c r="AI57" s="404">
        <f t="shared" si="34"/>
        <v>2.6917965522209E-2</v>
      </c>
      <c r="AJ57" s="404">
        <f t="shared" si="34"/>
        <v>2.4490599379457009E-2</v>
      </c>
      <c r="AK57" s="404">
        <f t="shared" si="34"/>
        <v>2.3718343536768702E-2</v>
      </c>
    </row>
    <row r="58" spans="1:38" s="9" customFormat="1" x14ac:dyDescent="0.25">
      <c r="B58" s="301"/>
      <c r="C58" s="301"/>
      <c r="D58" s="408" t="s">
        <v>1159</v>
      </c>
      <c r="E58" s="408"/>
      <c r="F58" s="408"/>
      <c r="G58" s="408"/>
      <c r="H58" s="408"/>
      <c r="I58" s="408"/>
      <c r="J58" s="408">
        <v>1</v>
      </c>
      <c r="K58" s="408" t="s">
        <v>417</v>
      </c>
      <c r="L58" s="408" t="s">
        <v>997</v>
      </c>
      <c r="M58" s="408" t="s">
        <v>996</v>
      </c>
      <c r="N58" s="408" t="s">
        <v>432</v>
      </c>
      <c r="O58" s="408" t="s">
        <v>911</v>
      </c>
      <c r="P58" s="411">
        <f>P56+P59</f>
        <v>4.4563333984506674E-2</v>
      </c>
      <c r="Q58" s="411">
        <f t="shared" ref="Q58:V58" si="35">Q56+Q59</f>
        <v>3.8638218195710297E-2</v>
      </c>
      <c r="R58" s="411">
        <f t="shared" si="35"/>
        <v>3.6297493042830677E-2</v>
      </c>
      <c r="S58" s="411">
        <f t="shared" si="35"/>
        <v>3.4477588562539394E-2</v>
      </c>
      <c r="T58" s="411">
        <f t="shared" si="35"/>
        <v>3.5142756978527201E-2</v>
      </c>
      <c r="U58" s="411">
        <f t="shared" si="35"/>
        <v>3.1865048992059858E-2</v>
      </c>
      <c r="V58" s="411">
        <f t="shared" si="35"/>
        <v>3.085114688967153E-2</v>
      </c>
      <c r="W58" s="411">
        <f t="shared" si="33"/>
        <v>0.87485689867614203</v>
      </c>
      <c r="X58" s="411">
        <f t="shared" si="33"/>
        <v>0.25196186513185298</v>
      </c>
      <c r="Y58" s="411">
        <f t="shared" si="33"/>
        <v>1.05186220563448E-6</v>
      </c>
      <c r="Z58" s="411">
        <f t="shared" si="33"/>
        <v>1.50796870261081E-9</v>
      </c>
      <c r="AA58" s="411">
        <f t="shared" si="33"/>
        <v>2.25048766770647E-9</v>
      </c>
      <c r="AB58" s="411">
        <f t="shared" si="33"/>
        <v>2.13411228646555E-4</v>
      </c>
      <c r="AD58" t="s">
        <v>820</v>
      </c>
      <c r="AE58" s="404">
        <f t="shared" ref="AE58:AK58" si="36">P56-P55</f>
        <v>3.8866565832717942E-3</v>
      </c>
      <c r="AF58" s="404">
        <f t="shared" si="36"/>
        <v>3.7588559927177329E-3</v>
      </c>
      <c r="AG58" s="404">
        <f t="shared" si="36"/>
        <v>3.712074492049619E-3</v>
      </c>
      <c r="AH58" s="404">
        <f t="shared" si="36"/>
        <v>3.6779142302028715E-3</v>
      </c>
      <c r="AI58" s="404">
        <f t="shared" si="36"/>
        <v>3.6975130865660212E-3</v>
      </c>
      <c r="AJ58" s="404">
        <f t="shared" si="36"/>
        <v>3.6094830310270387E-3</v>
      </c>
      <c r="AK58" s="404">
        <f t="shared" si="36"/>
        <v>3.581624993022451E-3</v>
      </c>
    </row>
    <row r="59" spans="1:38" x14ac:dyDescent="0.25">
      <c r="B59" s="55"/>
      <c r="C59" s="399">
        <f>1-P59/P58</f>
        <v>0.8589083688160799</v>
      </c>
      <c r="D59" s="408" t="s">
        <v>1163</v>
      </c>
      <c r="E59" s="408"/>
      <c r="F59" s="408"/>
      <c r="G59" s="408"/>
      <c r="H59" s="408"/>
      <c r="I59" s="408"/>
      <c r="J59" s="408">
        <v>1</v>
      </c>
      <c r="K59" s="408" t="s">
        <v>417</v>
      </c>
      <c r="L59" s="408" t="s">
        <v>1142</v>
      </c>
      <c r="M59" s="408" t="s">
        <v>1141</v>
      </c>
      <c r="N59" s="408" t="s">
        <v>432</v>
      </c>
      <c r="O59" s="408" t="s">
        <v>911</v>
      </c>
      <c r="P59" s="411">
        <f>K95</f>
        <v>6.2875134828678696E-3</v>
      </c>
      <c r="Q59" s="411">
        <f t="shared" ref="Q59:AB59" si="37">L95</f>
        <v>5.1651317392265696E-3</v>
      </c>
      <c r="R59" s="411">
        <f t="shared" si="37"/>
        <v>4.7044526455660499E-3</v>
      </c>
      <c r="S59" s="411">
        <f t="shared" si="37"/>
        <v>4.3391768461405397E-3</v>
      </c>
      <c r="T59" s="411">
        <f t="shared" si="37"/>
        <v>4.5272783697521803E-3</v>
      </c>
      <c r="U59" s="411">
        <f t="shared" si="37"/>
        <v>3.7649665815758099E-3</v>
      </c>
      <c r="V59" s="411">
        <f t="shared" si="37"/>
        <v>3.551178359880378E-3</v>
      </c>
      <c r="W59" s="411">
        <f t="shared" si="37"/>
        <v>6.0036494018152801E-2</v>
      </c>
      <c r="X59" s="411">
        <f t="shared" si="37"/>
        <v>3.5458226485804101E-2</v>
      </c>
      <c r="Y59" s="411">
        <f t="shared" si="37"/>
        <v>1.4441760907109701E-7</v>
      </c>
      <c r="Z59" s="411">
        <f t="shared" si="37"/>
        <v>5.95226869789071E-11</v>
      </c>
      <c r="AA59" s="411">
        <f t="shared" si="37"/>
        <v>4.62496986785058E-10</v>
      </c>
      <c r="AB59" s="411">
        <f t="shared" si="37"/>
        <v>2.00835075873479E-5</v>
      </c>
      <c r="AD59" t="s">
        <v>819</v>
      </c>
      <c r="AE59" s="404">
        <f t="shared" ref="AE59:AK59" si="38">P58-P56</f>
        <v>6.2875134828678722E-3</v>
      </c>
      <c r="AF59" s="404">
        <f t="shared" si="38"/>
        <v>5.1651317392265722E-3</v>
      </c>
      <c r="AG59" s="404">
        <f t="shared" si="38"/>
        <v>4.7044526455660499E-3</v>
      </c>
      <c r="AH59" s="404">
        <f t="shared" si="38"/>
        <v>4.3391768461405363E-3</v>
      </c>
      <c r="AI59" s="404">
        <f t="shared" si="38"/>
        <v>4.5272783697521794E-3</v>
      </c>
      <c r="AJ59" s="404">
        <f t="shared" si="38"/>
        <v>3.7649665815758099E-3</v>
      </c>
      <c r="AK59" s="404">
        <f t="shared" si="38"/>
        <v>3.5511783598803776E-3</v>
      </c>
    </row>
    <row r="60" spans="1:38" s="9" customFormat="1" x14ac:dyDescent="0.25">
      <c r="B60" s="301"/>
      <c r="C60" s="301"/>
      <c r="D60" s="408" t="s">
        <v>1156</v>
      </c>
      <c r="E60" s="408"/>
      <c r="F60" s="408"/>
      <c r="G60" s="408"/>
      <c r="H60" s="408"/>
      <c r="I60" s="408"/>
      <c r="J60" s="408">
        <v>1</v>
      </c>
      <c r="K60" s="408" t="s">
        <v>417</v>
      </c>
      <c r="L60" s="408" t="s">
        <v>999</v>
      </c>
      <c r="M60" s="408" t="s">
        <v>998</v>
      </c>
      <c r="N60" s="408" t="s">
        <v>432</v>
      </c>
      <c r="O60" s="408" t="s">
        <v>911</v>
      </c>
      <c r="P60" s="411">
        <f>P58+P61</f>
        <v>6.8419215428376479E-2</v>
      </c>
      <c r="Q60" s="411">
        <f>Q58+Q61</f>
        <v>6.0282012777482095E-2</v>
      </c>
      <c r="R60" s="411">
        <f t="shared" ref="R60:V60" si="39">R58+R61</f>
        <v>5.4636541645197573E-2</v>
      </c>
      <c r="S60" s="411">
        <f t="shared" si="39"/>
        <v>5.0486239320626992E-2</v>
      </c>
      <c r="T60" s="411">
        <f t="shared" si="39"/>
        <v>5.3698030706168604E-2</v>
      </c>
      <c r="U60" s="411">
        <f t="shared" si="39"/>
        <v>4.4969891387389355E-2</v>
      </c>
      <c r="V60" s="411">
        <f t="shared" si="39"/>
        <v>4.0676765758726752E-2</v>
      </c>
      <c r="W60" s="411">
        <f t="shared" ref="W60:AB60" si="40">R90</f>
        <v>1.0562193507056199</v>
      </c>
      <c r="X60" s="411">
        <f t="shared" si="40"/>
        <v>0.51434217287179396</v>
      </c>
      <c r="Y60" s="411">
        <f t="shared" si="40"/>
        <v>1.35575520995532E-6</v>
      </c>
      <c r="Z60" s="411">
        <f t="shared" si="40"/>
        <v>1.9279771362772599E-9</v>
      </c>
      <c r="AA60" s="411">
        <f t="shared" si="40"/>
        <v>4.4428650988689303E-9</v>
      </c>
      <c r="AB60" s="411">
        <f t="shared" si="40"/>
        <v>3.10543883183941E-4</v>
      </c>
      <c r="AD60" t="s">
        <v>754</v>
      </c>
      <c r="AE60" s="404">
        <f t="shared" ref="AE60:AK60" si="41">P60-P58</f>
        <v>2.3855881443869804E-2</v>
      </c>
      <c r="AF60" s="404">
        <f t="shared" si="41"/>
        <v>2.1643794581771798E-2</v>
      </c>
      <c r="AG60" s="404">
        <f t="shared" si="41"/>
        <v>1.8339048602366896E-2</v>
      </c>
      <c r="AH60" s="404">
        <f t="shared" si="41"/>
        <v>1.6008650758087599E-2</v>
      </c>
      <c r="AI60" s="404">
        <f t="shared" si="41"/>
        <v>1.8555273727641403E-2</v>
      </c>
      <c r="AJ60" s="404">
        <f t="shared" si="41"/>
        <v>1.3104842395329497E-2</v>
      </c>
      <c r="AK60" s="404">
        <f t="shared" si="41"/>
        <v>9.8256188690552214E-3</v>
      </c>
    </row>
    <row r="61" spans="1:38" x14ac:dyDescent="0.25">
      <c r="B61" s="55"/>
      <c r="C61" s="399">
        <f>1-P61/P60</f>
        <v>0.65132775500995133</v>
      </c>
      <c r="D61" s="408" t="s">
        <v>1160</v>
      </c>
      <c r="E61" s="408"/>
      <c r="F61" s="408"/>
      <c r="G61" s="408"/>
      <c r="H61" s="408"/>
      <c r="I61" s="408"/>
      <c r="J61" s="408">
        <v>1</v>
      </c>
      <c r="K61" s="408" t="s">
        <v>417</v>
      </c>
      <c r="L61" s="408" t="s">
        <v>1129</v>
      </c>
      <c r="M61" s="408" t="s">
        <v>1127</v>
      </c>
      <c r="N61" s="408" t="s">
        <v>432</v>
      </c>
      <c r="O61" s="408" t="s">
        <v>911</v>
      </c>
      <c r="P61" s="411">
        <f>K91</f>
        <v>2.3855881443869801E-2</v>
      </c>
      <c r="Q61" s="411">
        <f t="shared" ref="Q61:AB61" si="42">L91</f>
        <v>2.1643794581771798E-2</v>
      </c>
      <c r="R61" s="411">
        <f t="shared" si="42"/>
        <v>1.83390486023669E-2</v>
      </c>
      <c r="S61" s="411">
        <f t="shared" si="42"/>
        <v>1.6008650758087599E-2</v>
      </c>
      <c r="T61" s="411">
        <f t="shared" si="42"/>
        <v>1.8555273727641399E-2</v>
      </c>
      <c r="U61" s="411">
        <f t="shared" si="42"/>
        <v>1.31048423953295E-2</v>
      </c>
      <c r="V61" s="411">
        <f t="shared" si="42"/>
        <v>9.8256188690552249E-3</v>
      </c>
      <c r="W61" s="411">
        <f t="shared" si="42"/>
        <v>0.14491011601498899</v>
      </c>
      <c r="X61" s="411">
        <f t="shared" si="42"/>
        <v>0.25188190670472899</v>
      </c>
      <c r="Y61" s="411">
        <f t="shared" si="42"/>
        <v>2.6006545421665499E-7</v>
      </c>
      <c r="Z61" s="411">
        <f t="shared" si="42"/>
        <v>3.5717646431228201E-10</v>
      </c>
      <c r="AA61" s="411">
        <f t="shared" si="42"/>
        <v>2.0986072011009501E-9</v>
      </c>
      <c r="AB61" s="411">
        <f t="shared" si="42"/>
        <v>8.8240528490641598E-5</v>
      </c>
      <c r="AD61" t="s">
        <v>1553</v>
      </c>
      <c r="AE61" s="404">
        <f t="shared" ref="AE61:AK61" si="43">P62-P60</f>
        <v>2.8962454878822541E-8</v>
      </c>
      <c r="AF61" s="404">
        <f t="shared" si="43"/>
        <v>4.1465919843608479E-8</v>
      </c>
      <c r="AG61" s="404">
        <f t="shared" si="43"/>
        <v>6.2948690732200774E-8</v>
      </c>
      <c r="AH61" s="404">
        <f t="shared" si="43"/>
        <v>9.1851755389116274E-8</v>
      </c>
      <c r="AI61" s="404">
        <f t="shared" si="43"/>
        <v>7.8747724820138476E-8</v>
      </c>
      <c r="AJ61" s="404">
        <f t="shared" si="43"/>
        <v>1.3573922720555576E-7</v>
      </c>
      <c r="AK61" s="404">
        <f t="shared" si="43"/>
        <v>1.952373801170082E-7</v>
      </c>
    </row>
    <row r="62" spans="1:38" x14ac:dyDescent="0.25">
      <c r="B62" s="55"/>
      <c r="C62" s="55"/>
      <c r="D62" s="408" t="s">
        <v>1167</v>
      </c>
      <c r="E62" s="408"/>
      <c r="F62" s="408"/>
      <c r="G62" s="408"/>
      <c r="H62" s="408"/>
      <c r="I62" s="408"/>
      <c r="J62" s="408">
        <v>1</v>
      </c>
      <c r="K62" s="408" t="s">
        <v>417</v>
      </c>
      <c r="L62" s="408" t="s">
        <v>1001</v>
      </c>
      <c r="M62" s="408" t="s">
        <v>1000</v>
      </c>
      <c r="N62" s="408" t="s">
        <v>432</v>
      </c>
      <c r="O62" s="408" t="s">
        <v>911</v>
      </c>
      <c r="P62" s="411">
        <f>P60+P48*LCI_CO2!$C$189</f>
        <v>6.8419244390831357E-2</v>
      </c>
      <c r="Q62" s="411">
        <f>Q60+Q48*LCI_CO2!$C$189</f>
        <v>6.0282054243401939E-2</v>
      </c>
      <c r="R62" s="411">
        <f>R60+R48*LCI_CO2!$C$189</f>
        <v>5.4636604593888305E-2</v>
      </c>
      <c r="S62" s="411">
        <f>S60+S48*LCI_CO2!$C$189</f>
        <v>5.0486331172382382E-2</v>
      </c>
      <c r="T62" s="411">
        <f>T60+T48*LCI_CO2!$C$189</f>
        <v>5.3698109453893424E-2</v>
      </c>
      <c r="U62" s="411">
        <f>U60+U48*LCI_CO2!$C$189</f>
        <v>4.497002712661656E-2</v>
      </c>
      <c r="V62" s="411">
        <f>V60+V48*LCI_CO2!$C$189</f>
        <v>4.0676960996106869E-2</v>
      </c>
      <c r="W62" s="411">
        <f t="shared" ref="W62:AB62" si="44">R96</f>
        <v>1.1212901191678499</v>
      </c>
      <c r="X62" s="411">
        <f t="shared" si="44"/>
        <v>0.63090368549267595</v>
      </c>
      <c r="Y62" s="411">
        <f t="shared" si="44"/>
        <v>1.7744632346075301E-6</v>
      </c>
      <c r="Z62" s="411">
        <f t="shared" si="44"/>
        <v>2.0567383862758701E-9</v>
      </c>
      <c r="AA62" s="411">
        <f t="shared" si="44"/>
        <v>4.72477145634038E-9</v>
      </c>
      <c r="AB62" s="411">
        <f t="shared" si="44"/>
        <v>3.2682190190392902E-4</v>
      </c>
      <c r="AD62" t="s">
        <v>1554</v>
      </c>
      <c r="AE62" s="404">
        <f t="shared" ref="AE62:AK62" si="45">P64-P62</f>
        <v>2.8962454878822541E-8</v>
      </c>
      <c r="AF62" s="404">
        <f t="shared" si="45"/>
        <v>4.1465919843608479E-8</v>
      </c>
      <c r="AG62" s="404">
        <f t="shared" si="45"/>
        <v>6.2948690732200774E-8</v>
      </c>
      <c r="AH62" s="404">
        <f t="shared" si="45"/>
        <v>9.1851755389116274E-8</v>
      </c>
      <c r="AI62" s="404">
        <f t="shared" si="45"/>
        <v>7.8747724820138476E-8</v>
      </c>
      <c r="AJ62" s="404">
        <f t="shared" si="45"/>
        <v>1.3573922720555576E-7</v>
      </c>
      <c r="AK62" s="404">
        <f t="shared" si="45"/>
        <v>1.952373801170082E-7</v>
      </c>
    </row>
    <row r="63" spans="1:38" x14ac:dyDescent="0.25">
      <c r="B63" s="55"/>
      <c r="C63" s="399">
        <f>1-P63/P62</f>
        <v>1</v>
      </c>
      <c r="D63" s="408" t="s">
        <v>1157</v>
      </c>
      <c r="E63" s="408"/>
      <c r="F63" s="408"/>
      <c r="G63" s="408"/>
      <c r="H63" s="408"/>
      <c r="I63" s="408"/>
      <c r="J63" s="408">
        <v>1</v>
      </c>
      <c r="K63" s="408" t="s">
        <v>417</v>
      </c>
      <c r="L63" s="408" t="s">
        <v>1128</v>
      </c>
      <c r="M63" s="408" t="s">
        <v>1143</v>
      </c>
      <c r="N63" s="408" t="s">
        <v>432</v>
      </c>
      <c r="O63" s="408" t="s">
        <v>911</v>
      </c>
      <c r="P63" s="411">
        <f>K97</f>
        <v>0</v>
      </c>
      <c r="Q63" s="411">
        <f t="shared" ref="Q63:AB64" si="46">L97</f>
        <v>0</v>
      </c>
      <c r="R63" s="411">
        <f t="shared" si="46"/>
        <v>0</v>
      </c>
      <c r="S63" s="411">
        <f t="shared" si="46"/>
        <v>0</v>
      </c>
      <c r="T63" s="411">
        <f t="shared" si="46"/>
        <v>0</v>
      </c>
      <c r="U63" s="411">
        <f t="shared" si="46"/>
        <v>0</v>
      </c>
      <c r="V63" s="411">
        <f t="shared" si="46"/>
        <v>0</v>
      </c>
      <c r="W63" s="411">
        <f t="shared" si="46"/>
        <v>0</v>
      </c>
      <c r="X63" s="411">
        <f t="shared" si="46"/>
        <v>0</v>
      </c>
      <c r="Y63" s="411">
        <f t="shared" si="46"/>
        <v>0</v>
      </c>
      <c r="Z63" s="411">
        <f t="shared" si="46"/>
        <v>0</v>
      </c>
      <c r="AA63" s="411">
        <f t="shared" si="46"/>
        <v>0</v>
      </c>
      <c r="AB63" s="411">
        <f t="shared" si="46"/>
        <v>0</v>
      </c>
      <c r="AD63" t="s">
        <v>1205</v>
      </c>
      <c r="AE63" s="404">
        <f>SUM(AE57:AE62)</f>
        <v>6.8419273353286236E-2</v>
      </c>
      <c r="AF63" s="404">
        <f t="shared" ref="AF63:AK63" si="47">SUM(AF57:AF62)</f>
        <v>6.0282095709321783E-2</v>
      </c>
      <c r="AG63" s="404">
        <f t="shared" si="47"/>
        <v>5.4636667542579037E-2</v>
      </c>
      <c r="AH63" s="404">
        <f t="shared" si="47"/>
        <v>5.0486423024137771E-2</v>
      </c>
      <c r="AI63" s="404">
        <f t="shared" si="47"/>
        <v>5.3698188201618244E-2</v>
      </c>
      <c r="AJ63" s="404">
        <f t="shared" si="47"/>
        <v>4.4970162865843766E-2</v>
      </c>
      <c r="AK63" s="404">
        <f t="shared" si="47"/>
        <v>4.0677156233486986E-2</v>
      </c>
    </row>
    <row r="64" spans="1:38" s="9" customFormat="1" x14ac:dyDescent="0.25">
      <c r="B64" s="301"/>
      <c r="C64" s="301"/>
      <c r="D64" s="408" t="s">
        <v>1162</v>
      </c>
      <c r="E64" s="408"/>
      <c r="F64" s="408"/>
      <c r="G64" s="408"/>
      <c r="H64" s="408"/>
      <c r="I64" s="408"/>
      <c r="J64" s="408">
        <v>1</v>
      </c>
      <c r="K64" s="408" t="s">
        <v>417</v>
      </c>
      <c r="L64" s="408" t="s">
        <v>1004</v>
      </c>
      <c r="M64" s="408" t="s">
        <v>1003</v>
      </c>
      <c r="N64" s="408" t="s">
        <v>432</v>
      </c>
      <c r="O64" s="408" t="s">
        <v>911</v>
      </c>
      <c r="P64" s="411">
        <f>P62+P48*LCI_CO2!$C$203</f>
        <v>6.8419273353286236E-2</v>
      </c>
      <c r="Q64" s="411">
        <f>Q62+Q48*LCI_CO2!$C$203</f>
        <v>6.0282095709321783E-2</v>
      </c>
      <c r="R64" s="411">
        <f>R62+R48*LCI_CO2!$C$203</f>
        <v>5.4636667542579037E-2</v>
      </c>
      <c r="S64" s="411">
        <f>S62+S48*LCI_CO2!$C$203</f>
        <v>5.0486423024137771E-2</v>
      </c>
      <c r="T64" s="411">
        <f>T62+T48*LCI_CO2!$C$203</f>
        <v>5.3698188201618244E-2</v>
      </c>
      <c r="U64" s="411">
        <f>U62+U48*LCI_CO2!$C$203</f>
        <v>4.4970162865843766E-2</v>
      </c>
      <c r="V64" s="411">
        <f>V62+V48*LCI_CO2!$C$203</f>
        <v>4.0677156233486986E-2</v>
      </c>
      <c r="W64" s="411">
        <f t="shared" si="46"/>
        <v>1.18636088763008</v>
      </c>
      <c r="X64" s="411">
        <f t="shared" si="46"/>
        <v>0.74746519811353695</v>
      </c>
      <c r="Y64" s="411">
        <f t="shared" si="46"/>
        <v>2.19317125925973E-6</v>
      </c>
      <c r="Z64" s="411">
        <f t="shared" si="46"/>
        <v>2.1854996362744799E-9</v>
      </c>
      <c r="AA64" s="411">
        <f t="shared" si="46"/>
        <v>5.0066778138118099E-9</v>
      </c>
      <c r="AB64" s="411">
        <f t="shared" si="46"/>
        <v>3.43099920623916E-4</v>
      </c>
    </row>
    <row r="65" spans="2:30" x14ac:dyDescent="0.25">
      <c r="B65" s="55"/>
      <c r="C65" s="399">
        <f>1-P65/P64</f>
        <v>1</v>
      </c>
      <c r="D65" s="408" t="s">
        <v>1161</v>
      </c>
      <c r="E65" s="408"/>
      <c r="F65" s="408"/>
      <c r="G65" s="408"/>
      <c r="H65" s="408"/>
      <c r="I65" s="408"/>
      <c r="J65" s="408">
        <v>1</v>
      </c>
      <c r="K65" s="408" t="s">
        <v>417</v>
      </c>
      <c r="L65" s="408" t="s">
        <v>1145</v>
      </c>
      <c r="M65" s="408" t="s">
        <v>1144</v>
      </c>
      <c r="N65" s="408" t="s">
        <v>432</v>
      </c>
      <c r="O65" s="408" t="s">
        <v>911</v>
      </c>
      <c r="P65" s="411">
        <f>K99</f>
        <v>0</v>
      </c>
      <c r="Q65" s="411">
        <f t="shared" ref="Q65:AB67" si="48">L99</f>
        <v>0</v>
      </c>
      <c r="R65" s="411">
        <f t="shared" si="48"/>
        <v>0</v>
      </c>
      <c r="S65" s="411">
        <f t="shared" si="48"/>
        <v>0</v>
      </c>
      <c r="T65" s="411">
        <f t="shared" si="48"/>
        <v>0</v>
      </c>
      <c r="U65" s="411">
        <f t="shared" si="48"/>
        <v>0</v>
      </c>
      <c r="V65" s="411">
        <f t="shared" si="48"/>
        <v>0</v>
      </c>
      <c r="W65" s="411">
        <f t="shared" si="48"/>
        <v>0</v>
      </c>
      <c r="X65" s="411">
        <f t="shared" si="48"/>
        <v>0</v>
      </c>
      <c r="Y65" s="411">
        <f t="shared" si="48"/>
        <v>0</v>
      </c>
      <c r="Z65" s="411">
        <f t="shared" si="48"/>
        <v>0</v>
      </c>
      <c r="AA65" s="411">
        <f t="shared" si="48"/>
        <v>0</v>
      </c>
      <c r="AB65" s="411">
        <f t="shared" si="48"/>
        <v>0</v>
      </c>
    </row>
    <row r="66" spans="2:30" s="9" customFormat="1" x14ac:dyDescent="0.25">
      <c r="B66" s="301"/>
      <c r="C66" s="301"/>
      <c r="D66" s="408" t="s">
        <v>1164</v>
      </c>
      <c r="E66" s="408"/>
      <c r="F66" s="408"/>
      <c r="G66" s="408"/>
      <c r="H66" s="408"/>
      <c r="I66" s="408"/>
      <c r="J66" s="408">
        <v>1</v>
      </c>
      <c r="K66" s="408" t="s">
        <v>434</v>
      </c>
      <c r="L66" s="408" t="s">
        <v>1130</v>
      </c>
      <c r="M66" s="408" t="s">
        <v>1130</v>
      </c>
      <c r="N66" s="408" t="s">
        <v>432</v>
      </c>
      <c r="O66" s="408" t="s">
        <v>911</v>
      </c>
      <c r="P66" s="411">
        <f>K100</f>
        <v>1.3762094618009899E-2</v>
      </c>
      <c r="Q66" s="411">
        <f t="shared" si="48"/>
        <v>1.1526253570404699E-2</v>
      </c>
      <c r="R66" s="411">
        <f t="shared" si="48"/>
        <v>1.06562828484312E-2</v>
      </c>
      <c r="S66" s="411">
        <f t="shared" si="48"/>
        <v>1.00282548990203E-2</v>
      </c>
      <c r="T66" s="411">
        <f t="shared" si="48"/>
        <v>1.0442853936179599E-2</v>
      </c>
      <c r="U66" s="411">
        <f t="shared" si="48"/>
        <v>8.6835764752586798E-3</v>
      </c>
      <c r="V66" s="411">
        <f t="shared" si="48"/>
        <v>7.9804934233108551E-3</v>
      </c>
      <c r="W66" s="411">
        <f t="shared" si="48"/>
        <v>0.30141810957026699</v>
      </c>
      <c r="X66" s="411">
        <f t="shared" si="48"/>
        <v>8.3889602807262695E-2</v>
      </c>
      <c r="Y66" s="411">
        <f t="shared" si="48"/>
        <v>1.87736106815614E-6</v>
      </c>
      <c r="Z66" s="411">
        <f t="shared" si="48"/>
        <v>1.6604201025267399E-10</v>
      </c>
      <c r="AA66" s="411">
        <f t="shared" si="48"/>
        <v>1.1379490257317801E-9</v>
      </c>
      <c r="AB66" s="411">
        <f t="shared" si="48"/>
        <v>8.28493728891333E-5</v>
      </c>
    </row>
    <row r="67" spans="2:30" s="9" customFormat="1" x14ac:dyDescent="0.25">
      <c r="B67" s="301"/>
      <c r="C67" s="301"/>
      <c r="D67" s="408" t="s">
        <v>1155</v>
      </c>
      <c r="E67" s="408"/>
      <c r="F67" s="408"/>
      <c r="G67" s="408"/>
      <c r="H67" s="408"/>
      <c r="I67" s="408"/>
      <c r="J67" s="408">
        <v>1</v>
      </c>
      <c r="K67" s="408" t="s">
        <v>434</v>
      </c>
      <c r="L67" s="408" t="s">
        <v>912</v>
      </c>
      <c r="M67" s="408" t="s">
        <v>547</v>
      </c>
      <c r="N67" s="408" t="s">
        <v>432</v>
      </c>
      <c r="O67" s="408" t="s">
        <v>911</v>
      </c>
      <c r="P67" s="411">
        <f>K101</f>
        <v>3.6461357333668999E-4</v>
      </c>
      <c r="Q67" s="411">
        <f t="shared" si="48"/>
        <v>3.0116246277098402E-4</v>
      </c>
      <c r="R67" s="411">
        <f t="shared" si="48"/>
        <v>2.7423564164312498E-4</v>
      </c>
      <c r="S67" s="411">
        <f t="shared" si="48"/>
        <v>2.5390736416562202E-4</v>
      </c>
      <c r="T67" s="411">
        <f t="shared" si="48"/>
        <v>2.64808512259899E-4</v>
      </c>
      <c r="U67" s="411">
        <f t="shared" si="48"/>
        <v>2.1663576877903399E-4</v>
      </c>
      <c r="V67" s="411">
        <f t="shared" si="48"/>
        <v>1.9812323024647201E-4</v>
      </c>
      <c r="W67" s="411">
        <f t="shared" si="48"/>
        <v>7.5708848418090599E-3</v>
      </c>
      <c r="X67" s="411">
        <f t="shared" si="48"/>
        <v>2.1315706331437299E-3</v>
      </c>
      <c r="Y67" s="411">
        <f t="shared" si="48"/>
        <v>4.34783153026382E-8</v>
      </c>
      <c r="Z67" s="411">
        <f t="shared" si="48"/>
        <v>4.5032417264999397E-12</v>
      </c>
      <c r="AA67" s="411">
        <f t="shared" si="48"/>
        <v>2.9087770277979701E-11</v>
      </c>
      <c r="AB67" s="411">
        <f t="shared" si="48"/>
        <v>2.0625463107732702E-6</v>
      </c>
    </row>
    <row r="70" spans="2:30" x14ac:dyDescent="0.25">
      <c r="B70" s="400" t="s">
        <v>1291</v>
      </c>
      <c r="C70" s="401"/>
      <c r="D70" s="401" t="s">
        <v>1185</v>
      </c>
      <c r="E70" s="401"/>
      <c r="F70" s="401"/>
      <c r="G70" s="401"/>
      <c r="H70" s="401"/>
      <c r="I70" s="401"/>
      <c r="J70" s="401">
        <v>1</v>
      </c>
      <c r="K70" s="401" t="s">
        <v>416</v>
      </c>
      <c r="L70" s="401" t="s">
        <v>440</v>
      </c>
      <c r="M70" s="401" t="s">
        <v>1038</v>
      </c>
      <c r="N70" s="401" t="s">
        <v>432</v>
      </c>
      <c r="O70" s="401" t="s">
        <v>438</v>
      </c>
      <c r="P70" s="466">
        <f t="shared" ref="P70:U70" si="49">AC120</f>
        <v>1794039.9715909101</v>
      </c>
      <c r="Q70" s="466">
        <f t="shared" si="49"/>
        <v>1659994.0797162501</v>
      </c>
      <c r="R70" s="466">
        <f t="shared" si="49"/>
        <v>1558780.85591546</v>
      </c>
      <c r="S70" s="466">
        <f t="shared" si="49"/>
        <v>1501880.7688502001</v>
      </c>
      <c r="T70" s="466">
        <f t="shared" si="49"/>
        <v>1501485.7975568201</v>
      </c>
      <c r="U70" s="466">
        <f t="shared" si="49"/>
        <v>1169593.9558528501</v>
      </c>
      <c r="V70" s="466">
        <f>AI122</f>
        <v>973872.61671132396</v>
      </c>
      <c r="W70" s="466">
        <f t="shared" ref="W70:AB70" si="50">AC115</f>
        <v>26249395.9802454</v>
      </c>
      <c r="X70" s="466">
        <f t="shared" si="50"/>
        <v>21168647.666423399</v>
      </c>
      <c r="Y70" s="466">
        <f t="shared" si="50"/>
        <v>39.152041226659897</v>
      </c>
      <c r="Z70" s="466">
        <f t="shared" si="50"/>
        <v>1.37702198132552E-2</v>
      </c>
      <c r="AA70" s="466">
        <f t="shared" si="50"/>
        <v>9.2438719896835594E-2</v>
      </c>
      <c r="AB70" s="466">
        <f t="shared" si="50"/>
        <v>5474.5638742057099</v>
      </c>
      <c r="AC70" s="401"/>
      <c r="AD70" s="401"/>
    </row>
    <row r="71" spans="2:30" x14ac:dyDescent="0.25">
      <c r="B71" s="401"/>
      <c r="C71" s="401"/>
      <c r="D71" s="401" t="s">
        <v>1186</v>
      </c>
      <c r="E71" s="401"/>
      <c r="F71" s="401"/>
      <c r="G71" s="401"/>
      <c r="H71" s="401"/>
      <c r="I71" s="401"/>
      <c r="J71" s="401">
        <v>1</v>
      </c>
      <c r="K71" s="401" t="s">
        <v>433</v>
      </c>
      <c r="L71" s="401" t="s">
        <v>431</v>
      </c>
      <c r="M71" s="401" t="s">
        <v>441</v>
      </c>
      <c r="N71" s="401" t="s">
        <v>432</v>
      </c>
      <c r="O71" s="401" t="s">
        <v>438</v>
      </c>
      <c r="P71" s="401">
        <f>J106</f>
        <v>14.788478553191601</v>
      </c>
      <c r="Q71" s="401"/>
      <c r="R71" s="401"/>
      <c r="S71" s="401"/>
      <c r="T71" s="401"/>
      <c r="U71" s="401"/>
      <c r="V71" s="401"/>
      <c r="W71" s="401">
        <f t="shared" ref="W71:AB72" si="51">K106</f>
        <v>937.811905559499</v>
      </c>
      <c r="X71" s="401">
        <f t="shared" si="51"/>
        <v>144.548857041166</v>
      </c>
      <c r="Y71" s="401">
        <f t="shared" si="51"/>
        <v>2.44089485689096E-4</v>
      </c>
      <c r="Z71" s="401">
        <f t="shared" si="51"/>
        <v>1.2545135623210301E-7</v>
      </c>
      <c r="AA71" s="401">
        <f t="shared" si="51"/>
        <v>9.6183941273939399E-7</v>
      </c>
      <c r="AB71" s="401">
        <f t="shared" si="51"/>
        <v>4.5675882299535099E-2</v>
      </c>
    </row>
    <row r="72" spans="2:30" x14ac:dyDescent="0.25">
      <c r="B72" s="401"/>
      <c r="C72" s="401"/>
      <c r="D72" s="401" t="s">
        <v>1182</v>
      </c>
      <c r="E72" s="401"/>
      <c r="F72" s="401"/>
      <c r="G72" s="401"/>
      <c r="H72" s="401"/>
      <c r="I72" s="401"/>
      <c r="J72" s="401">
        <v>1</v>
      </c>
      <c r="K72" s="401" t="s">
        <v>416</v>
      </c>
      <c r="L72" s="401" t="s">
        <v>1170</v>
      </c>
      <c r="M72" s="401" t="s">
        <v>1169</v>
      </c>
      <c r="N72" s="401" t="s">
        <v>432</v>
      </c>
      <c r="O72" s="401" t="s">
        <v>438</v>
      </c>
      <c r="P72" s="401">
        <v>199786.28138645101</v>
      </c>
      <c r="Q72" s="401">
        <v>141405.12001558</v>
      </c>
      <c r="R72" s="401">
        <v>128189.00321824101</v>
      </c>
      <c r="S72" s="401">
        <v>121611.71102168399</v>
      </c>
      <c r="T72" s="401">
        <v>126632.99720480001</v>
      </c>
      <c r="U72" s="401">
        <v>98730.199294238206</v>
      </c>
      <c r="V72" s="401">
        <v>84227.751465200301</v>
      </c>
      <c r="W72" s="401">
        <f t="shared" si="51"/>
        <v>4500827.1345848199</v>
      </c>
      <c r="X72" s="401">
        <f t="shared" si="51"/>
        <v>5157807.1848055003</v>
      </c>
      <c r="Y72" s="401">
        <f t="shared" si="51"/>
        <v>4.7904713136888999</v>
      </c>
      <c r="Z72" s="401">
        <f t="shared" si="51"/>
        <v>1.5057410958069801E-3</v>
      </c>
      <c r="AA72" s="401">
        <f t="shared" si="51"/>
        <v>2.1854770446818599E-2</v>
      </c>
      <c r="AB72" s="401">
        <f t="shared" si="51"/>
        <v>772.66185368711103</v>
      </c>
    </row>
    <row r="73" spans="2:30" x14ac:dyDescent="0.25">
      <c r="B73" s="401"/>
      <c r="C73" s="401"/>
      <c r="D73" s="401" t="s">
        <v>1183</v>
      </c>
      <c r="E73" s="401"/>
      <c r="F73" s="401"/>
      <c r="G73" s="401"/>
      <c r="H73" s="401"/>
      <c r="I73" s="401"/>
      <c r="J73" s="401">
        <v>1</v>
      </c>
      <c r="K73" s="401" t="s">
        <v>1047</v>
      </c>
      <c r="L73" s="401" t="s">
        <v>1040</v>
      </c>
      <c r="M73" s="401" t="s">
        <v>1039</v>
      </c>
      <c r="N73" s="401" t="s">
        <v>432</v>
      </c>
      <c r="O73" s="401" t="s">
        <v>438</v>
      </c>
      <c r="P73" s="401">
        <v>0</v>
      </c>
      <c r="Q73" s="401"/>
      <c r="R73" s="401"/>
      <c r="S73" s="401"/>
      <c r="T73" s="401"/>
      <c r="U73" s="401"/>
      <c r="V73" s="401"/>
      <c r="W73" s="401">
        <v>0</v>
      </c>
      <c r="X73" s="401">
        <v>0</v>
      </c>
      <c r="Y73" s="401">
        <v>0</v>
      </c>
      <c r="Z73" s="401">
        <v>0</v>
      </c>
      <c r="AA73" s="401">
        <v>0</v>
      </c>
      <c r="AB73" s="401">
        <v>0</v>
      </c>
    </row>
    <row r="74" spans="2:30" x14ac:dyDescent="0.25">
      <c r="B74" s="401"/>
      <c r="C74" s="401"/>
      <c r="D74" s="401" t="s">
        <v>1184</v>
      </c>
      <c r="E74" s="401"/>
      <c r="F74" s="401"/>
      <c r="G74" s="401"/>
      <c r="H74" s="401"/>
      <c r="I74" s="401"/>
      <c r="J74" s="401">
        <v>1</v>
      </c>
      <c r="K74" s="401" t="s">
        <v>1047</v>
      </c>
      <c r="L74" s="401" t="s">
        <v>1037</v>
      </c>
      <c r="M74" s="401" t="s">
        <v>995</v>
      </c>
      <c r="N74" s="401" t="s">
        <v>432</v>
      </c>
      <c r="O74" s="401" t="s">
        <v>438</v>
      </c>
      <c r="P74" s="401">
        <f>J108</f>
        <v>112.81816864922099</v>
      </c>
      <c r="Q74" s="401"/>
      <c r="R74" s="401"/>
      <c r="S74" s="401"/>
      <c r="T74" s="401"/>
      <c r="U74" s="401"/>
      <c r="V74" s="401"/>
      <c r="W74" s="401">
        <f t="shared" ref="W74:AB75" si="52">K108</f>
        <v>7628.6326020300703</v>
      </c>
      <c r="X74" s="401">
        <f t="shared" si="52"/>
        <v>1076.94197215244</v>
      </c>
      <c r="Y74" s="401">
        <f t="shared" si="52"/>
        <v>1.86438317179924E-3</v>
      </c>
      <c r="Z74" s="401">
        <f t="shared" si="52"/>
        <v>9.4551353574458395E-7</v>
      </c>
      <c r="AA74" s="401">
        <f t="shared" si="52"/>
        <v>7.3959543907519102E-6</v>
      </c>
      <c r="AB74" s="401">
        <f t="shared" si="52"/>
        <v>0.35310338375398598</v>
      </c>
    </row>
    <row r="75" spans="2:30" x14ac:dyDescent="0.25">
      <c r="B75" s="401"/>
      <c r="C75" s="401"/>
      <c r="D75" s="401" t="s">
        <v>1364</v>
      </c>
      <c r="E75" s="401"/>
      <c r="F75" s="401"/>
      <c r="G75" s="401"/>
      <c r="H75" s="401"/>
      <c r="I75" s="401"/>
      <c r="J75" s="401">
        <v>1</v>
      </c>
      <c r="K75" s="401" t="s">
        <v>1047</v>
      </c>
      <c r="L75" s="401" t="s">
        <v>1168</v>
      </c>
      <c r="M75" s="401" t="s">
        <v>1363</v>
      </c>
      <c r="N75" s="401" t="s">
        <v>432</v>
      </c>
      <c r="O75" s="401" t="s">
        <v>438</v>
      </c>
      <c r="P75" s="401">
        <f>J109</f>
        <v>2.210576796722</v>
      </c>
      <c r="Q75" s="401"/>
      <c r="R75" s="401"/>
      <c r="S75" s="401"/>
      <c r="T75" s="401"/>
      <c r="U75" s="401"/>
      <c r="V75" s="401"/>
      <c r="W75" s="401">
        <f t="shared" si="52"/>
        <v>6487.3128824713904</v>
      </c>
      <c r="X75" s="401">
        <f t="shared" si="52"/>
        <v>52.709349898794201</v>
      </c>
      <c r="Y75" s="401">
        <f t="shared" si="52"/>
        <v>4.9542977426930701E-6</v>
      </c>
      <c r="Z75" s="401">
        <f t="shared" si="52"/>
        <v>4.38911901720913E-8</v>
      </c>
      <c r="AA75" s="401">
        <f t="shared" si="52"/>
        <v>1.5193207613453199E-7</v>
      </c>
      <c r="AB75" s="401">
        <f t="shared" si="52"/>
        <v>1.397664562985E-2</v>
      </c>
    </row>
    <row r="76" spans="2:30" x14ac:dyDescent="0.25">
      <c r="B76" s="401"/>
      <c r="C76" s="401"/>
      <c r="D76" s="401" t="s">
        <v>1339</v>
      </c>
      <c r="E76" s="401"/>
      <c r="F76" s="401"/>
      <c r="G76" s="401"/>
      <c r="H76" s="401"/>
      <c r="I76" s="401"/>
      <c r="J76" s="401"/>
      <c r="K76" s="401"/>
      <c r="L76" s="401"/>
      <c r="M76" s="401"/>
      <c r="N76" s="401"/>
      <c r="O76" s="401"/>
      <c r="P76" s="401">
        <v>0</v>
      </c>
      <c r="Q76" s="401"/>
      <c r="R76" s="401"/>
      <c r="S76" s="401"/>
      <c r="T76" s="401"/>
      <c r="U76" s="401"/>
      <c r="V76" s="401"/>
      <c r="W76" s="401"/>
      <c r="X76" s="401"/>
      <c r="Y76" s="401"/>
      <c r="Z76" s="402"/>
      <c r="AA76" s="402"/>
      <c r="AB76" s="401"/>
    </row>
    <row r="78" spans="2:30" x14ac:dyDescent="0.25">
      <c r="B78" s="407" t="s">
        <v>1310</v>
      </c>
      <c r="C78" s="308"/>
      <c r="D78" s="308" t="s">
        <v>448</v>
      </c>
      <c r="E78" s="308"/>
      <c r="F78" s="308"/>
      <c r="G78" s="308"/>
      <c r="H78" s="308"/>
      <c r="I78" s="308"/>
      <c r="J78" s="308"/>
      <c r="K78" s="308"/>
      <c r="L78" s="308"/>
      <c r="M78" s="308"/>
      <c r="N78" s="308"/>
      <c r="O78" s="308"/>
      <c r="P78" s="405">
        <f>K121</f>
        <v>5.1107008546201902</v>
      </c>
      <c r="Q78" s="405">
        <f>K122</f>
        <v>4.1157283081437201</v>
      </c>
      <c r="R78" s="405">
        <f>K123</f>
        <v>3.7365396427619002</v>
      </c>
      <c r="S78" s="405">
        <f>K124</f>
        <v>3.34030665552085</v>
      </c>
      <c r="T78" s="405">
        <f>K125</f>
        <v>3.9483963043530701</v>
      </c>
      <c r="U78" s="405">
        <f>K126</f>
        <v>3.0940422384194401</v>
      </c>
      <c r="V78" s="405">
        <f>K127</f>
        <v>2.7016903866997199</v>
      </c>
      <c r="W78" s="308"/>
      <c r="X78" s="308"/>
      <c r="Y78" s="308"/>
      <c r="Z78" s="308"/>
      <c r="AA78" s="308"/>
      <c r="AB78" s="308"/>
    </row>
    <row r="79" spans="2:30" x14ac:dyDescent="0.25">
      <c r="B79" s="308"/>
      <c r="C79" s="308"/>
      <c r="D79" s="308" t="s">
        <v>1311</v>
      </c>
      <c r="E79" s="308"/>
      <c r="F79" s="308"/>
      <c r="G79" s="308"/>
      <c r="H79" s="308"/>
      <c r="I79" s="308"/>
      <c r="J79" s="308"/>
      <c r="K79" s="308"/>
      <c r="L79" s="308"/>
      <c r="M79" s="308"/>
      <c r="N79" s="308"/>
      <c r="O79" s="308"/>
      <c r="P79" s="308">
        <f>K130</f>
        <v>0.87908311429228303</v>
      </c>
      <c r="Q79" s="308">
        <f>K131</f>
        <v>0.87471858146888504</v>
      </c>
      <c r="R79" s="308">
        <f>K132</f>
        <v>0.85837014289721902</v>
      </c>
      <c r="S79" s="308">
        <f>K133</f>
        <v>0.84910379541478598</v>
      </c>
      <c r="T79" s="308">
        <f>K134</f>
        <v>0.87128901115810398</v>
      </c>
      <c r="U79" s="308">
        <f>K135</f>
        <v>0.71062771362907995</v>
      </c>
      <c r="V79" s="308">
        <f>K136</f>
        <v>0.52061478830121899</v>
      </c>
      <c r="W79" s="308"/>
      <c r="X79" s="308"/>
      <c r="Y79" s="308"/>
      <c r="Z79" s="308"/>
      <c r="AA79" s="308"/>
      <c r="AB79" s="308"/>
    </row>
    <row r="80" spans="2:30" x14ac:dyDescent="0.25">
      <c r="B80" s="308"/>
      <c r="C80" s="308"/>
      <c r="D80" s="308" t="s">
        <v>154</v>
      </c>
      <c r="E80" s="308"/>
      <c r="F80" s="308"/>
      <c r="G80" s="308"/>
      <c r="H80" s="308"/>
      <c r="I80" s="308"/>
      <c r="J80" s="308"/>
      <c r="K80" s="308"/>
      <c r="L80" s="308"/>
      <c r="M80" s="308"/>
      <c r="N80" s="308"/>
      <c r="O80" s="308"/>
      <c r="P80" s="406">
        <f>K139</f>
        <v>7.4935102471300203E-5</v>
      </c>
      <c r="Q80" s="308">
        <f>K140</f>
        <v>1.6544022713102499E-4</v>
      </c>
      <c r="R80" s="308">
        <f>K141</f>
        <v>1.32550893784773E-4</v>
      </c>
      <c r="S80" s="406">
        <f>K142</f>
        <v>9.8855266703975705E-5</v>
      </c>
      <c r="T80" s="308">
        <f>K143</f>
        <v>1.5471523742508801E-4</v>
      </c>
      <c r="U80" s="406">
        <f>K144</f>
        <v>6.9053611556827102E-5</v>
      </c>
      <c r="V80" s="406">
        <f>K145</f>
        <v>4.4703290102273003E-5</v>
      </c>
      <c r="W80" s="308"/>
      <c r="X80" s="308"/>
      <c r="Y80" s="308"/>
      <c r="Z80" s="308"/>
      <c r="AA80" s="308"/>
      <c r="AB80" s="308"/>
    </row>
    <row r="83" spans="1:40" x14ac:dyDescent="0.25">
      <c r="A83" s="329"/>
      <c r="B83" s="329"/>
      <c r="C83" s="329"/>
      <c r="D83" s="329"/>
      <c r="E83" s="329"/>
      <c r="F83" s="329"/>
      <c r="G83" s="329"/>
      <c r="H83" s="329"/>
      <c r="I83" s="329"/>
      <c r="J83" s="329"/>
      <c r="K83" s="329"/>
      <c r="L83" s="329"/>
      <c r="M83" s="329"/>
      <c r="N83" s="329"/>
      <c r="O83" s="329"/>
      <c r="P83" s="329"/>
      <c r="Q83" s="329"/>
      <c r="R83" s="329"/>
      <c r="S83" s="329"/>
      <c r="T83" s="329"/>
      <c r="U83" s="329"/>
      <c r="V83" s="329"/>
      <c r="W83" s="329"/>
      <c r="X83" s="329"/>
      <c r="Y83" s="329"/>
      <c r="Z83" s="329"/>
      <c r="AA83" s="329"/>
      <c r="AB83" s="329"/>
      <c r="AC83" s="329"/>
      <c r="AD83" s="329"/>
      <c r="AE83" s="329"/>
      <c r="AF83" s="329"/>
      <c r="AG83" s="329"/>
      <c r="AH83" s="329"/>
      <c r="AI83" s="329"/>
      <c r="AJ83" s="329"/>
      <c r="AK83" s="329"/>
      <c r="AL83" s="329"/>
      <c r="AM83" s="329"/>
      <c r="AN83" s="329"/>
    </row>
    <row r="84" spans="1:40" x14ac:dyDescent="0.25">
      <c r="B84" s="509" t="s">
        <v>1887</v>
      </c>
    </row>
    <row r="85" spans="1:40" x14ac:dyDescent="0.25">
      <c r="K85" t="s">
        <v>1888</v>
      </c>
      <c r="R85" t="s">
        <v>1897</v>
      </c>
      <c r="S85" t="s">
        <v>834</v>
      </c>
      <c r="T85" t="s">
        <v>1889</v>
      </c>
      <c r="U85" t="s">
        <v>1890</v>
      </c>
      <c r="V85" t="s">
        <v>1891</v>
      </c>
      <c r="W85" t="s">
        <v>1892</v>
      </c>
    </row>
    <row r="86" spans="1:40" x14ac:dyDescent="0.25">
      <c r="C86" t="s">
        <v>155</v>
      </c>
      <c r="D86" t="s">
        <v>840</v>
      </c>
      <c r="E86" t="s">
        <v>423</v>
      </c>
      <c r="F86" t="s">
        <v>416</v>
      </c>
      <c r="G86" t="s">
        <v>415</v>
      </c>
      <c r="H86" t="s">
        <v>422</v>
      </c>
      <c r="I86" t="s">
        <v>418</v>
      </c>
      <c r="J86" t="s">
        <v>439</v>
      </c>
      <c r="K86" t="s">
        <v>1147</v>
      </c>
      <c r="L86" t="s">
        <v>1293</v>
      </c>
      <c r="M86" t="s">
        <v>1294</v>
      </c>
      <c r="N86" t="s">
        <v>1295</v>
      </c>
      <c r="O86" t="s">
        <v>1336</v>
      </c>
      <c r="P86" t="s">
        <v>1337</v>
      </c>
      <c r="Q86" t="s">
        <v>1338</v>
      </c>
      <c r="R86" t="s">
        <v>1148</v>
      </c>
      <c r="S86" t="s">
        <v>1149</v>
      </c>
      <c r="T86" t="s">
        <v>1150</v>
      </c>
      <c r="U86" t="s">
        <v>1151</v>
      </c>
      <c r="V86" t="s">
        <v>1152</v>
      </c>
      <c r="W86" t="s">
        <v>1153</v>
      </c>
      <c r="Z86" t="s">
        <v>840</v>
      </c>
    </row>
    <row r="87" spans="1:40" x14ac:dyDescent="0.25">
      <c r="C87" t="s">
        <v>1335</v>
      </c>
      <c r="D87" t="s">
        <v>1335</v>
      </c>
      <c r="E87">
        <v>1</v>
      </c>
      <c r="F87" t="s">
        <v>417</v>
      </c>
      <c r="G87" t="s">
        <v>592</v>
      </c>
      <c r="H87" t="s">
        <v>476</v>
      </c>
      <c r="I87" t="s">
        <v>419</v>
      </c>
      <c r="J87" t="s">
        <v>911</v>
      </c>
      <c r="K87">
        <v>7.5557157710559899</v>
      </c>
      <c r="L87">
        <v>6.7608225388991201</v>
      </c>
      <c r="M87">
        <v>6.6356126907779602</v>
      </c>
      <c r="N87">
        <v>6.5550975668017397</v>
      </c>
      <c r="O87">
        <v>6.52844566289758</v>
      </c>
      <c r="P87">
        <v>6.2895892168261298</v>
      </c>
      <c r="Q87">
        <v>6.1964934743856759</v>
      </c>
      <c r="R87">
        <v>22.308152288714702</v>
      </c>
      <c r="S87">
        <v>17.863915999914699</v>
      </c>
      <c r="T87" s="70">
        <v>2.39821624734956E-5</v>
      </c>
      <c r="U87" s="70">
        <v>4.9192575366723002E-7</v>
      </c>
      <c r="V87" s="70">
        <v>2.3982723385293499E-7</v>
      </c>
      <c r="W87">
        <v>4.81590899016235E-2</v>
      </c>
    </row>
    <row r="88" spans="1:40" x14ac:dyDescent="0.25">
      <c r="C88" t="s">
        <v>1154</v>
      </c>
      <c r="D88" t="s">
        <v>1154</v>
      </c>
      <c r="E88">
        <v>1</v>
      </c>
      <c r="F88" t="s">
        <v>530</v>
      </c>
      <c r="G88" t="s">
        <v>915</v>
      </c>
      <c r="H88" t="s">
        <v>915</v>
      </c>
      <c r="I88" t="s">
        <v>432</v>
      </c>
      <c r="J88" t="s">
        <v>911</v>
      </c>
      <c r="K88">
        <v>207.91423447585899</v>
      </c>
      <c r="L88">
        <v>185.534312882629</v>
      </c>
      <c r="M88">
        <v>179.53838294351701</v>
      </c>
      <c r="N88">
        <v>175.25389152892501</v>
      </c>
      <c r="O88">
        <v>175.91731143589601</v>
      </c>
      <c r="P88">
        <v>165.71263289917999</v>
      </c>
      <c r="Q88">
        <v>161.6973511326604</v>
      </c>
      <c r="R88">
        <v>1814.5604476083099</v>
      </c>
      <c r="S88">
        <v>585.30760609983599</v>
      </c>
      <c r="T88">
        <v>3.0679954259471599E-3</v>
      </c>
      <c r="U88" s="70">
        <v>1.09523118038029E-5</v>
      </c>
      <c r="V88" s="70">
        <v>1.23898069720073E-5</v>
      </c>
      <c r="W88">
        <v>1.69186183795629</v>
      </c>
    </row>
    <row r="89" spans="1:40" x14ac:dyDescent="0.25">
      <c r="C89" t="s">
        <v>1165</v>
      </c>
      <c r="D89" t="s">
        <v>1165</v>
      </c>
      <c r="E89">
        <v>1</v>
      </c>
      <c r="F89" t="s">
        <v>417</v>
      </c>
      <c r="G89" t="s">
        <v>983</v>
      </c>
      <c r="H89" t="s">
        <v>983</v>
      </c>
      <c r="I89" t="s">
        <v>432</v>
      </c>
      <c r="J89" t="s">
        <v>911</v>
      </c>
      <c r="K89">
        <v>0.14549916391836701</v>
      </c>
      <c r="L89">
        <v>0.14082423046376599</v>
      </c>
      <c r="M89">
        <v>0.13899096590521501</v>
      </c>
      <c r="N89">
        <v>0.13757049748619599</v>
      </c>
      <c r="O89">
        <v>0.138027965522209</v>
      </c>
      <c r="P89">
        <v>0.13560059937945701</v>
      </c>
      <c r="Q89">
        <v>0.1348283435367687</v>
      </c>
      <c r="R89">
        <v>0.74208847262787103</v>
      </c>
      <c r="S89">
        <v>0.100865065711815</v>
      </c>
      <c r="T89" s="70">
        <v>4.5621005219405902E-7</v>
      </c>
      <c r="U89" s="70">
        <v>1.3193793389155999E-9</v>
      </c>
      <c r="V89" s="70">
        <v>1.46761665346135E-9</v>
      </c>
      <c r="W89">
        <v>1.75002790353148E-4</v>
      </c>
    </row>
    <row r="90" spans="1:40" x14ac:dyDescent="0.25">
      <c r="C90" t="s">
        <v>1156</v>
      </c>
      <c r="D90" t="s">
        <v>1156</v>
      </c>
      <c r="E90">
        <v>1</v>
      </c>
      <c r="F90" t="s">
        <v>417</v>
      </c>
      <c r="G90" t="s">
        <v>999</v>
      </c>
      <c r="H90" t="s">
        <v>998</v>
      </c>
      <c r="I90" t="s">
        <v>432</v>
      </c>
      <c r="J90" t="s">
        <v>911</v>
      </c>
      <c r="K90">
        <v>0.18931450346034001</v>
      </c>
      <c r="L90">
        <v>0.199068419905856</v>
      </c>
      <c r="M90">
        <v>0.18771722681226599</v>
      </c>
      <c r="N90">
        <v>0.179342930742483</v>
      </c>
      <c r="O90">
        <v>0.184312866300096</v>
      </c>
      <c r="P90">
        <v>0.16512179186505199</v>
      </c>
      <c r="Q90">
        <v>0.15957262354794899</v>
      </c>
      <c r="R90">
        <v>1.0562193507056199</v>
      </c>
      <c r="S90">
        <v>0.51434217287179396</v>
      </c>
      <c r="T90" s="70">
        <v>1.35575520995532E-6</v>
      </c>
      <c r="U90" s="70">
        <v>1.9279771362772599E-9</v>
      </c>
      <c r="V90" s="70">
        <v>4.4428650988689303E-9</v>
      </c>
      <c r="W90">
        <v>3.10543883183941E-4</v>
      </c>
    </row>
    <row r="91" spans="1:40" x14ac:dyDescent="0.25">
      <c r="C91" t="s">
        <v>1160</v>
      </c>
      <c r="D91" t="s">
        <v>1160</v>
      </c>
      <c r="E91">
        <v>1</v>
      </c>
      <c r="F91" t="s">
        <v>417</v>
      </c>
      <c r="G91" t="s">
        <v>1129</v>
      </c>
      <c r="H91" t="s">
        <v>1127</v>
      </c>
      <c r="I91" t="s">
        <v>432</v>
      </c>
      <c r="J91" t="s">
        <v>911</v>
      </c>
      <c r="K91">
        <v>2.3855881443869801E-2</v>
      </c>
      <c r="L91">
        <v>2.1643794581771798E-2</v>
      </c>
      <c r="M91">
        <v>1.83390486023669E-2</v>
      </c>
      <c r="N91">
        <v>1.6008650758087599E-2</v>
      </c>
      <c r="O91">
        <v>1.8555273727641399E-2</v>
      </c>
      <c r="P91">
        <v>1.31048423953295E-2</v>
      </c>
      <c r="Q91">
        <v>9.8256188690552249E-3</v>
      </c>
      <c r="R91">
        <v>0.14491011601498899</v>
      </c>
      <c r="S91">
        <v>0.25188190670472899</v>
      </c>
      <c r="T91" s="70">
        <v>2.6006545421665499E-7</v>
      </c>
      <c r="U91" s="70">
        <v>3.5717646431228201E-10</v>
      </c>
      <c r="V91" s="70">
        <v>2.0986072011009501E-9</v>
      </c>
      <c r="W91" s="70">
        <v>8.8240528490641598E-5</v>
      </c>
    </row>
    <row r="92" spans="1:40" x14ac:dyDescent="0.25">
      <c r="C92" t="s">
        <v>1166</v>
      </c>
      <c r="D92" t="s">
        <v>1166</v>
      </c>
      <c r="E92">
        <v>1</v>
      </c>
      <c r="F92" t="s">
        <v>417</v>
      </c>
      <c r="G92" t="s">
        <v>984</v>
      </c>
      <c r="H92" t="s">
        <v>1043</v>
      </c>
      <c r="I92" t="s">
        <v>432</v>
      </c>
      <c r="J92" t="s">
        <v>911</v>
      </c>
      <c r="K92">
        <v>0.15255276971222001</v>
      </c>
      <c r="L92">
        <v>0.16516251506937801</v>
      </c>
      <c r="M92">
        <v>0.15789860463875099</v>
      </c>
      <c r="N92">
        <v>0.152461737920359</v>
      </c>
      <c r="O92">
        <v>0.154600016570029</v>
      </c>
      <c r="P92">
        <v>0.14217131047638501</v>
      </c>
      <c r="Q92">
        <v>0.140205951615757</v>
      </c>
      <c r="R92">
        <v>0.81482040465799799</v>
      </c>
      <c r="S92">
        <v>0.216503638646242</v>
      </c>
      <c r="T92" s="70">
        <v>9.0744459656338996E-7</v>
      </c>
      <c r="U92" s="70">
        <v>1.4484460156319199E-9</v>
      </c>
      <c r="V92" s="70">
        <v>1.78799068092155E-9</v>
      </c>
      <c r="W92">
        <v>1.93327721059215E-4</v>
      </c>
    </row>
    <row r="93" spans="1:40" x14ac:dyDescent="0.25">
      <c r="C93" t="s">
        <v>1158</v>
      </c>
      <c r="D93" t="s">
        <v>1158</v>
      </c>
      <c r="E93">
        <v>1</v>
      </c>
      <c r="F93" t="s">
        <v>417</v>
      </c>
      <c r="G93" t="s">
        <v>1140</v>
      </c>
      <c r="H93" t="s">
        <v>1139</v>
      </c>
      <c r="I93" t="s">
        <v>432</v>
      </c>
      <c r="J93" t="s">
        <v>911</v>
      </c>
      <c r="K93">
        <v>3.8866290254959798E-3</v>
      </c>
      <c r="L93">
        <v>3.7588165378950001E-3</v>
      </c>
      <c r="M93">
        <v>3.7120145963703902E-3</v>
      </c>
      <c r="N93">
        <v>3.6778268332576199E-3</v>
      </c>
      <c r="O93">
        <v>3.6974381581058599E-3</v>
      </c>
      <c r="P93">
        <v>3.6093538751523499E-3</v>
      </c>
      <c r="Q93">
        <v>3.5814392246552701E-3</v>
      </c>
      <c r="R93">
        <v>1.08170958843635E-2</v>
      </c>
      <c r="S93">
        <v>4.7302937580724902E-3</v>
      </c>
      <c r="T93" s="70">
        <v>5.2833859209120702E-8</v>
      </c>
      <c r="U93" s="70">
        <v>6.5503474337704001E-12</v>
      </c>
      <c r="V93" s="70">
        <v>5.2140128525597899E-11</v>
      </c>
      <c r="W93" s="70">
        <v>2.8363959055159002E-6</v>
      </c>
    </row>
    <row r="94" spans="1:40" x14ac:dyDescent="0.25">
      <c r="C94" t="s">
        <v>1159</v>
      </c>
      <c r="D94" t="s">
        <v>1159</v>
      </c>
      <c r="E94">
        <v>1</v>
      </c>
      <c r="F94" t="s">
        <v>417</v>
      </c>
      <c r="G94" t="s">
        <v>997</v>
      </c>
      <c r="H94" t="s">
        <v>996</v>
      </c>
      <c r="I94" t="s">
        <v>432</v>
      </c>
      <c r="J94" t="s">
        <v>911</v>
      </c>
      <c r="K94">
        <v>0.158840283195087</v>
      </c>
      <c r="L94">
        <v>0.17032764680860399</v>
      </c>
      <c r="M94">
        <v>0.16260305728431701</v>
      </c>
      <c r="N94">
        <v>0.15680091476649999</v>
      </c>
      <c r="O94">
        <v>0.15912729493978101</v>
      </c>
      <c r="P94">
        <v>0.14593627705796</v>
      </c>
      <c r="Q94">
        <v>0.14375712997563739</v>
      </c>
      <c r="R94">
        <v>0.87485689867614203</v>
      </c>
      <c r="S94">
        <v>0.25196186513185298</v>
      </c>
      <c r="T94" s="70">
        <v>1.05186220563448E-6</v>
      </c>
      <c r="U94" s="70">
        <v>1.50796870261081E-9</v>
      </c>
      <c r="V94" s="70">
        <v>2.25048766770647E-9</v>
      </c>
      <c r="W94">
        <v>2.13411228646555E-4</v>
      </c>
    </row>
    <row r="95" spans="1:40" x14ac:dyDescent="0.25">
      <c r="C95" t="s">
        <v>1377</v>
      </c>
      <c r="D95" t="s">
        <v>1163</v>
      </c>
      <c r="E95">
        <v>1</v>
      </c>
      <c r="F95" t="s">
        <v>417</v>
      </c>
      <c r="G95" t="s">
        <v>1142</v>
      </c>
      <c r="H95" t="s">
        <v>1141</v>
      </c>
      <c r="I95" t="s">
        <v>432</v>
      </c>
      <c r="J95" t="s">
        <v>911</v>
      </c>
      <c r="K95">
        <v>6.2875134828678696E-3</v>
      </c>
      <c r="L95">
        <v>5.1651317392265696E-3</v>
      </c>
      <c r="M95">
        <v>4.7044526455660499E-3</v>
      </c>
      <c r="N95">
        <v>4.3391768461405397E-3</v>
      </c>
      <c r="O95">
        <v>4.5272783697521803E-3</v>
      </c>
      <c r="P95">
        <v>3.7649665815758099E-3</v>
      </c>
      <c r="Q95">
        <v>3.551178359880378E-3</v>
      </c>
      <c r="R95">
        <v>6.0036494018152801E-2</v>
      </c>
      <c r="S95">
        <v>3.5458226485804101E-2</v>
      </c>
      <c r="T95" s="70">
        <v>1.4441760907109701E-7</v>
      </c>
      <c r="U95" s="70">
        <v>5.95226869789071E-11</v>
      </c>
      <c r="V95" s="70">
        <v>4.62496986785058E-10</v>
      </c>
      <c r="W95" s="70">
        <v>2.00835075873479E-5</v>
      </c>
    </row>
    <row r="96" spans="1:40" x14ac:dyDescent="0.25">
      <c r="C96" t="s">
        <v>1167</v>
      </c>
      <c r="D96" t="s">
        <v>1167</v>
      </c>
      <c r="E96">
        <v>1</v>
      </c>
      <c r="F96" t="s">
        <v>417</v>
      </c>
      <c r="G96" t="s">
        <v>1001</v>
      </c>
      <c r="H96" t="s">
        <v>1000</v>
      </c>
      <c r="I96" t="s">
        <v>432</v>
      </c>
      <c r="J96" t="s">
        <v>911</v>
      </c>
      <c r="K96">
        <v>0.19264290784364199</v>
      </c>
      <c r="L96">
        <v>0.220696867707249</v>
      </c>
      <c r="M96">
        <v>0.20368740458259599</v>
      </c>
      <c r="N96">
        <v>0.19112791614368899</v>
      </c>
      <c r="O96">
        <v>0.19784372588947199</v>
      </c>
      <c r="P96">
        <v>0.16823409583139801</v>
      </c>
      <c r="Q96">
        <v>0.1614603469905862</v>
      </c>
      <c r="R96">
        <v>1.1212901191678499</v>
      </c>
      <c r="S96">
        <v>0.63090368549267595</v>
      </c>
      <c r="T96" s="70">
        <v>1.7744632346075301E-6</v>
      </c>
      <c r="U96" s="70">
        <v>2.0567383862758701E-9</v>
      </c>
      <c r="V96" s="70">
        <v>4.72477145634038E-9</v>
      </c>
      <c r="W96">
        <v>3.2682190190392902E-4</v>
      </c>
    </row>
    <row r="97" spans="3:34" x14ac:dyDescent="0.25">
      <c r="C97" t="s">
        <v>1157</v>
      </c>
      <c r="D97" t="s">
        <v>1157</v>
      </c>
      <c r="E97">
        <v>1</v>
      </c>
      <c r="F97" t="s">
        <v>417</v>
      </c>
      <c r="G97" t="s">
        <v>1128</v>
      </c>
      <c r="H97" t="s">
        <v>1143</v>
      </c>
      <c r="I97" t="s">
        <v>432</v>
      </c>
      <c r="J97" t="s">
        <v>911</v>
      </c>
      <c r="K97">
        <v>0</v>
      </c>
      <c r="L97">
        <v>0</v>
      </c>
      <c r="M97">
        <v>0</v>
      </c>
      <c r="N97">
        <v>0</v>
      </c>
      <c r="O97">
        <v>0</v>
      </c>
      <c r="P97">
        <v>0</v>
      </c>
      <c r="Q97">
        <v>0</v>
      </c>
      <c r="R97">
        <v>0</v>
      </c>
      <c r="S97">
        <v>0</v>
      </c>
      <c r="T97">
        <v>0</v>
      </c>
      <c r="U97">
        <v>0</v>
      </c>
      <c r="V97">
        <v>0</v>
      </c>
      <c r="W97">
        <v>0</v>
      </c>
    </row>
    <row r="98" spans="3:34" x14ac:dyDescent="0.25">
      <c r="C98" t="s">
        <v>1162</v>
      </c>
      <c r="D98" t="s">
        <v>1162</v>
      </c>
      <c r="E98">
        <v>1</v>
      </c>
      <c r="F98" t="s">
        <v>417</v>
      </c>
      <c r="G98" t="s">
        <v>1004</v>
      </c>
      <c r="H98" t="s">
        <v>1003</v>
      </c>
      <c r="I98" t="s">
        <v>432</v>
      </c>
      <c r="J98" t="s">
        <v>911</v>
      </c>
      <c r="K98">
        <v>0.195971312226944</v>
      </c>
      <c r="L98">
        <v>0.242325315508643</v>
      </c>
      <c r="M98">
        <v>0.21965758235292601</v>
      </c>
      <c r="N98">
        <v>0.202912901544895</v>
      </c>
      <c r="O98">
        <v>0.21137458547884699</v>
      </c>
      <c r="P98">
        <v>0.17134639979774399</v>
      </c>
      <c r="Q98">
        <v>0.16334807043322319</v>
      </c>
      <c r="R98">
        <v>1.18636088763008</v>
      </c>
      <c r="S98">
        <v>0.74746519811353695</v>
      </c>
      <c r="T98" s="70">
        <v>2.19317125925973E-6</v>
      </c>
      <c r="U98" s="70">
        <v>2.1854996362744799E-9</v>
      </c>
      <c r="V98" s="70">
        <v>5.0066778138118099E-9</v>
      </c>
      <c r="W98">
        <v>3.43099920623916E-4</v>
      </c>
    </row>
    <row r="99" spans="3:34" x14ac:dyDescent="0.25">
      <c r="C99" t="s">
        <v>1161</v>
      </c>
      <c r="D99" t="s">
        <v>1161</v>
      </c>
      <c r="E99">
        <v>1</v>
      </c>
      <c r="F99" t="s">
        <v>417</v>
      </c>
      <c r="G99" t="s">
        <v>1145</v>
      </c>
      <c r="H99" t="s">
        <v>1144</v>
      </c>
      <c r="I99" t="s">
        <v>432</v>
      </c>
      <c r="J99" t="s">
        <v>911</v>
      </c>
      <c r="K99">
        <v>0</v>
      </c>
      <c r="L99">
        <v>0</v>
      </c>
      <c r="M99">
        <v>0</v>
      </c>
      <c r="N99">
        <v>0</v>
      </c>
      <c r="O99">
        <v>0</v>
      </c>
      <c r="P99">
        <v>0</v>
      </c>
      <c r="Q99">
        <v>0</v>
      </c>
      <c r="R99">
        <v>0</v>
      </c>
      <c r="S99">
        <v>0</v>
      </c>
      <c r="T99">
        <v>0</v>
      </c>
      <c r="U99">
        <v>0</v>
      </c>
      <c r="V99">
        <v>0</v>
      </c>
      <c r="W99">
        <v>0</v>
      </c>
    </row>
    <row r="100" spans="3:34" x14ac:dyDescent="0.25">
      <c r="C100" t="s">
        <v>1378</v>
      </c>
      <c r="D100" t="s">
        <v>1164</v>
      </c>
      <c r="E100">
        <v>1</v>
      </c>
      <c r="F100" t="s">
        <v>434</v>
      </c>
      <c r="G100" t="s">
        <v>1130</v>
      </c>
      <c r="H100" t="s">
        <v>1130</v>
      </c>
      <c r="I100" t="s">
        <v>432</v>
      </c>
      <c r="J100" t="s">
        <v>911</v>
      </c>
      <c r="K100">
        <v>1.3762094618009899E-2</v>
      </c>
      <c r="L100">
        <v>1.1526253570404699E-2</v>
      </c>
      <c r="M100">
        <v>1.06562828484312E-2</v>
      </c>
      <c r="N100">
        <v>1.00282548990203E-2</v>
      </c>
      <c r="O100">
        <v>1.0442853936179599E-2</v>
      </c>
      <c r="P100">
        <v>8.6835764752586798E-3</v>
      </c>
      <c r="Q100">
        <v>7.9804934233108551E-3</v>
      </c>
      <c r="R100">
        <v>0.30141810957026699</v>
      </c>
      <c r="S100">
        <v>8.3889602807262695E-2</v>
      </c>
      <c r="T100" s="70">
        <v>1.87736106815614E-6</v>
      </c>
      <c r="U100" s="70">
        <v>1.6604201025267399E-10</v>
      </c>
      <c r="V100" s="70">
        <v>1.1379490257317801E-9</v>
      </c>
      <c r="W100" s="70">
        <v>8.28493728891333E-5</v>
      </c>
    </row>
    <row r="101" spans="3:34" x14ac:dyDescent="0.25">
      <c r="C101" t="s">
        <v>1155</v>
      </c>
      <c r="D101" t="s">
        <v>1155</v>
      </c>
      <c r="E101">
        <v>1</v>
      </c>
      <c r="F101" t="s">
        <v>434</v>
      </c>
      <c r="G101" t="s">
        <v>912</v>
      </c>
      <c r="H101" t="s">
        <v>547</v>
      </c>
      <c r="I101" t="s">
        <v>432</v>
      </c>
      <c r="J101" t="s">
        <v>911</v>
      </c>
      <c r="K101">
        <v>3.6461357333668999E-4</v>
      </c>
      <c r="L101">
        <v>3.0116246277098402E-4</v>
      </c>
      <c r="M101">
        <v>2.7423564164312498E-4</v>
      </c>
      <c r="N101">
        <v>2.5390736416562202E-4</v>
      </c>
      <c r="O101">
        <v>2.64808512259899E-4</v>
      </c>
      <c r="P101">
        <v>2.1663576877903399E-4</v>
      </c>
      <c r="Q101">
        <v>1.9812323024647201E-4</v>
      </c>
      <c r="R101">
        <v>7.5708848418090599E-3</v>
      </c>
      <c r="S101">
        <v>2.1315706331437299E-3</v>
      </c>
      <c r="T101" s="70">
        <v>4.34783153026382E-8</v>
      </c>
      <c r="U101" s="70">
        <v>4.5032417264999397E-12</v>
      </c>
      <c r="V101" s="70">
        <v>2.9087770277979701E-11</v>
      </c>
      <c r="W101" s="70">
        <v>2.0625463107732702E-6</v>
      </c>
    </row>
    <row r="104" spans="3:34" x14ac:dyDescent="0.25">
      <c r="D104" t="s">
        <v>423</v>
      </c>
      <c r="E104" t="s">
        <v>416</v>
      </c>
      <c r="F104" t="s">
        <v>415</v>
      </c>
      <c r="G104" t="s">
        <v>422</v>
      </c>
      <c r="H104" t="s">
        <v>418</v>
      </c>
      <c r="I104" t="s">
        <v>439</v>
      </c>
      <c r="J104" t="s">
        <v>1147</v>
      </c>
      <c r="K104" t="s">
        <v>1148</v>
      </c>
      <c r="L104" t="s">
        <v>1149</v>
      </c>
      <c r="M104" t="s">
        <v>1150</v>
      </c>
      <c r="N104" t="s">
        <v>1151</v>
      </c>
      <c r="O104" t="s">
        <v>1152</v>
      </c>
      <c r="P104" t="s">
        <v>1153</v>
      </c>
    </row>
    <row r="105" spans="3:34" x14ac:dyDescent="0.25">
      <c r="D105">
        <v>1</v>
      </c>
      <c r="E105" t="s">
        <v>416</v>
      </c>
      <c r="F105" t="s">
        <v>440</v>
      </c>
      <c r="G105" t="s">
        <v>1038</v>
      </c>
      <c r="H105" t="s">
        <v>432</v>
      </c>
      <c r="I105" t="s">
        <v>438</v>
      </c>
      <c r="J105">
        <v>1596362.5151617499</v>
      </c>
      <c r="K105">
        <v>22876822.119334999</v>
      </c>
      <c r="L105">
        <v>18499225.636424702</v>
      </c>
      <c r="M105">
        <v>4.8083906828028198</v>
      </c>
      <c r="N105">
        <v>7.2529829340167501E-3</v>
      </c>
      <c r="O105">
        <v>7.5366419999087594E-2</v>
      </c>
      <c r="P105">
        <v>4317.0958716778596</v>
      </c>
    </row>
    <row r="106" spans="3:34" x14ac:dyDescent="0.25">
      <c r="D106">
        <v>1</v>
      </c>
      <c r="E106" t="s">
        <v>433</v>
      </c>
      <c r="F106" t="s">
        <v>431</v>
      </c>
      <c r="G106" t="s">
        <v>441</v>
      </c>
      <c r="H106" t="s">
        <v>432</v>
      </c>
      <c r="I106" t="s">
        <v>438</v>
      </c>
      <c r="J106">
        <v>14.788478553191601</v>
      </c>
      <c r="K106">
        <v>937.811905559499</v>
      </c>
      <c r="L106">
        <v>144.548857041166</v>
      </c>
      <c r="M106">
        <v>2.44089485689096E-4</v>
      </c>
      <c r="N106" s="70">
        <v>1.2545135623210301E-7</v>
      </c>
      <c r="O106" s="70">
        <v>9.6183941273939399E-7</v>
      </c>
      <c r="P106">
        <v>4.5675882299535099E-2</v>
      </c>
    </row>
    <row r="107" spans="3:34" x14ac:dyDescent="0.25">
      <c r="D107">
        <v>1</v>
      </c>
      <c r="E107" t="s">
        <v>416</v>
      </c>
      <c r="F107" t="s">
        <v>1170</v>
      </c>
      <c r="G107" t="s">
        <v>1169</v>
      </c>
      <c r="H107" t="s">
        <v>432</v>
      </c>
      <c r="I107" t="s">
        <v>438</v>
      </c>
      <c r="J107">
        <v>199786.28138645101</v>
      </c>
      <c r="K107">
        <v>4500827.1345848199</v>
      </c>
      <c r="L107">
        <v>5157807.1848055003</v>
      </c>
      <c r="M107">
        <v>4.7904713136888999</v>
      </c>
      <c r="N107">
        <v>1.5057410958069801E-3</v>
      </c>
      <c r="O107">
        <v>2.1854770446818599E-2</v>
      </c>
      <c r="P107">
        <v>772.66185368711103</v>
      </c>
    </row>
    <row r="108" spans="3:34" x14ac:dyDescent="0.25">
      <c r="D108">
        <v>1</v>
      </c>
      <c r="E108" t="s">
        <v>1047</v>
      </c>
      <c r="F108" t="s">
        <v>1037</v>
      </c>
      <c r="G108" t="s">
        <v>995</v>
      </c>
      <c r="H108" t="s">
        <v>432</v>
      </c>
      <c r="I108" t="s">
        <v>438</v>
      </c>
      <c r="J108">
        <v>112.81816864922099</v>
      </c>
      <c r="K108">
        <v>7628.6326020300703</v>
      </c>
      <c r="L108">
        <v>1076.94197215244</v>
      </c>
      <c r="M108">
        <v>1.86438317179924E-3</v>
      </c>
      <c r="N108" s="70">
        <v>9.4551353574458395E-7</v>
      </c>
      <c r="O108" s="70">
        <v>7.3959543907519102E-6</v>
      </c>
      <c r="P108">
        <v>0.35310338375398598</v>
      </c>
    </row>
    <row r="109" spans="3:34" x14ac:dyDescent="0.25">
      <c r="D109">
        <v>1</v>
      </c>
      <c r="E109" t="s">
        <v>1047</v>
      </c>
      <c r="F109" t="s">
        <v>1168</v>
      </c>
      <c r="G109" t="s">
        <v>1363</v>
      </c>
      <c r="H109" t="s">
        <v>432</v>
      </c>
      <c r="I109" t="s">
        <v>438</v>
      </c>
      <c r="J109">
        <v>2.210576796722</v>
      </c>
      <c r="K109">
        <v>6487.3128824713904</v>
      </c>
      <c r="L109">
        <v>52.709349898794201</v>
      </c>
      <c r="M109" s="70">
        <v>4.9542977426930701E-6</v>
      </c>
      <c r="N109" s="70">
        <v>4.38911901720913E-8</v>
      </c>
      <c r="O109" s="70">
        <v>1.5193207613453199E-7</v>
      </c>
      <c r="P109">
        <v>1.397664562985E-2</v>
      </c>
    </row>
    <row r="111" spans="3:34" x14ac:dyDescent="0.25">
      <c r="D111" t="s">
        <v>840</v>
      </c>
      <c r="E111" t="s">
        <v>423</v>
      </c>
      <c r="F111" t="s">
        <v>416</v>
      </c>
      <c r="G111" t="s">
        <v>415</v>
      </c>
      <c r="H111" t="s">
        <v>422</v>
      </c>
      <c r="I111" t="s">
        <v>418</v>
      </c>
      <c r="J111" t="s">
        <v>439</v>
      </c>
      <c r="K111" t="s">
        <v>1147</v>
      </c>
      <c r="U111" t="s">
        <v>840</v>
      </c>
      <c r="V111" t="s">
        <v>423</v>
      </c>
      <c r="W111" t="s">
        <v>416</v>
      </c>
      <c r="X111" t="s">
        <v>415</v>
      </c>
      <c r="Y111" t="s">
        <v>422</v>
      </c>
      <c r="Z111" t="s">
        <v>418</v>
      </c>
      <c r="AA111" t="s">
        <v>439</v>
      </c>
      <c r="AB111" t="s">
        <v>1147</v>
      </c>
      <c r="AC111" t="s">
        <v>1148</v>
      </c>
      <c r="AD111" t="s">
        <v>1149</v>
      </c>
      <c r="AE111" t="s">
        <v>1150</v>
      </c>
      <c r="AF111" t="s">
        <v>1151</v>
      </c>
      <c r="AG111" t="s">
        <v>1152</v>
      </c>
      <c r="AH111" t="s">
        <v>1153</v>
      </c>
    </row>
    <row r="112" spans="3:34" x14ac:dyDescent="0.25">
      <c r="D112" t="s">
        <v>1182</v>
      </c>
      <c r="E112">
        <v>1</v>
      </c>
      <c r="F112" t="s">
        <v>416</v>
      </c>
      <c r="G112" t="s">
        <v>1170</v>
      </c>
      <c r="H112" t="s">
        <v>1169</v>
      </c>
      <c r="I112" t="s">
        <v>432</v>
      </c>
      <c r="J112" t="s">
        <v>438</v>
      </c>
      <c r="K112">
        <v>199786.28138645101</v>
      </c>
      <c r="U112" t="s">
        <v>1526</v>
      </c>
      <c r="V112">
        <v>1</v>
      </c>
      <c r="W112" t="s">
        <v>416</v>
      </c>
      <c r="X112" t="s">
        <v>1041</v>
      </c>
      <c r="Y112" t="s">
        <v>1042</v>
      </c>
      <c r="Z112" t="s">
        <v>432</v>
      </c>
      <c r="AA112" t="s">
        <v>438</v>
      </c>
      <c r="AB112">
        <v>7304352.7282087002</v>
      </c>
      <c r="AC112">
        <v>425286819.67552102</v>
      </c>
      <c r="AD112">
        <v>61670386.824982204</v>
      </c>
      <c r="AE112">
        <v>152.437622713552</v>
      </c>
      <c r="AF112">
        <v>6.15212127822636E-2</v>
      </c>
      <c r="AG112">
        <v>0.47890679748394999</v>
      </c>
      <c r="AH112">
        <v>23050.6956607379</v>
      </c>
    </row>
    <row r="113" spans="3:35" x14ac:dyDescent="0.25">
      <c r="D113" t="s">
        <v>1371</v>
      </c>
      <c r="E113">
        <v>1</v>
      </c>
      <c r="F113" t="s">
        <v>416</v>
      </c>
      <c r="G113" t="s">
        <v>1170</v>
      </c>
      <c r="H113" t="s">
        <v>1169</v>
      </c>
      <c r="I113" t="s">
        <v>432</v>
      </c>
      <c r="J113" t="s">
        <v>1365</v>
      </c>
      <c r="K113">
        <v>141405.12001558</v>
      </c>
      <c r="U113" t="s">
        <v>1182</v>
      </c>
      <c r="V113">
        <v>1</v>
      </c>
      <c r="W113" t="s">
        <v>416</v>
      </c>
      <c r="X113" t="s">
        <v>1170</v>
      </c>
      <c r="Y113" t="s">
        <v>1169</v>
      </c>
      <c r="Z113" t="s">
        <v>432</v>
      </c>
      <c r="AA113" t="s">
        <v>438</v>
      </c>
      <c r="AB113">
        <v>199786.28138645101</v>
      </c>
      <c r="AC113">
        <v>4500827.1345848199</v>
      </c>
      <c r="AD113">
        <v>5157807.1848054798</v>
      </c>
      <c r="AE113">
        <v>4.7904713136889097</v>
      </c>
      <c r="AF113">
        <v>1.50574109580633E-3</v>
      </c>
      <c r="AG113">
        <v>2.1854770446818599E-2</v>
      </c>
      <c r="AH113">
        <v>772.66185368711001</v>
      </c>
    </row>
    <row r="114" spans="3:35" x14ac:dyDescent="0.25">
      <c r="D114" t="s">
        <v>1372</v>
      </c>
      <c r="E114">
        <v>1</v>
      </c>
      <c r="F114" t="s">
        <v>416</v>
      </c>
      <c r="G114" t="s">
        <v>1170</v>
      </c>
      <c r="H114" t="s">
        <v>1169</v>
      </c>
      <c r="I114" t="s">
        <v>432</v>
      </c>
      <c r="J114" t="s">
        <v>1366</v>
      </c>
      <c r="K114">
        <v>128189.00321824101</v>
      </c>
      <c r="U114" t="s">
        <v>1184</v>
      </c>
      <c r="V114">
        <v>1</v>
      </c>
      <c r="W114" t="s">
        <v>1047</v>
      </c>
      <c r="X114" t="s">
        <v>1037</v>
      </c>
      <c r="Y114" t="s">
        <v>995</v>
      </c>
      <c r="Z114" t="s">
        <v>432</v>
      </c>
      <c r="AA114" t="s">
        <v>438</v>
      </c>
      <c r="AB114">
        <v>124.35973650366201</v>
      </c>
      <c r="AC114">
        <v>7748.7080195751396</v>
      </c>
      <c r="AD114">
        <v>1019.04326508308</v>
      </c>
      <c r="AE114">
        <v>2.6535586351058601E-3</v>
      </c>
      <c r="AF114" s="70">
        <v>1.0310318544700401E-6</v>
      </c>
      <c r="AG114" s="70">
        <v>8.2798195488374006E-6</v>
      </c>
      <c r="AH114">
        <v>0.39993962079061102</v>
      </c>
    </row>
    <row r="115" spans="3:35" x14ac:dyDescent="0.25">
      <c r="D115" t="s">
        <v>1373</v>
      </c>
      <c r="E115">
        <v>1</v>
      </c>
      <c r="F115" t="s">
        <v>416</v>
      </c>
      <c r="G115" t="s">
        <v>1170</v>
      </c>
      <c r="H115" t="s">
        <v>1169</v>
      </c>
      <c r="I115" t="s">
        <v>432</v>
      </c>
      <c r="J115" t="s">
        <v>1367</v>
      </c>
      <c r="K115">
        <v>121611.71102168399</v>
      </c>
      <c r="U115" t="s">
        <v>1185</v>
      </c>
      <c r="V115">
        <v>1</v>
      </c>
      <c r="W115" t="s">
        <v>416</v>
      </c>
      <c r="X115" t="s">
        <v>440</v>
      </c>
      <c r="Y115" t="s">
        <v>1038</v>
      </c>
      <c r="Z115" t="s">
        <v>432</v>
      </c>
      <c r="AA115" t="s">
        <v>438</v>
      </c>
      <c r="AB115">
        <v>1794039.9715909101</v>
      </c>
      <c r="AC115">
        <v>26249395.9802454</v>
      </c>
      <c r="AD115">
        <v>21168647.666423399</v>
      </c>
      <c r="AE115">
        <v>39.152041226659897</v>
      </c>
      <c r="AF115">
        <v>1.37702198132552E-2</v>
      </c>
      <c r="AG115">
        <v>9.2438719896835594E-2</v>
      </c>
      <c r="AH115">
        <v>5474.5638742057099</v>
      </c>
    </row>
    <row r="116" spans="3:35" x14ac:dyDescent="0.25">
      <c r="D116" t="s">
        <v>1374</v>
      </c>
      <c r="E116">
        <v>1</v>
      </c>
      <c r="F116" t="s">
        <v>416</v>
      </c>
      <c r="G116" t="s">
        <v>1170</v>
      </c>
      <c r="H116" t="s">
        <v>1169</v>
      </c>
      <c r="I116" t="s">
        <v>432</v>
      </c>
      <c r="J116" t="s">
        <v>1368</v>
      </c>
      <c r="K116">
        <v>126632.99720480001</v>
      </c>
      <c r="U116" t="s">
        <v>1186</v>
      </c>
      <c r="V116">
        <v>1</v>
      </c>
      <c r="W116" t="s">
        <v>433</v>
      </c>
      <c r="X116" t="s">
        <v>431</v>
      </c>
      <c r="Y116" t="s">
        <v>441</v>
      </c>
      <c r="Z116" t="s">
        <v>432</v>
      </c>
      <c r="AA116" t="s">
        <v>438</v>
      </c>
      <c r="AB116">
        <v>1.6420169534683102E-2</v>
      </c>
      <c r="AC116">
        <v>0.95376805313802904</v>
      </c>
      <c r="AD116">
        <v>0.13843297630858301</v>
      </c>
      <c r="AE116" s="70">
        <v>3.4225726357336398E-7</v>
      </c>
      <c r="AF116" s="70">
        <v>1.3841863041574699E-10</v>
      </c>
      <c r="AG116" s="70">
        <v>1.0748358218280001E-9</v>
      </c>
      <c r="AH116" s="70">
        <v>5.1756625491048303E-5</v>
      </c>
    </row>
    <row r="117" spans="3:35" x14ac:dyDescent="0.25">
      <c r="D117" t="s">
        <v>1375</v>
      </c>
      <c r="E117">
        <v>1</v>
      </c>
      <c r="F117" t="s">
        <v>416</v>
      </c>
      <c r="G117" t="s">
        <v>1170</v>
      </c>
      <c r="H117" t="s">
        <v>1169</v>
      </c>
      <c r="I117" t="s">
        <v>432</v>
      </c>
      <c r="J117" t="s">
        <v>1369</v>
      </c>
      <c r="K117">
        <v>98730.199294238206</v>
      </c>
    </row>
    <row r="118" spans="3:35" x14ac:dyDescent="0.25">
      <c r="D118" t="s">
        <v>1376</v>
      </c>
      <c r="E118">
        <v>1</v>
      </c>
      <c r="F118" t="s">
        <v>416</v>
      </c>
      <c r="G118" t="s">
        <v>1170</v>
      </c>
      <c r="H118" t="s">
        <v>1169</v>
      </c>
      <c r="I118" t="s">
        <v>432</v>
      </c>
      <c r="J118" t="s">
        <v>1370</v>
      </c>
      <c r="K118">
        <v>84227.751465200301</v>
      </c>
    </row>
    <row r="119" spans="3:35" x14ac:dyDescent="0.25">
      <c r="S119" t="s">
        <v>1896</v>
      </c>
      <c r="U119" t="s">
        <v>840</v>
      </c>
      <c r="V119" t="s">
        <v>423</v>
      </c>
      <c r="W119" t="s">
        <v>416</v>
      </c>
      <c r="X119" t="s">
        <v>415</v>
      </c>
      <c r="Y119" t="s">
        <v>422</v>
      </c>
      <c r="Z119" t="s">
        <v>418</v>
      </c>
      <c r="AA119" t="s">
        <v>439</v>
      </c>
      <c r="AB119" t="s">
        <v>1147</v>
      </c>
    </row>
    <row r="120" spans="3:35" x14ac:dyDescent="0.25">
      <c r="C120" t="s">
        <v>1893</v>
      </c>
      <c r="D120" t="s">
        <v>840</v>
      </c>
      <c r="E120" t="s">
        <v>423</v>
      </c>
      <c r="F120" t="s">
        <v>416</v>
      </c>
      <c r="G120" t="s">
        <v>415</v>
      </c>
      <c r="H120" t="s">
        <v>422</v>
      </c>
      <c r="I120" t="s">
        <v>418</v>
      </c>
      <c r="J120" t="s">
        <v>439</v>
      </c>
      <c r="K120" t="s">
        <v>1147</v>
      </c>
      <c r="U120" t="s">
        <v>1185</v>
      </c>
      <c r="V120">
        <v>1</v>
      </c>
      <c r="W120" t="s">
        <v>416</v>
      </c>
      <c r="X120" t="s">
        <v>440</v>
      </c>
      <c r="Y120" t="s">
        <v>1038</v>
      </c>
      <c r="Z120" t="s">
        <v>432</v>
      </c>
      <c r="AA120" t="s">
        <v>438</v>
      </c>
      <c r="AB120">
        <v>1794039.9715909101</v>
      </c>
      <c r="AC120">
        <v>1794039.9715909101</v>
      </c>
      <c r="AD120">
        <v>1659994.0797162501</v>
      </c>
      <c r="AE120">
        <v>1558780.85591546</v>
      </c>
      <c r="AF120">
        <v>1501880.7688502001</v>
      </c>
      <c r="AG120">
        <v>1501485.7975568201</v>
      </c>
      <c r="AH120">
        <v>1169593.9558528501</v>
      </c>
    </row>
    <row r="121" spans="3:35" x14ac:dyDescent="0.25">
      <c r="D121" t="s">
        <v>1312</v>
      </c>
      <c r="E121">
        <v>1</v>
      </c>
      <c r="F121" t="s">
        <v>417</v>
      </c>
      <c r="G121" t="s">
        <v>461</v>
      </c>
      <c r="H121" t="s">
        <v>460</v>
      </c>
      <c r="I121" t="s">
        <v>462</v>
      </c>
      <c r="J121" t="s">
        <v>909</v>
      </c>
      <c r="K121">
        <v>5.1107008546201902</v>
      </c>
      <c r="U121" t="s">
        <v>1520</v>
      </c>
      <c r="V121">
        <v>1</v>
      </c>
      <c r="W121" t="s">
        <v>416</v>
      </c>
      <c r="X121" t="s">
        <v>440</v>
      </c>
      <c r="Y121" t="s">
        <v>1038</v>
      </c>
      <c r="Z121" t="s">
        <v>432</v>
      </c>
      <c r="AA121" t="s">
        <v>1365</v>
      </c>
      <c r="AB121">
        <v>1659994.0797162501</v>
      </c>
    </row>
    <row r="122" spans="3:35" x14ac:dyDescent="0.25">
      <c r="D122" t="s">
        <v>1313</v>
      </c>
      <c r="E122">
        <v>1</v>
      </c>
      <c r="F122" t="s">
        <v>417</v>
      </c>
      <c r="G122" t="s">
        <v>461</v>
      </c>
      <c r="H122" t="s">
        <v>460</v>
      </c>
      <c r="I122" t="s">
        <v>1188</v>
      </c>
      <c r="J122" t="s">
        <v>1264</v>
      </c>
      <c r="K122">
        <v>4.1157283081437201</v>
      </c>
      <c r="U122" t="s">
        <v>1521</v>
      </c>
      <c r="V122">
        <v>1</v>
      </c>
      <c r="W122" t="s">
        <v>416</v>
      </c>
      <c r="X122" t="s">
        <v>440</v>
      </c>
      <c r="Y122" t="s">
        <v>1038</v>
      </c>
      <c r="Z122" t="s">
        <v>432</v>
      </c>
      <c r="AA122" t="s">
        <v>1366</v>
      </c>
      <c r="AB122">
        <v>1558780.85591546</v>
      </c>
      <c r="AI122">
        <v>973872.61671132396</v>
      </c>
    </row>
    <row r="123" spans="3:35" x14ac:dyDescent="0.25">
      <c r="D123" t="s">
        <v>1314</v>
      </c>
      <c r="E123">
        <v>1</v>
      </c>
      <c r="F123" t="s">
        <v>417</v>
      </c>
      <c r="G123" t="s">
        <v>461</v>
      </c>
      <c r="H123" t="s">
        <v>460</v>
      </c>
      <c r="I123" t="s">
        <v>1188</v>
      </c>
      <c r="J123" t="s">
        <v>1265</v>
      </c>
      <c r="K123">
        <v>3.7365396427619002</v>
      </c>
      <c r="U123" t="s">
        <v>1522</v>
      </c>
      <c r="V123">
        <v>1</v>
      </c>
      <c r="W123" t="s">
        <v>416</v>
      </c>
      <c r="X123" t="s">
        <v>440</v>
      </c>
      <c r="Y123" t="s">
        <v>1038</v>
      </c>
      <c r="Z123" t="s">
        <v>432</v>
      </c>
      <c r="AA123" t="s">
        <v>1367</v>
      </c>
      <c r="AB123">
        <v>1501880.7688502001</v>
      </c>
    </row>
    <row r="124" spans="3:35" x14ac:dyDescent="0.25">
      <c r="D124" t="s">
        <v>1315</v>
      </c>
      <c r="E124">
        <v>1</v>
      </c>
      <c r="F124" t="s">
        <v>417</v>
      </c>
      <c r="G124" t="s">
        <v>461</v>
      </c>
      <c r="H124" t="s">
        <v>460</v>
      </c>
      <c r="I124" t="s">
        <v>1188</v>
      </c>
      <c r="J124" t="s">
        <v>1266</v>
      </c>
      <c r="K124">
        <v>3.34030665552085</v>
      </c>
      <c r="U124" t="s">
        <v>1523</v>
      </c>
      <c r="V124">
        <v>1</v>
      </c>
      <c r="W124" t="s">
        <v>416</v>
      </c>
      <c r="X124" t="s">
        <v>440</v>
      </c>
      <c r="Y124" t="s">
        <v>1038</v>
      </c>
      <c r="Z124" t="s">
        <v>432</v>
      </c>
      <c r="AA124" t="s">
        <v>1368</v>
      </c>
      <c r="AB124">
        <v>1501485.7975568201</v>
      </c>
    </row>
    <row r="125" spans="3:35" x14ac:dyDescent="0.25">
      <c r="D125" t="s">
        <v>1316</v>
      </c>
      <c r="E125">
        <v>1</v>
      </c>
      <c r="F125" t="s">
        <v>417</v>
      </c>
      <c r="G125" t="s">
        <v>461</v>
      </c>
      <c r="H125" t="s">
        <v>460</v>
      </c>
      <c r="I125" t="s">
        <v>1188</v>
      </c>
      <c r="J125" t="s">
        <v>1267</v>
      </c>
      <c r="K125">
        <v>3.9483963043530701</v>
      </c>
      <c r="U125" t="s">
        <v>1524</v>
      </c>
      <c r="V125">
        <v>1</v>
      </c>
      <c r="W125" t="s">
        <v>416</v>
      </c>
      <c r="X125" t="s">
        <v>440</v>
      </c>
      <c r="Y125" t="s">
        <v>1038</v>
      </c>
      <c r="Z125" t="s">
        <v>432</v>
      </c>
      <c r="AA125" t="s">
        <v>1369</v>
      </c>
      <c r="AB125">
        <v>1169593.9558528501</v>
      </c>
    </row>
    <row r="126" spans="3:35" x14ac:dyDescent="0.25">
      <c r="D126" t="s">
        <v>1317</v>
      </c>
      <c r="E126">
        <v>1</v>
      </c>
      <c r="F126" t="s">
        <v>417</v>
      </c>
      <c r="G126" t="s">
        <v>461</v>
      </c>
      <c r="H126" t="s">
        <v>460</v>
      </c>
      <c r="I126" t="s">
        <v>1188</v>
      </c>
      <c r="J126" t="s">
        <v>1268</v>
      </c>
      <c r="K126">
        <v>3.0940422384194401</v>
      </c>
      <c r="U126" t="s">
        <v>1525</v>
      </c>
      <c r="V126">
        <v>1</v>
      </c>
      <c r="W126" t="s">
        <v>416</v>
      </c>
      <c r="X126" t="s">
        <v>440</v>
      </c>
      <c r="Y126" t="s">
        <v>1038</v>
      </c>
      <c r="Z126" t="s">
        <v>432</v>
      </c>
      <c r="AA126" t="s">
        <v>1370</v>
      </c>
      <c r="AB126">
        <v>973872.61671132396</v>
      </c>
    </row>
    <row r="127" spans="3:35" x14ac:dyDescent="0.25">
      <c r="D127" t="s">
        <v>1318</v>
      </c>
      <c r="E127">
        <v>1</v>
      </c>
      <c r="F127" t="s">
        <v>417</v>
      </c>
      <c r="G127" t="s">
        <v>461</v>
      </c>
      <c r="H127" t="s">
        <v>460</v>
      </c>
      <c r="I127" t="s">
        <v>1188</v>
      </c>
      <c r="J127" t="s">
        <v>1252</v>
      </c>
      <c r="K127">
        <v>2.7016903866997199</v>
      </c>
    </row>
    <row r="129" spans="3:11" x14ac:dyDescent="0.25">
      <c r="C129" t="s">
        <v>1894</v>
      </c>
      <c r="D129" t="s">
        <v>840</v>
      </c>
      <c r="E129" t="s">
        <v>423</v>
      </c>
      <c r="F129" t="s">
        <v>416</v>
      </c>
      <c r="G129" t="s">
        <v>415</v>
      </c>
      <c r="H129" t="s">
        <v>422</v>
      </c>
      <c r="I129" t="s">
        <v>418</v>
      </c>
      <c r="J129" t="s">
        <v>439</v>
      </c>
      <c r="K129" t="s">
        <v>1147</v>
      </c>
    </row>
    <row r="130" spans="3:11" x14ac:dyDescent="0.25">
      <c r="D130" t="s">
        <v>1319</v>
      </c>
      <c r="E130">
        <v>1</v>
      </c>
      <c r="F130" t="s">
        <v>417</v>
      </c>
      <c r="G130" t="s">
        <v>1059</v>
      </c>
      <c r="H130" t="s">
        <v>1060</v>
      </c>
      <c r="I130" t="s">
        <v>459</v>
      </c>
      <c r="J130" t="s">
        <v>909</v>
      </c>
      <c r="K130">
        <v>0.87908311429228303</v>
      </c>
    </row>
    <row r="131" spans="3:11" x14ac:dyDescent="0.25">
      <c r="D131" t="s">
        <v>1320</v>
      </c>
      <c r="E131">
        <v>1</v>
      </c>
      <c r="F131" t="s">
        <v>417</v>
      </c>
      <c r="G131" t="s">
        <v>1059</v>
      </c>
      <c r="H131" t="s">
        <v>1060</v>
      </c>
      <c r="I131" t="s">
        <v>432</v>
      </c>
      <c r="J131" t="s">
        <v>1264</v>
      </c>
      <c r="K131">
        <v>0.87471858146888504</v>
      </c>
    </row>
    <row r="132" spans="3:11" x14ac:dyDescent="0.25">
      <c r="D132" t="s">
        <v>1321</v>
      </c>
      <c r="E132">
        <v>1</v>
      </c>
      <c r="F132" t="s">
        <v>417</v>
      </c>
      <c r="G132" t="s">
        <v>1059</v>
      </c>
      <c r="H132" t="s">
        <v>1060</v>
      </c>
      <c r="I132" t="s">
        <v>432</v>
      </c>
      <c r="J132" t="s">
        <v>1265</v>
      </c>
      <c r="K132">
        <v>0.85837014289721902</v>
      </c>
    </row>
    <row r="133" spans="3:11" x14ac:dyDescent="0.25">
      <c r="D133" t="s">
        <v>1322</v>
      </c>
      <c r="E133">
        <v>1</v>
      </c>
      <c r="F133" t="s">
        <v>417</v>
      </c>
      <c r="G133" t="s">
        <v>1059</v>
      </c>
      <c r="H133" t="s">
        <v>1060</v>
      </c>
      <c r="I133" t="s">
        <v>432</v>
      </c>
      <c r="J133" t="s">
        <v>1266</v>
      </c>
      <c r="K133">
        <v>0.84910379541478598</v>
      </c>
    </row>
    <row r="134" spans="3:11" x14ac:dyDescent="0.25">
      <c r="D134" t="s">
        <v>1323</v>
      </c>
      <c r="E134">
        <v>1</v>
      </c>
      <c r="F134" t="s">
        <v>417</v>
      </c>
      <c r="G134" t="s">
        <v>1059</v>
      </c>
      <c r="H134" t="s">
        <v>1060</v>
      </c>
      <c r="I134" t="s">
        <v>432</v>
      </c>
      <c r="J134" t="s">
        <v>1267</v>
      </c>
      <c r="K134">
        <v>0.87128901115810398</v>
      </c>
    </row>
    <row r="135" spans="3:11" x14ac:dyDescent="0.25">
      <c r="D135" t="s">
        <v>1324</v>
      </c>
      <c r="E135">
        <v>1</v>
      </c>
      <c r="F135" t="s">
        <v>417</v>
      </c>
      <c r="G135" t="s">
        <v>1059</v>
      </c>
      <c r="H135" t="s">
        <v>1060</v>
      </c>
      <c r="I135" t="s">
        <v>432</v>
      </c>
      <c r="J135" t="s">
        <v>1268</v>
      </c>
      <c r="K135">
        <v>0.71062771362907995</v>
      </c>
    </row>
    <row r="136" spans="3:11" x14ac:dyDescent="0.25">
      <c r="D136" t="s">
        <v>1325</v>
      </c>
      <c r="E136">
        <v>1</v>
      </c>
      <c r="F136" t="s">
        <v>417</v>
      </c>
      <c r="G136" t="s">
        <v>1059</v>
      </c>
      <c r="H136" t="s">
        <v>1060</v>
      </c>
      <c r="I136" t="s">
        <v>432</v>
      </c>
      <c r="J136" t="s">
        <v>1252</v>
      </c>
      <c r="K136">
        <v>0.52061478830121899</v>
      </c>
    </row>
    <row r="138" spans="3:11" x14ac:dyDescent="0.25">
      <c r="C138" t="s">
        <v>1895</v>
      </c>
      <c r="D138" t="s">
        <v>840</v>
      </c>
      <c r="E138" t="s">
        <v>423</v>
      </c>
      <c r="F138" t="s">
        <v>416</v>
      </c>
      <c r="G138" t="s">
        <v>415</v>
      </c>
      <c r="H138" t="s">
        <v>422</v>
      </c>
      <c r="I138" t="s">
        <v>418</v>
      </c>
      <c r="J138" t="s">
        <v>439</v>
      </c>
      <c r="K138" t="s">
        <v>1147</v>
      </c>
    </row>
    <row r="139" spans="3:11" x14ac:dyDescent="0.25">
      <c r="D139" t="s">
        <v>1326</v>
      </c>
      <c r="E139">
        <v>1</v>
      </c>
      <c r="F139" t="s">
        <v>417</v>
      </c>
      <c r="G139" t="s">
        <v>499</v>
      </c>
      <c r="H139" t="s">
        <v>500</v>
      </c>
      <c r="I139" t="s">
        <v>432</v>
      </c>
      <c r="J139" t="s">
        <v>909</v>
      </c>
      <c r="K139" s="70">
        <v>7.4935102471300203E-5</v>
      </c>
    </row>
    <row r="140" spans="3:11" x14ac:dyDescent="0.25">
      <c r="D140" t="s">
        <v>1327</v>
      </c>
      <c r="E140">
        <v>1</v>
      </c>
      <c r="F140" t="s">
        <v>417</v>
      </c>
      <c r="G140" t="s">
        <v>499</v>
      </c>
      <c r="H140" t="s">
        <v>500</v>
      </c>
      <c r="I140" t="s">
        <v>432</v>
      </c>
      <c r="J140" t="s">
        <v>1264</v>
      </c>
      <c r="K140">
        <v>1.6544022713102499E-4</v>
      </c>
    </row>
    <row r="141" spans="3:11" x14ac:dyDescent="0.25">
      <c r="D141" t="s">
        <v>1328</v>
      </c>
      <c r="E141">
        <v>1</v>
      </c>
      <c r="F141" t="s">
        <v>417</v>
      </c>
      <c r="G141" t="s">
        <v>499</v>
      </c>
      <c r="H141" t="s">
        <v>500</v>
      </c>
      <c r="I141" t="s">
        <v>432</v>
      </c>
      <c r="J141" t="s">
        <v>1265</v>
      </c>
      <c r="K141">
        <v>1.32550893784773E-4</v>
      </c>
    </row>
    <row r="142" spans="3:11" x14ac:dyDescent="0.25">
      <c r="D142" t="s">
        <v>1329</v>
      </c>
      <c r="E142">
        <v>1</v>
      </c>
      <c r="F142" t="s">
        <v>417</v>
      </c>
      <c r="G142" t="s">
        <v>499</v>
      </c>
      <c r="H142" t="s">
        <v>500</v>
      </c>
      <c r="I142" t="s">
        <v>432</v>
      </c>
      <c r="J142" t="s">
        <v>1266</v>
      </c>
      <c r="K142" s="70">
        <v>9.8855266703975705E-5</v>
      </c>
    </row>
    <row r="143" spans="3:11" x14ac:dyDescent="0.25">
      <c r="D143" t="s">
        <v>1330</v>
      </c>
      <c r="E143">
        <v>1</v>
      </c>
      <c r="F143" t="s">
        <v>417</v>
      </c>
      <c r="G143" t="s">
        <v>499</v>
      </c>
      <c r="H143" t="s">
        <v>500</v>
      </c>
      <c r="I143" t="s">
        <v>432</v>
      </c>
      <c r="J143" t="s">
        <v>1267</v>
      </c>
      <c r="K143">
        <v>1.5471523742508801E-4</v>
      </c>
    </row>
    <row r="144" spans="3:11" x14ac:dyDescent="0.25">
      <c r="D144" t="s">
        <v>1331</v>
      </c>
      <c r="E144">
        <v>1</v>
      </c>
      <c r="F144" t="s">
        <v>417</v>
      </c>
      <c r="G144" t="s">
        <v>499</v>
      </c>
      <c r="H144" t="s">
        <v>500</v>
      </c>
      <c r="I144" t="s">
        <v>432</v>
      </c>
      <c r="J144" t="s">
        <v>1268</v>
      </c>
      <c r="K144" s="70">
        <v>6.9053611556827102E-5</v>
      </c>
    </row>
    <row r="145" spans="3:18" x14ac:dyDescent="0.25">
      <c r="D145" t="s">
        <v>1332</v>
      </c>
      <c r="E145">
        <v>1</v>
      </c>
      <c r="F145" t="s">
        <v>417</v>
      </c>
      <c r="G145" t="s">
        <v>499</v>
      </c>
      <c r="H145" t="s">
        <v>500</v>
      </c>
      <c r="I145" t="s">
        <v>432</v>
      </c>
      <c r="J145" t="s">
        <v>1252</v>
      </c>
      <c r="K145" s="70">
        <v>4.4703290102273003E-5</v>
      </c>
    </row>
    <row r="147" spans="3:18" x14ac:dyDescent="0.25">
      <c r="D147" t="s">
        <v>840</v>
      </c>
      <c r="E147" t="s">
        <v>423</v>
      </c>
      <c r="F147" t="s">
        <v>416</v>
      </c>
      <c r="G147" t="s">
        <v>415</v>
      </c>
      <c r="H147" t="s">
        <v>422</v>
      </c>
      <c r="I147" t="s">
        <v>418</v>
      </c>
      <c r="J147" t="s">
        <v>439</v>
      </c>
      <c r="K147" t="s">
        <v>1147</v>
      </c>
    </row>
    <row r="148" spans="3:18" x14ac:dyDescent="0.25">
      <c r="D148" t="s">
        <v>1451</v>
      </c>
      <c r="E148">
        <v>1</v>
      </c>
      <c r="F148" t="s">
        <v>417</v>
      </c>
      <c r="G148" t="s">
        <v>1449</v>
      </c>
      <c r="H148" t="s">
        <v>1448</v>
      </c>
      <c r="I148" t="s">
        <v>432</v>
      </c>
      <c r="J148" t="s">
        <v>909</v>
      </c>
      <c r="K148">
        <v>-9.8929249642282294E-3</v>
      </c>
    </row>
    <row r="149" spans="3:18" x14ac:dyDescent="0.25">
      <c r="D149" t="s">
        <v>1452</v>
      </c>
      <c r="E149">
        <v>1</v>
      </c>
      <c r="F149" t="s">
        <v>417</v>
      </c>
      <c r="G149" t="s">
        <v>1453</v>
      </c>
      <c r="H149" t="s">
        <v>1454</v>
      </c>
      <c r="I149" t="s">
        <v>432</v>
      </c>
      <c r="J149" t="s">
        <v>909</v>
      </c>
      <c r="K149">
        <v>0.39372435188934102</v>
      </c>
    </row>
    <row r="150" spans="3:18" x14ac:dyDescent="0.25">
      <c r="D150" t="s">
        <v>1455</v>
      </c>
      <c r="E150">
        <v>1</v>
      </c>
      <c r="F150" t="s">
        <v>417</v>
      </c>
      <c r="G150" t="s">
        <v>1456</v>
      </c>
      <c r="H150" t="s">
        <v>1450</v>
      </c>
      <c r="I150" t="s">
        <v>419</v>
      </c>
      <c r="J150" t="s">
        <v>909</v>
      </c>
      <c r="K150">
        <v>1.7927209307690199</v>
      </c>
    </row>
    <row r="151" spans="3:18" x14ac:dyDescent="0.25">
      <c r="D151" t="s">
        <v>1457</v>
      </c>
      <c r="E151">
        <v>1</v>
      </c>
      <c r="F151" t="s">
        <v>417</v>
      </c>
      <c r="G151" t="s">
        <v>532</v>
      </c>
      <c r="H151" t="s">
        <v>533</v>
      </c>
      <c r="I151" t="s">
        <v>432</v>
      </c>
      <c r="J151" t="s">
        <v>909</v>
      </c>
      <c r="K151">
        <v>-1.1427622344466801E-2</v>
      </c>
    </row>
    <row r="154" spans="3:18" x14ac:dyDescent="0.25">
      <c r="C154" t="s">
        <v>840</v>
      </c>
      <c r="D154" t="s">
        <v>423</v>
      </c>
      <c r="E154" t="s">
        <v>416</v>
      </c>
      <c r="F154" t="s">
        <v>415</v>
      </c>
      <c r="G154" t="s">
        <v>422</v>
      </c>
      <c r="H154" t="s">
        <v>418</v>
      </c>
      <c r="I154" t="s">
        <v>439</v>
      </c>
      <c r="J154" t="s">
        <v>1147</v>
      </c>
      <c r="K154" t="s">
        <v>1148</v>
      </c>
      <c r="L154" t="s">
        <v>1149</v>
      </c>
      <c r="M154" s="329" t="s">
        <v>1150</v>
      </c>
      <c r="N154" t="s">
        <v>1151</v>
      </c>
      <c r="O154" t="s">
        <v>1152</v>
      </c>
      <c r="P154" t="s">
        <v>1153</v>
      </c>
    </row>
    <row r="155" spans="3:18" x14ac:dyDescent="0.25">
      <c r="C155" t="s">
        <v>1900</v>
      </c>
      <c r="D155">
        <v>1</v>
      </c>
      <c r="E155" t="s">
        <v>433</v>
      </c>
      <c r="F155" t="s">
        <v>431</v>
      </c>
      <c r="G155" t="s">
        <v>1255</v>
      </c>
      <c r="H155" t="s">
        <v>432</v>
      </c>
      <c r="I155" t="s">
        <v>1171</v>
      </c>
      <c r="J155">
        <v>1.6584060573758899E-2</v>
      </c>
      <c r="K155">
        <v>9.6463463786685605E-2</v>
      </c>
      <c r="L155">
        <v>6.5668029471418199E-2</v>
      </c>
      <c r="M155" s="510">
        <v>2.8962454875991598E-7</v>
      </c>
      <c r="N155" s="70">
        <v>9.6060142071269395E-10</v>
      </c>
      <c r="O155" s="70">
        <v>1.90801346013669E-9</v>
      </c>
      <c r="P155" s="70">
        <v>5.5415855490188398E-5</v>
      </c>
      <c r="R155" s="70"/>
    </row>
    <row r="156" spans="3:18" x14ac:dyDescent="0.25">
      <c r="C156" t="s">
        <v>1284</v>
      </c>
      <c r="D156">
        <v>1</v>
      </c>
      <c r="E156" t="s">
        <v>433</v>
      </c>
      <c r="F156" t="s">
        <v>431</v>
      </c>
      <c r="G156" t="s">
        <v>1192</v>
      </c>
      <c r="H156" t="s">
        <v>432</v>
      </c>
      <c r="I156" t="s">
        <v>1171</v>
      </c>
      <c r="J156">
        <v>4.8410119656207597E-2</v>
      </c>
      <c r="K156">
        <v>0.12947677602759899</v>
      </c>
      <c r="L156">
        <v>0.108074226069935</v>
      </c>
      <c r="M156" s="510">
        <v>4.1465919846752199E-7</v>
      </c>
      <c r="N156" s="70">
        <v>4.2079498394363296E-9</v>
      </c>
      <c r="O156" s="70">
        <v>1.8511661733594601E-9</v>
      </c>
      <c r="P156" s="70">
        <v>9.9278976069397799E-5</v>
      </c>
      <c r="R156" s="70"/>
    </row>
    <row r="157" spans="3:18" x14ac:dyDescent="0.25">
      <c r="C157" t="s">
        <v>1902</v>
      </c>
      <c r="D157">
        <v>1</v>
      </c>
      <c r="E157" t="s">
        <v>433</v>
      </c>
      <c r="F157" t="s">
        <v>431</v>
      </c>
      <c r="G157" t="s">
        <v>1259</v>
      </c>
      <c r="H157" t="s">
        <v>432</v>
      </c>
      <c r="I157" t="s">
        <v>1171</v>
      </c>
      <c r="J157">
        <v>8.4488561457447903E-2</v>
      </c>
      <c r="K157">
        <v>0.17356514553246399</v>
      </c>
      <c r="L157">
        <v>0.14883166031706099</v>
      </c>
      <c r="M157" s="510">
        <v>6.2948690730927101E-7</v>
      </c>
      <c r="N157" s="70">
        <v>7.8523982972199793E-9</v>
      </c>
      <c r="O157" s="70">
        <v>1.56909730140862E-9</v>
      </c>
      <c r="P157">
        <v>1.4335830581452299E-4</v>
      </c>
      <c r="R157" s="70"/>
    </row>
    <row r="158" spans="3:18" x14ac:dyDescent="0.25">
      <c r="C158" t="s">
        <v>1904</v>
      </c>
      <c r="D158">
        <v>1</v>
      </c>
      <c r="E158" t="s">
        <v>433</v>
      </c>
      <c r="F158" t="s">
        <v>431</v>
      </c>
      <c r="G158" t="s">
        <v>1260</v>
      </c>
      <c r="H158" t="s">
        <v>432</v>
      </c>
      <c r="I158" t="s">
        <v>1171</v>
      </c>
      <c r="J158">
        <v>0.112878989498265</v>
      </c>
      <c r="K158">
        <v>0.223402462265444</v>
      </c>
      <c r="L158">
        <v>0.203300959165468</v>
      </c>
      <c r="M158" s="510">
        <v>9.1851755385847405E-7</v>
      </c>
      <c r="N158" s="70">
        <v>1.07967966429707E-8</v>
      </c>
      <c r="O158" s="70">
        <v>1.36338082997789E-9</v>
      </c>
      <c r="P158">
        <v>1.7943134706591599E-4</v>
      </c>
      <c r="R158" s="70"/>
    </row>
    <row r="159" spans="3:18" x14ac:dyDescent="0.25">
      <c r="C159" t="s">
        <v>1901</v>
      </c>
      <c r="D159">
        <v>1</v>
      </c>
      <c r="E159" t="s">
        <v>433</v>
      </c>
      <c r="F159" t="s">
        <v>431</v>
      </c>
      <c r="G159" t="s">
        <v>1261</v>
      </c>
      <c r="H159" t="s">
        <v>432</v>
      </c>
      <c r="I159" t="s">
        <v>1171</v>
      </c>
      <c r="J159">
        <v>2.61610425922475E-2</v>
      </c>
      <c r="K159">
        <v>0.175472262579907</v>
      </c>
      <c r="L159">
        <v>0.205739089411488</v>
      </c>
      <c r="M159" s="510">
        <v>7.8747724817301996E-7</v>
      </c>
      <c r="N159" s="70">
        <v>2.1586180698443801E-9</v>
      </c>
      <c r="O159" s="70">
        <v>2.0969822592612699E-9</v>
      </c>
      <c r="P159" s="70">
        <v>9.4610540903469602E-5</v>
      </c>
      <c r="R159" s="70"/>
    </row>
    <row r="160" spans="3:18" x14ac:dyDescent="0.25">
      <c r="C160" t="s">
        <v>1903</v>
      </c>
      <c r="D160">
        <v>1</v>
      </c>
      <c r="E160" t="s">
        <v>433</v>
      </c>
      <c r="F160" t="s">
        <v>431</v>
      </c>
      <c r="G160" t="s">
        <v>1262</v>
      </c>
      <c r="H160" t="s">
        <v>432</v>
      </c>
      <c r="I160" t="s">
        <v>1171</v>
      </c>
      <c r="J160">
        <v>3.0636019413625301E-2</v>
      </c>
      <c r="K160">
        <v>0.25469388753914801</v>
      </c>
      <c r="L160">
        <v>0.33715609034761002</v>
      </c>
      <c r="M160" s="510">
        <v>1.35739227207592E-6</v>
      </c>
      <c r="N160" s="70">
        <v>3.0890670413404499E-9</v>
      </c>
      <c r="O160" s="70">
        <v>2.0931433689984402E-9</v>
      </c>
      <c r="P160">
        <v>1.2227940269400701E-4</v>
      </c>
      <c r="R160" s="70"/>
    </row>
    <row r="161" spans="3:18" x14ac:dyDescent="0.25">
      <c r="C161" t="s">
        <v>1899</v>
      </c>
      <c r="D161">
        <v>1</v>
      </c>
      <c r="E161" t="s">
        <v>433</v>
      </c>
      <c r="F161" t="s">
        <v>431</v>
      </c>
      <c r="G161" t="s">
        <v>1263</v>
      </c>
      <c r="H161" t="s">
        <v>432</v>
      </c>
      <c r="I161" t="s">
        <v>1171</v>
      </c>
      <c r="J161">
        <v>3.27453801360841E-2</v>
      </c>
      <c r="K161">
        <v>0.34407472443674503</v>
      </c>
      <c r="L161">
        <v>0.47892328443129301</v>
      </c>
      <c r="M161" s="510">
        <v>1.9523738011915399E-6</v>
      </c>
      <c r="N161" s="70">
        <v>3.8271817448310097E-9</v>
      </c>
      <c r="O161" s="70">
        <v>3.2129839410024002E-9</v>
      </c>
      <c r="P161">
        <v>1.62625538667014E-4</v>
      </c>
      <c r="R161" s="70"/>
    </row>
    <row r="162" spans="3:18" x14ac:dyDescent="0.25">
      <c r="C162" t="s">
        <v>1285</v>
      </c>
      <c r="D162">
        <v>1</v>
      </c>
      <c r="E162" t="s">
        <v>433</v>
      </c>
      <c r="F162" t="s">
        <v>505</v>
      </c>
      <c r="G162" t="s">
        <v>506</v>
      </c>
      <c r="H162" t="s">
        <v>432</v>
      </c>
      <c r="I162" t="s">
        <v>909</v>
      </c>
      <c r="J162">
        <v>3.32840433370492E-2</v>
      </c>
      <c r="K162">
        <v>0.65070767492604698</v>
      </c>
      <c r="L162">
        <v>1.16561510883971</v>
      </c>
      <c r="M162" s="510">
        <v>4.1870801841296598E-6</v>
      </c>
      <c r="N162" s="70">
        <v>1.28761248079914E-9</v>
      </c>
      <c r="O162" s="70">
        <v>2.8190635327070402E-9</v>
      </c>
      <c r="P162">
        <v>1.6278018477426201E-4</v>
      </c>
    </row>
    <row r="163" spans="3:18" x14ac:dyDescent="0.25">
      <c r="C163" t="s">
        <v>1286</v>
      </c>
      <c r="D163">
        <v>1</v>
      </c>
      <c r="E163" t="s">
        <v>433</v>
      </c>
      <c r="F163" t="s">
        <v>431</v>
      </c>
      <c r="G163" t="s">
        <v>1287</v>
      </c>
      <c r="H163" t="s">
        <v>432</v>
      </c>
      <c r="I163" t="s">
        <v>909</v>
      </c>
      <c r="J163">
        <v>8.2319679057797999E-3</v>
      </c>
      <c r="K163">
        <v>6.6735738075033899E-2</v>
      </c>
      <c r="L163">
        <v>0.22323660343900001</v>
      </c>
      <c r="M163" s="510">
        <v>6.0785076071021101E-8</v>
      </c>
      <c r="N163" s="70">
        <v>1.6895089333304299E-10</v>
      </c>
      <c r="O163" s="70">
        <v>1.5264665944023201E-9</v>
      </c>
      <c r="P163" s="70">
        <v>4.9733958273417797E-5</v>
      </c>
    </row>
    <row r="164" spans="3:18" x14ac:dyDescent="0.25">
      <c r="C164" t="s">
        <v>1290</v>
      </c>
      <c r="D164">
        <v>1</v>
      </c>
      <c r="E164" t="s">
        <v>433</v>
      </c>
      <c r="F164" t="s">
        <v>431</v>
      </c>
      <c r="G164" t="s">
        <v>842</v>
      </c>
      <c r="H164" t="s">
        <v>432</v>
      </c>
      <c r="I164" t="s">
        <v>909</v>
      </c>
      <c r="J164">
        <v>3.7453943378596101E-3</v>
      </c>
      <c r="K164">
        <v>4.6869296392422197E-2</v>
      </c>
      <c r="L164">
        <v>-6.2492623809148797E-3</v>
      </c>
      <c r="M164" s="510">
        <v>1.7071395503342101E-8</v>
      </c>
      <c r="N164" s="70">
        <v>2.4235865568658802E-11</v>
      </c>
      <c r="O164" s="70">
        <v>4.7526419609627399E-10</v>
      </c>
      <c r="P164" s="70">
        <v>1.7413829656873399E-5</v>
      </c>
    </row>
    <row r="165" spans="3:18" x14ac:dyDescent="0.25">
      <c r="C165" t="s">
        <v>1288</v>
      </c>
      <c r="D165">
        <v>1</v>
      </c>
      <c r="E165" t="s">
        <v>433</v>
      </c>
      <c r="F165" t="s">
        <v>480</v>
      </c>
      <c r="G165" t="s">
        <v>1034</v>
      </c>
      <c r="H165" t="s">
        <v>432</v>
      </c>
      <c r="I165" t="s">
        <v>909</v>
      </c>
      <c r="J165">
        <v>2.33167985403466E-2</v>
      </c>
      <c r="K165">
        <v>0.27980726115235099</v>
      </c>
      <c r="L165">
        <v>1.04428337176611</v>
      </c>
      <c r="M165" s="510">
        <v>6.0288734288702605E-7</v>
      </c>
      <c r="N165" s="70">
        <v>8.8880277983063399E-10</v>
      </c>
      <c r="O165" s="70">
        <v>1.7781374769359199E-9</v>
      </c>
      <c r="P165" s="70">
        <v>8.7927918688659895E-5</v>
      </c>
    </row>
    <row r="166" spans="3:18" x14ac:dyDescent="0.25">
      <c r="C166" t="s">
        <v>1289</v>
      </c>
      <c r="D166">
        <v>1</v>
      </c>
      <c r="E166" t="s">
        <v>433</v>
      </c>
      <c r="F166" t="s">
        <v>431</v>
      </c>
      <c r="G166" t="s">
        <v>844</v>
      </c>
      <c r="H166" t="s">
        <v>432</v>
      </c>
      <c r="I166" t="s">
        <v>909</v>
      </c>
      <c r="J166">
        <v>2.0408812202523299E-2</v>
      </c>
      <c r="K166">
        <v>0.113750924009374</v>
      </c>
      <c r="L166">
        <v>1.02409405909372</v>
      </c>
      <c r="M166" s="510">
        <v>1.9824184777474399E-7</v>
      </c>
      <c r="N166" s="70">
        <v>4.9059580255368703E-10</v>
      </c>
      <c r="O166" s="70">
        <v>1.6113011724849801E-9</v>
      </c>
      <c r="P166" s="70">
        <v>7.5665744538927095E-5</v>
      </c>
    </row>
    <row r="184" spans="1:35" x14ac:dyDescent="0.25">
      <c r="A184" s="420"/>
      <c r="B184" s="420"/>
      <c r="C184" s="420" t="s">
        <v>1885</v>
      </c>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row>
    <row r="187" spans="1:35" x14ac:dyDescent="0.25">
      <c r="C187" s="9"/>
      <c r="D187" s="9" t="s">
        <v>1459</v>
      </c>
      <c r="E187" s="9"/>
      <c r="F187" s="9"/>
      <c r="G187" s="9"/>
      <c r="H187" s="9"/>
      <c r="I187" s="9"/>
    </row>
    <row r="188" spans="1:35" x14ac:dyDescent="0.25">
      <c r="C188" s="9"/>
      <c r="D188" s="9"/>
      <c r="E188" s="9"/>
      <c r="F188" s="9"/>
      <c r="G188" s="9"/>
      <c r="H188" s="9"/>
      <c r="I188" s="9"/>
    </row>
    <row r="189" spans="1:35" x14ac:dyDescent="0.25">
      <c r="C189" t="s">
        <v>1551</v>
      </c>
    </row>
    <row r="190" spans="1:35" x14ac:dyDescent="0.25">
      <c r="C190" s="9" t="s">
        <v>1293</v>
      </c>
      <c r="D190" s="9"/>
      <c r="E190" s="9"/>
      <c r="F190" s="9"/>
      <c r="G190" s="9"/>
      <c r="H190" s="9"/>
      <c r="I190" s="9"/>
    </row>
    <row r="191" spans="1:35" x14ac:dyDescent="0.25">
      <c r="C191" s="9" t="s">
        <v>1294</v>
      </c>
    </row>
    <row r="192" spans="1:35" x14ac:dyDescent="0.25">
      <c r="C192" s="9" t="s">
        <v>1295</v>
      </c>
      <c r="D192" s="9"/>
      <c r="E192" s="9"/>
      <c r="F192" s="9"/>
      <c r="G192" s="9"/>
      <c r="H192" s="9"/>
      <c r="I192" s="9"/>
    </row>
    <row r="193" spans="3:6" x14ac:dyDescent="0.25">
      <c r="C193" s="9" t="s">
        <v>1296</v>
      </c>
    </row>
    <row r="194" spans="3:6" x14ac:dyDescent="0.25">
      <c r="C194" s="9" t="s">
        <v>1297</v>
      </c>
    </row>
    <row r="195" spans="3:6" x14ac:dyDescent="0.25">
      <c r="C195" s="9" t="s">
        <v>1298</v>
      </c>
    </row>
    <row r="203" spans="3:6" x14ac:dyDescent="0.25">
      <c r="C203" t="s">
        <v>1562</v>
      </c>
    </row>
    <row r="204" spans="3:6" x14ac:dyDescent="0.25">
      <c r="C204" s="9"/>
      <c r="D204" s="9"/>
      <c r="E204" s="9"/>
      <c r="F204" s="9"/>
    </row>
    <row r="205" spans="3:6" x14ac:dyDescent="0.25">
      <c r="C205" t="s">
        <v>675</v>
      </c>
      <c r="D205">
        <f>M220*1000</f>
        <v>37.898065602633402</v>
      </c>
    </row>
    <row r="206" spans="3:6" x14ac:dyDescent="0.25">
      <c r="C206" t="s">
        <v>1563</v>
      </c>
      <c r="D206">
        <v>50</v>
      </c>
    </row>
    <row r="207" spans="3:6" x14ac:dyDescent="0.25">
      <c r="C207" t="s">
        <v>713</v>
      </c>
      <c r="D207">
        <f>M214*1000</f>
        <v>6.3168766692017</v>
      </c>
    </row>
    <row r="208" spans="3:6" x14ac:dyDescent="0.25">
      <c r="C208" s="9" t="s">
        <v>1564</v>
      </c>
      <c r="D208" s="9">
        <f>M219*1000</f>
        <v>6.4703980357316402</v>
      </c>
      <c r="E208" s="9"/>
      <c r="F208" s="9"/>
    </row>
    <row r="209" spans="3:13" x14ac:dyDescent="0.25">
      <c r="C209" t="s">
        <v>1565</v>
      </c>
      <c r="D209">
        <f>M218*1000</f>
        <v>3.7453943378596102</v>
      </c>
    </row>
    <row r="210" spans="3:13" x14ac:dyDescent="0.25">
      <c r="C210" s="9" t="s">
        <v>1566</v>
      </c>
      <c r="D210" s="9">
        <f>Y24</f>
        <v>8.0894426652427285</v>
      </c>
      <c r="E210" s="9"/>
      <c r="F210" s="9"/>
    </row>
    <row r="213" spans="3:13" x14ac:dyDescent="0.25">
      <c r="C213" t="s">
        <v>840</v>
      </c>
      <c r="I213" t="s">
        <v>423</v>
      </c>
      <c r="J213" t="s">
        <v>416</v>
      </c>
      <c r="K213" t="s">
        <v>418</v>
      </c>
      <c r="L213" t="s">
        <v>439</v>
      </c>
      <c r="M213" t="s">
        <v>1147</v>
      </c>
    </row>
    <row r="214" spans="3:13" x14ac:dyDescent="0.25">
      <c r="C214" t="s">
        <v>1567</v>
      </c>
      <c r="I214">
        <v>1</v>
      </c>
      <c r="J214" t="s">
        <v>433</v>
      </c>
      <c r="K214" t="s">
        <v>432</v>
      </c>
      <c r="L214" t="s">
        <v>909</v>
      </c>
      <c r="M214">
        <v>6.3168766692017E-3</v>
      </c>
    </row>
    <row r="215" spans="3:13" x14ac:dyDescent="0.25">
      <c r="C215" t="s">
        <v>1568</v>
      </c>
      <c r="I215">
        <v>1</v>
      </c>
      <c r="J215" t="s">
        <v>433</v>
      </c>
      <c r="K215" t="s">
        <v>432</v>
      </c>
      <c r="L215" t="s">
        <v>909</v>
      </c>
      <c r="M215">
        <v>5.5098845097631799E-2</v>
      </c>
    </row>
    <row r="216" spans="3:13" x14ac:dyDescent="0.25">
      <c r="C216" t="s">
        <v>1569</v>
      </c>
      <c r="I216">
        <v>1</v>
      </c>
      <c r="J216" t="s">
        <v>433</v>
      </c>
      <c r="K216" t="s">
        <v>432</v>
      </c>
      <c r="L216" t="s">
        <v>909</v>
      </c>
      <c r="M216">
        <v>1.9759288935319499E-2</v>
      </c>
    </row>
    <row r="217" spans="3:13" x14ac:dyDescent="0.25">
      <c r="C217" t="s">
        <v>1570</v>
      </c>
      <c r="I217">
        <v>1</v>
      </c>
      <c r="J217" t="s">
        <v>433</v>
      </c>
      <c r="K217" t="s">
        <v>432</v>
      </c>
      <c r="L217" t="s">
        <v>909</v>
      </c>
      <c r="M217">
        <v>5.9085543486065897E-3</v>
      </c>
    </row>
    <row r="218" spans="3:13" x14ac:dyDescent="0.25">
      <c r="C218" t="s">
        <v>1290</v>
      </c>
      <c r="I218">
        <v>1</v>
      </c>
      <c r="J218" t="s">
        <v>433</v>
      </c>
      <c r="K218" t="s">
        <v>432</v>
      </c>
      <c r="L218" t="s">
        <v>909</v>
      </c>
      <c r="M218">
        <v>3.7453943378596101E-3</v>
      </c>
    </row>
    <row r="219" spans="3:13" x14ac:dyDescent="0.25">
      <c r="C219" t="s">
        <v>1571</v>
      </c>
      <c r="I219">
        <v>1</v>
      </c>
      <c r="J219" t="s">
        <v>433</v>
      </c>
      <c r="K219" t="s">
        <v>432</v>
      </c>
      <c r="L219" t="s">
        <v>909</v>
      </c>
      <c r="M219">
        <v>6.4703980357316403E-3</v>
      </c>
    </row>
    <row r="220" spans="3:13" x14ac:dyDescent="0.25">
      <c r="C220" t="s">
        <v>1572</v>
      </c>
      <c r="I220">
        <v>1</v>
      </c>
      <c r="J220" t="s">
        <v>433</v>
      </c>
      <c r="K220" t="s">
        <v>432</v>
      </c>
      <c r="L220" t="s">
        <v>909</v>
      </c>
      <c r="M220">
        <v>3.7898065602633403E-2</v>
      </c>
    </row>
    <row r="221" spans="3:13" x14ac:dyDescent="0.25">
      <c r="C221" t="s">
        <v>1573</v>
      </c>
      <c r="I221">
        <v>1</v>
      </c>
      <c r="J221" t="s">
        <v>433</v>
      </c>
      <c r="K221" t="s">
        <v>432</v>
      </c>
      <c r="L221" t="s">
        <v>909</v>
      </c>
      <c r="M221">
        <v>8.1053239018234496E-2</v>
      </c>
    </row>
    <row r="225" spans="1:35" x14ac:dyDescent="0.25">
      <c r="C225" s="9"/>
      <c r="D225" s="9"/>
      <c r="E225" s="9"/>
      <c r="J225" s="9"/>
      <c r="K225" s="9"/>
      <c r="L225" s="9"/>
      <c r="M225" s="9"/>
      <c r="N225" s="9"/>
    </row>
    <row r="227" spans="1:35" x14ac:dyDescent="0.25">
      <c r="A227" s="329"/>
      <c r="B227" s="329"/>
      <c r="C227" s="420" t="s">
        <v>1886</v>
      </c>
      <c r="D227" s="420"/>
      <c r="E227" s="420"/>
      <c r="F227" s="329"/>
      <c r="G227" s="329"/>
      <c r="H227" s="329"/>
      <c r="I227" s="329"/>
      <c r="J227" s="420"/>
      <c r="K227" s="420"/>
      <c r="L227" s="420"/>
      <c r="M227" s="420"/>
      <c r="N227" s="420"/>
      <c r="O227" s="329"/>
      <c r="P227" s="329"/>
      <c r="Q227" s="329"/>
      <c r="R227" s="329"/>
      <c r="S227" s="329"/>
      <c r="T227" s="329"/>
      <c r="U227" s="329"/>
      <c r="V227" s="329"/>
      <c r="W227" s="329"/>
      <c r="X227" s="329"/>
      <c r="Y227" s="329"/>
      <c r="Z227" s="329"/>
      <c r="AA227" s="329"/>
      <c r="AB227" s="329"/>
      <c r="AC227" s="329"/>
      <c r="AD227" s="329"/>
      <c r="AE227" s="329"/>
      <c r="AF227" s="329"/>
      <c r="AG227" s="329"/>
      <c r="AH227" s="329"/>
      <c r="AI227" s="329"/>
    </row>
    <row r="228" spans="1:35" x14ac:dyDescent="0.25">
      <c r="C228" s="9"/>
      <c r="D228" s="9"/>
      <c r="E228" s="9"/>
      <c r="F228" s="9"/>
      <c r="G228" s="9"/>
      <c r="H228" s="9"/>
      <c r="I228" s="9"/>
      <c r="J228" s="9"/>
      <c r="K228" s="9"/>
      <c r="L228" s="9"/>
      <c r="M228" s="9"/>
      <c r="N228" s="9"/>
    </row>
  </sheetData>
  <autoFilter ref="I47:V67" xr:uid="{62980299-CD8E-46FE-8182-8202C49CA977}">
    <sortState xmlns:xlrd2="http://schemas.microsoft.com/office/spreadsheetml/2017/richdata2" ref="I48:V67">
      <sortCondition ref="I47:I67"/>
    </sortState>
  </autoFilter>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8809-9E6F-4F61-882B-BA2149361EA6}">
  <dimension ref="A1:I167"/>
  <sheetViews>
    <sheetView workbookViewId="0"/>
  </sheetViews>
  <sheetFormatPr defaultRowHeight="15" x14ac:dyDescent="0.25"/>
  <cols>
    <col min="1" max="1" width="41.140625" customWidth="1"/>
    <col min="2" max="2" width="22.28515625" customWidth="1"/>
    <col min="3" max="3" width="17.140625" bestFit="1" customWidth="1"/>
    <col min="4" max="4" width="11.85546875" bestFit="1" customWidth="1"/>
    <col min="5" max="5" width="13.28515625" bestFit="1" customWidth="1"/>
    <col min="6" max="6" width="61.7109375" customWidth="1"/>
  </cols>
  <sheetData>
    <row r="1" spans="1:9" x14ac:dyDescent="0.25">
      <c r="A1" s="62" t="s">
        <v>426</v>
      </c>
      <c r="B1" s="62" t="s">
        <v>438</v>
      </c>
      <c r="D1" s="64"/>
      <c r="E1" s="64"/>
      <c r="F1" s="64"/>
      <c r="G1" s="64"/>
      <c r="H1" s="64"/>
      <c r="I1" s="64"/>
    </row>
    <row r="2" spans="1:9" x14ac:dyDescent="0.25">
      <c r="A2" s="63"/>
      <c r="B2" s="63"/>
      <c r="C2" s="63"/>
      <c r="D2" s="63"/>
      <c r="E2" s="63"/>
      <c r="F2" s="63"/>
      <c r="G2" s="63"/>
      <c r="H2" s="63"/>
      <c r="I2" s="63"/>
    </row>
    <row r="3" spans="1:9" x14ac:dyDescent="0.25">
      <c r="A3" s="63"/>
      <c r="B3" s="63"/>
      <c r="C3" s="63"/>
      <c r="D3" s="63"/>
      <c r="E3" s="63"/>
      <c r="F3" s="63"/>
      <c r="G3" s="63"/>
      <c r="H3" s="63"/>
      <c r="I3" s="63"/>
    </row>
    <row r="4" spans="1:9" x14ac:dyDescent="0.25">
      <c r="A4" s="335" t="s">
        <v>413</v>
      </c>
      <c r="B4" s="362" t="str">
        <f>A12</f>
        <v>well construction, plasma pulse geothermal drilling, advanced geothermal system, 6000 m vertical, per m</v>
      </c>
      <c r="C4" s="362"/>
      <c r="D4" s="362"/>
      <c r="E4" s="362"/>
      <c r="F4" s="362"/>
      <c r="G4" s="362"/>
      <c r="H4" s="362"/>
      <c r="I4" s="362"/>
    </row>
    <row r="5" spans="1:9" x14ac:dyDescent="0.25">
      <c r="A5" s="64" t="s">
        <v>415</v>
      </c>
      <c r="B5" s="63" t="str">
        <f>B12</f>
        <v>well, constructed, plasma pulse geothermal drilling, advanced geothermal system, 6000 m vertical, per m</v>
      </c>
      <c r="C5" s="63"/>
      <c r="D5" s="63"/>
      <c r="E5" s="63"/>
      <c r="F5" s="63"/>
      <c r="G5" s="63"/>
      <c r="H5" s="63"/>
      <c r="I5" s="63"/>
    </row>
    <row r="6" spans="1:9" x14ac:dyDescent="0.25">
      <c r="A6" s="64" t="s">
        <v>416</v>
      </c>
      <c r="B6" s="63" t="str">
        <f>C12</f>
        <v>meter</v>
      </c>
      <c r="C6" s="63"/>
      <c r="D6" s="63"/>
      <c r="E6" s="63"/>
      <c r="F6" s="63"/>
      <c r="G6" s="63"/>
      <c r="H6" s="63"/>
      <c r="I6" s="63"/>
    </row>
    <row r="7" spans="1:9" x14ac:dyDescent="0.25">
      <c r="A7" s="64" t="s">
        <v>418</v>
      </c>
      <c r="B7" s="63" t="str">
        <f>E12</f>
        <v>CH</v>
      </c>
      <c r="C7" s="63"/>
      <c r="D7" s="63"/>
      <c r="E7" s="63"/>
      <c r="F7" s="63"/>
      <c r="G7" s="63"/>
      <c r="H7" s="63"/>
      <c r="I7" s="63"/>
    </row>
    <row r="8" spans="1:9" x14ac:dyDescent="0.25">
      <c r="A8" s="64" t="s">
        <v>414</v>
      </c>
      <c r="B8" s="63">
        <f>D12</f>
        <v>1</v>
      </c>
      <c r="C8" s="63"/>
      <c r="D8" s="63"/>
      <c r="E8" s="63"/>
      <c r="F8" s="63"/>
      <c r="G8" s="63"/>
      <c r="H8" s="63"/>
      <c r="I8" s="63"/>
    </row>
    <row r="9" spans="1:9" x14ac:dyDescent="0.25">
      <c r="A9" s="64" t="s">
        <v>420</v>
      </c>
      <c r="B9" s="349" t="s">
        <v>2109</v>
      </c>
      <c r="C9" s="63"/>
      <c r="D9" s="63"/>
      <c r="E9" s="63"/>
      <c r="F9" s="63"/>
      <c r="G9" s="63"/>
      <c r="H9" s="63"/>
      <c r="I9" s="63"/>
    </row>
    <row r="10" spans="1:9" x14ac:dyDescent="0.25">
      <c r="A10" s="62" t="s">
        <v>421</v>
      </c>
      <c r="B10" s="63"/>
      <c r="C10" s="63"/>
      <c r="D10" s="63"/>
      <c r="E10" s="63"/>
      <c r="F10" s="63"/>
      <c r="G10" s="63"/>
      <c r="H10" s="63"/>
      <c r="I10" s="63"/>
    </row>
    <row r="11" spans="1:9" x14ac:dyDescent="0.25">
      <c r="A11" s="62" t="s">
        <v>422</v>
      </c>
      <c r="B11" s="62" t="s">
        <v>415</v>
      </c>
      <c r="C11" s="62" t="s">
        <v>416</v>
      </c>
      <c r="D11" s="62" t="s">
        <v>423</v>
      </c>
      <c r="E11" s="62" t="s">
        <v>418</v>
      </c>
      <c r="F11" s="62" t="s">
        <v>439</v>
      </c>
      <c r="G11" s="62" t="s">
        <v>425</v>
      </c>
      <c r="H11" s="62" t="s">
        <v>424</v>
      </c>
      <c r="I11" s="62" t="s">
        <v>420</v>
      </c>
    </row>
    <row r="12" spans="1:9" x14ac:dyDescent="0.25">
      <c r="A12" s="348" t="str">
        <f>Plant_parameters!G41</f>
        <v>well construction, plasma pulse geothermal drilling, advanced geothermal system, 6000 m vertical, per m</v>
      </c>
      <c r="B12" s="348" t="str">
        <f>Plant_parameters!H41</f>
        <v>well, constructed, plasma pulse geothermal drilling, advanced geothermal system, 6000 m vertical, per m</v>
      </c>
      <c r="C12" s="348" t="str">
        <f>Plant_parameters!I41</f>
        <v>meter</v>
      </c>
      <c r="D12" s="63">
        <v>1</v>
      </c>
      <c r="E12" s="63" t="s">
        <v>432</v>
      </c>
      <c r="F12" s="63" t="str">
        <f>$B$1</f>
        <v>ags</v>
      </c>
      <c r="G12" s="63" t="s">
        <v>427</v>
      </c>
      <c r="H12" s="63"/>
      <c r="I12" s="63"/>
    </row>
    <row r="13" spans="1:9" x14ac:dyDescent="0.25">
      <c r="A13" s="364" t="s">
        <v>1034</v>
      </c>
      <c r="B13" s="364" t="s">
        <v>480</v>
      </c>
      <c r="C13" s="364" t="s">
        <v>433</v>
      </c>
      <c r="D13" s="365">
        <f>'Drilling - energy_material_6km'!O78*(1-diesel)</f>
        <v>131.99511111111113</v>
      </c>
      <c r="E13" s="364" t="s">
        <v>432</v>
      </c>
      <c r="F13" s="364" t="str">
        <f t="shared" ref="F13:F21" si="0">ecoinventv310</f>
        <v>ecoinvent-3.10.1-cutoff</v>
      </c>
      <c r="G13" s="358" t="s">
        <v>429</v>
      </c>
      <c r="H13" s="364"/>
      <c r="I13" s="364" t="s">
        <v>1071</v>
      </c>
    </row>
    <row r="14" spans="1:9" x14ac:dyDescent="0.25">
      <c r="A14" s="50" t="s">
        <v>460</v>
      </c>
      <c r="B14" s="50" t="s">
        <v>461</v>
      </c>
      <c r="C14" s="364" t="s">
        <v>417</v>
      </c>
      <c r="D14" s="365">
        <f>'Drilling - energy_material_6km'!AL50</f>
        <v>66.863406067743341</v>
      </c>
      <c r="E14" s="358" t="s">
        <v>462</v>
      </c>
      <c r="F14" s="364" t="str">
        <f t="shared" si="0"/>
        <v>ecoinvent-3.10.1-cutoff</v>
      </c>
      <c r="G14" s="358" t="s">
        <v>429</v>
      </c>
      <c r="H14" s="364"/>
      <c r="I14" s="364" t="s">
        <v>1048</v>
      </c>
    </row>
    <row r="15" spans="1:9" x14ac:dyDescent="0.25">
      <c r="A15" s="364" t="str">
        <f>mapping!F11</f>
        <v>market for cement, Portland</v>
      </c>
      <c r="B15" s="364" t="str">
        <f>mapping!E11</f>
        <v>cement, Portland</v>
      </c>
      <c r="C15" s="364" t="str">
        <f>mapping!H11</f>
        <v>kilogram</v>
      </c>
      <c r="D15" s="365">
        <f>'Drilling - energy_material_6km'!AJ50</f>
        <v>70.600717765988477</v>
      </c>
      <c r="E15" s="364" t="str">
        <f>mapping!G11</f>
        <v>Europe without Switzerland</v>
      </c>
      <c r="F15" s="364" t="str">
        <f t="shared" si="0"/>
        <v>ecoinvent-3.10.1-cutoff</v>
      </c>
      <c r="G15" s="358" t="s">
        <v>429</v>
      </c>
      <c r="H15" s="364"/>
      <c r="I15" s="358" t="s">
        <v>1780</v>
      </c>
    </row>
    <row r="16" spans="1:9" x14ac:dyDescent="0.25">
      <c r="A16" s="50" t="s">
        <v>500</v>
      </c>
      <c r="B16" s="50" t="s">
        <v>499</v>
      </c>
      <c r="C16" s="50" t="s">
        <v>417</v>
      </c>
      <c r="D16" s="365">
        <f>'Drilling - energy_material_6km'!AK50</f>
        <v>28.240287106395392</v>
      </c>
      <c r="E16" s="50" t="s">
        <v>432</v>
      </c>
      <c r="F16" s="364" t="str">
        <f t="shared" si="0"/>
        <v>ecoinvent-3.10.1-cutoff</v>
      </c>
      <c r="G16" s="358" t="s">
        <v>429</v>
      </c>
      <c r="H16" s="364"/>
      <c r="I16" s="358" t="s">
        <v>1781</v>
      </c>
    </row>
    <row r="17" spans="1:9" x14ac:dyDescent="0.25">
      <c r="A17" s="63" t="s">
        <v>1063</v>
      </c>
      <c r="B17" s="348" t="s">
        <v>1062</v>
      </c>
      <c r="C17" s="63" t="s">
        <v>417</v>
      </c>
      <c r="D17" s="63">
        <v>0</v>
      </c>
      <c r="E17" s="63" t="s">
        <v>419</v>
      </c>
      <c r="F17" s="63" t="str">
        <f t="shared" si="0"/>
        <v>ecoinvent-3.10.1-cutoff</v>
      </c>
      <c r="G17" s="65" t="s">
        <v>429</v>
      </c>
      <c r="H17" s="63"/>
      <c r="I17" s="63" t="s">
        <v>1066</v>
      </c>
    </row>
    <row r="18" spans="1:9" x14ac:dyDescent="0.25">
      <c r="A18" s="63" t="s">
        <v>1065</v>
      </c>
      <c r="B18" s="348" t="s">
        <v>1064</v>
      </c>
      <c r="C18" s="63" t="s">
        <v>416</v>
      </c>
      <c r="D18">
        <v>0</v>
      </c>
      <c r="E18" s="65" t="s">
        <v>432</v>
      </c>
      <c r="F18" s="63" t="str">
        <f t="shared" si="0"/>
        <v>ecoinvent-3.10.1-cutoff</v>
      </c>
      <c r="G18" s="65" t="s">
        <v>429</v>
      </c>
      <c r="H18" s="63"/>
      <c r="I18" s="63" t="s">
        <v>1067</v>
      </c>
    </row>
    <row r="19" spans="1:9" x14ac:dyDescent="0.25">
      <c r="A19" s="364" t="s">
        <v>506</v>
      </c>
      <c r="B19" s="364" t="s">
        <v>505</v>
      </c>
      <c r="C19" s="364" t="s">
        <v>433</v>
      </c>
      <c r="D19" s="364">
        <v>0</v>
      </c>
      <c r="E19" s="364" t="s">
        <v>432</v>
      </c>
      <c r="F19" s="364" t="str">
        <f t="shared" si="0"/>
        <v>ecoinvent-3.10.1-cutoff</v>
      </c>
      <c r="G19" s="358" t="s">
        <v>429</v>
      </c>
      <c r="H19" s="364"/>
      <c r="I19" s="358" t="s">
        <v>1068</v>
      </c>
    </row>
    <row r="20" spans="1:9" x14ac:dyDescent="0.25">
      <c r="A20" s="63" t="s">
        <v>1069</v>
      </c>
      <c r="B20" s="348" t="s">
        <v>1069</v>
      </c>
      <c r="C20" s="65" t="s">
        <v>434</v>
      </c>
      <c r="D20" s="66">
        <f>('Drilling - energy_material_6km'!O78*MJ_per_kWh*diesel)/0.4</f>
        <v>24.244000000000003</v>
      </c>
      <c r="E20" s="63" t="s">
        <v>462</v>
      </c>
      <c r="F20" s="63" t="str">
        <f t="shared" si="0"/>
        <v>ecoinvent-3.10.1-cutoff</v>
      </c>
      <c r="G20" s="65" t="s">
        <v>429</v>
      </c>
      <c r="H20" s="63"/>
      <c r="I20" s="65" t="s">
        <v>1070</v>
      </c>
    </row>
    <row r="21" spans="1:9" x14ac:dyDescent="0.25">
      <c r="A21" t="s">
        <v>1073</v>
      </c>
      <c r="B21" s="65" t="s">
        <v>1072</v>
      </c>
      <c r="C21" t="s">
        <v>417</v>
      </c>
      <c r="D21" s="66">
        <f>-('Drilling - energy_material_6km'!W46*'Drilling - energy_material_6km'!AH75)/'Drilling - energy_material_6km'!O45</f>
        <v>-256.42090325816093</v>
      </c>
      <c r="E21" t="s">
        <v>432</v>
      </c>
      <c r="F21" s="63" t="str">
        <f t="shared" si="0"/>
        <v>ecoinvent-3.10.1-cutoff</v>
      </c>
      <c r="G21" s="65" t="s">
        <v>429</v>
      </c>
      <c r="H21" s="63"/>
      <c r="I21" s="65" t="s">
        <v>1440</v>
      </c>
    </row>
    <row r="22" spans="1:9" x14ac:dyDescent="0.25">
      <c r="A22" s="50" t="str">
        <f>A72</f>
        <v>drilling rig construction, plasma pulse geothermal drilling</v>
      </c>
      <c r="B22" s="50" t="str">
        <f>B72</f>
        <v>drilling rig, plasma pulse geothermal drilling</v>
      </c>
      <c r="C22" s="50" t="str">
        <f>C72</f>
        <v>unit</v>
      </c>
      <c r="D22" s="426">
        <f>1/'Drilling - energy_material_6km'!O47</f>
        <v>1.8518518518518518E-5</v>
      </c>
      <c r="E22" s="50" t="str">
        <f>E72</f>
        <v>CH</v>
      </c>
      <c r="F22" s="50" t="str">
        <f>F72</f>
        <v>ags</v>
      </c>
      <c r="G22" s="50" t="s">
        <v>429</v>
      </c>
      <c r="H22" s="364"/>
      <c r="I22" s="358"/>
    </row>
    <row r="23" spans="1:9" s="350" customFormat="1" x14ac:dyDescent="0.25">
      <c r="D23" s="508"/>
      <c r="H23" s="348"/>
      <c r="I23" s="397"/>
    </row>
    <row r="24" spans="1:9" s="350" customFormat="1" x14ac:dyDescent="0.25">
      <c r="D24" s="508"/>
      <c r="H24" s="348"/>
      <c r="I24" s="397"/>
    </row>
    <row r="25" spans="1:9" x14ac:dyDescent="0.25">
      <c r="A25" s="335" t="s">
        <v>413</v>
      </c>
      <c r="B25" s="362" t="str">
        <f>A33</f>
        <v>well construction, plasma pulse geothermal drilling, advanced geothermal system, 42000 m horizontal, per m</v>
      </c>
      <c r="C25" s="362"/>
      <c r="D25" s="362"/>
      <c r="E25" s="362"/>
      <c r="F25" s="362"/>
      <c r="G25" s="362"/>
      <c r="H25" s="362"/>
      <c r="I25" s="362"/>
    </row>
    <row r="26" spans="1:9" x14ac:dyDescent="0.25">
      <c r="A26" s="64" t="s">
        <v>415</v>
      </c>
      <c r="B26" s="63" t="str">
        <f>B33</f>
        <v>well, constructed, plasma pulse geothermal drilling, advanced geothermal system, 42000 m horizontal, per m</v>
      </c>
      <c r="C26" s="63"/>
      <c r="D26" s="63"/>
      <c r="E26" s="63"/>
      <c r="F26" s="63"/>
      <c r="G26" s="63"/>
      <c r="H26" s="63"/>
      <c r="I26" s="63"/>
    </row>
    <row r="27" spans="1:9" x14ac:dyDescent="0.25">
      <c r="A27" s="64" t="s">
        <v>416</v>
      </c>
      <c r="B27" s="63" t="str">
        <f>C33</f>
        <v>meter</v>
      </c>
      <c r="C27" s="63"/>
      <c r="D27" s="63"/>
      <c r="E27" s="63"/>
      <c r="F27" s="63"/>
      <c r="G27" s="63"/>
      <c r="H27" s="63"/>
      <c r="I27" s="63"/>
    </row>
    <row r="28" spans="1:9" x14ac:dyDescent="0.25">
      <c r="A28" s="64" t="s">
        <v>418</v>
      </c>
      <c r="B28" s="63" t="str">
        <f>E33</f>
        <v>CH</v>
      </c>
      <c r="C28" s="63"/>
      <c r="D28" s="63"/>
      <c r="E28" s="63"/>
      <c r="F28" s="63"/>
      <c r="G28" s="63"/>
      <c r="H28" s="63"/>
      <c r="I28" s="63"/>
    </row>
    <row r="29" spans="1:9" x14ac:dyDescent="0.25">
      <c r="A29" s="64" t="s">
        <v>414</v>
      </c>
      <c r="B29" s="63">
        <f>D33</f>
        <v>1</v>
      </c>
      <c r="C29" s="63"/>
      <c r="D29" s="63"/>
      <c r="E29" s="63"/>
      <c r="F29" s="63"/>
      <c r="G29" s="63"/>
      <c r="H29" s="63"/>
      <c r="I29" s="63"/>
    </row>
    <row r="30" spans="1:9" x14ac:dyDescent="0.25">
      <c r="A30" s="64" t="s">
        <v>420</v>
      </c>
      <c r="B30" s="349" t="s">
        <v>2110</v>
      </c>
      <c r="C30" s="63"/>
      <c r="D30" s="63"/>
      <c r="E30" s="63"/>
      <c r="F30" s="63"/>
      <c r="G30" s="63"/>
      <c r="H30" s="63"/>
      <c r="I30" s="63"/>
    </row>
    <row r="31" spans="1:9" x14ac:dyDescent="0.25">
      <c r="A31" s="62" t="s">
        <v>421</v>
      </c>
      <c r="B31" s="63"/>
      <c r="C31" s="63"/>
      <c r="D31" s="63"/>
      <c r="E31" s="63"/>
      <c r="F31" s="63"/>
      <c r="G31" s="63"/>
      <c r="H31" s="63"/>
      <c r="I31" s="63"/>
    </row>
    <row r="32" spans="1:9" x14ac:dyDescent="0.25">
      <c r="A32" s="62" t="s">
        <v>422</v>
      </c>
      <c r="B32" s="62" t="s">
        <v>415</v>
      </c>
      <c r="C32" s="62" t="s">
        <v>416</v>
      </c>
      <c r="D32" s="62" t="s">
        <v>423</v>
      </c>
      <c r="E32" s="62" t="s">
        <v>418</v>
      </c>
      <c r="F32" s="62" t="s">
        <v>439</v>
      </c>
      <c r="G32" s="62" t="s">
        <v>425</v>
      </c>
      <c r="H32" s="62" t="s">
        <v>424</v>
      </c>
      <c r="I32" s="62" t="s">
        <v>420</v>
      </c>
    </row>
    <row r="33" spans="1:9" x14ac:dyDescent="0.25">
      <c r="A33" s="348" t="str">
        <f>Plant_parameters!G42</f>
        <v>well construction, plasma pulse geothermal drilling, advanced geothermal system, 42000 m horizontal, per m</v>
      </c>
      <c r="B33" s="348" t="str">
        <f>Plant_parameters!H42</f>
        <v>well, constructed, plasma pulse geothermal drilling, advanced geothermal system, 42000 m horizontal, per m</v>
      </c>
      <c r="C33" s="348" t="str">
        <f>Plant_parameters!I42</f>
        <v>meter</v>
      </c>
      <c r="D33" s="63">
        <v>1</v>
      </c>
      <c r="E33" s="63" t="s">
        <v>432</v>
      </c>
      <c r="F33" s="63" t="str">
        <f>$B$1</f>
        <v>ags</v>
      </c>
      <c r="G33" s="63" t="s">
        <v>427</v>
      </c>
      <c r="H33" s="63"/>
      <c r="I33" s="63"/>
    </row>
    <row r="34" spans="1:9" x14ac:dyDescent="0.25">
      <c r="A34" s="364" t="s">
        <v>1034</v>
      </c>
      <c r="B34" s="364" t="s">
        <v>480</v>
      </c>
      <c r="C34" s="364" t="s">
        <v>433</v>
      </c>
      <c r="D34" s="365">
        <f>'Drilling - energy_material_6km'!O79*(1-diesel)</f>
        <v>196</v>
      </c>
      <c r="E34" s="364" t="s">
        <v>432</v>
      </c>
      <c r="F34" s="364" t="str">
        <f>ecoinventv310</f>
        <v>ecoinvent-3.10.1-cutoff</v>
      </c>
      <c r="G34" s="358" t="s">
        <v>429</v>
      </c>
      <c r="H34" s="364"/>
      <c r="I34" s="364" t="s">
        <v>1071</v>
      </c>
    </row>
    <row r="35" spans="1:9" x14ac:dyDescent="0.25">
      <c r="A35" s="63" t="s">
        <v>1069</v>
      </c>
      <c r="B35" s="348" t="s">
        <v>1069</v>
      </c>
      <c r="C35" s="65" t="s">
        <v>434</v>
      </c>
      <c r="D35" s="66">
        <f>'Drilling - energy_material_6km'!O79*MJ_per_kWh*diesel/0.4</f>
        <v>36</v>
      </c>
      <c r="E35" s="63" t="s">
        <v>462</v>
      </c>
      <c r="F35" s="63" t="str">
        <f>ecoinventv310</f>
        <v>ecoinvent-3.10.1-cutoff</v>
      </c>
      <c r="G35" s="65" t="s">
        <v>429</v>
      </c>
      <c r="H35" s="63"/>
      <c r="I35" s="65" t="s">
        <v>1070</v>
      </c>
    </row>
    <row r="36" spans="1:9" x14ac:dyDescent="0.25">
      <c r="A36" t="s">
        <v>1073</v>
      </c>
      <c r="B36" s="65" t="s">
        <v>1072</v>
      </c>
      <c r="C36" t="s">
        <v>417</v>
      </c>
      <c r="D36" s="66">
        <f>-('Drilling - energy_material_6km'!W48*'Drilling - energy_material_6km'!AH75)/'Drilling - energy_material_6km'!O46</f>
        <v>-57.802655678047067</v>
      </c>
      <c r="E36" t="s">
        <v>432</v>
      </c>
      <c r="F36" s="63" t="str">
        <f>ecoinventv310</f>
        <v>ecoinvent-3.10.1-cutoff</v>
      </c>
      <c r="G36" s="65" t="s">
        <v>429</v>
      </c>
      <c r="H36" s="63"/>
      <c r="I36" s="65" t="s">
        <v>1440</v>
      </c>
    </row>
    <row r="37" spans="1:9" s="350" customFormat="1" x14ac:dyDescent="0.25">
      <c r="D37" s="508"/>
      <c r="H37" s="348"/>
      <c r="I37" s="397"/>
    </row>
    <row r="38" spans="1:9" s="350" customFormat="1" x14ac:dyDescent="0.25">
      <c r="D38" s="508"/>
      <c r="H38" s="348"/>
      <c r="I38" s="397"/>
    </row>
    <row r="39" spans="1:9" x14ac:dyDescent="0.25">
      <c r="A39" s="335" t="s">
        <v>413</v>
      </c>
      <c r="B39" s="362" t="s">
        <v>2107</v>
      </c>
      <c r="C39" s="362"/>
      <c r="D39" s="362"/>
      <c r="E39" s="362"/>
      <c r="F39" s="362"/>
      <c r="G39" s="362"/>
      <c r="H39" s="362"/>
      <c r="I39" s="362"/>
    </row>
    <row r="40" spans="1:9" x14ac:dyDescent="0.25">
      <c r="A40" s="64" t="s">
        <v>415</v>
      </c>
      <c r="B40" s="63" t="s">
        <v>2108</v>
      </c>
      <c r="C40" s="63"/>
      <c r="D40" s="63"/>
      <c r="E40" s="63"/>
      <c r="F40" s="63"/>
      <c r="G40" s="63"/>
      <c r="H40" s="63"/>
      <c r="I40" s="63"/>
    </row>
    <row r="41" spans="1:9" x14ac:dyDescent="0.25">
      <c r="A41" s="64" t="s">
        <v>420</v>
      </c>
      <c r="B41" s="63" t="s">
        <v>1867</v>
      </c>
      <c r="C41" s="63"/>
      <c r="D41" s="63"/>
      <c r="E41" s="63"/>
      <c r="F41" s="63"/>
      <c r="G41" s="63"/>
      <c r="H41" s="63"/>
      <c r="I41" s="63"/>
    </row>
    <row r="42" spans="1:9" x14ac:dyDescent="0.25">
      <c r="A42" s="64" t="s">
        <v>418</v>
      </c>
      <c r="B42" s="63" t="s">
        <v>432</v>
      </c>
      <c r="C42" s="63"/>
      <c r="D42" s="63"/>
      <c r="E42" s="63"/>
      <c r="H42" s="63"/>
    </row>
    <row r="43" spans="1:9" x14ac:dyDescent="0.25">
      <c r="A43" s="64" t="s">
        <v>414</v>
      </c>
      <c r="B43" s="63">
        <v>1</v>
      </c>
      <c r="C43" s="63"/>
      <c r="D43" s="63"/>
      <c r="E43" s="63"/>
      <c r="F43" s="63"/>
      <c r="G43" s="63"/>
      <c r="H43" s="63"/>
      <c r="I43" s="63"/>
    </row>
    <row r="44" spans="1:9" x14ac:dyDescent="0.25">
      <c r="A44" s="64" t="s">
        <v>416</v>
      </c>
      <c r="B44" s="63" t="s">
        <v>1047</v>
      </c>
      <c r="C44" s="63"/>
      <c r="D44" s="63"/>
      <c r="E44" s="63"/>
      <c r="F44" s="63"/>
      <c r="G44" s="63"/>
      <c r="H44" s="63"/>
      <c r="I44" s="63"/>
    </row>
    <row r="45" spans="1:9" x14ac:dyDescent="0.25">
      <c r="A45" s="62" t="s">
        <v>421</v>
      </c>
      <c r="B45" s="63"/>
      <c r="C45" s="63"/>
      <c r="D45" s="63"/>
      <c r="E45" s="63"/>
      <c r="F45" s="63"/>
      <c r="G45" s="63"/>
      <c r="H45" s="63"/>
      <c r="I45" s="63"/>
    </row>
    <row r="46" spans="1:9" x14ac:dyDescent="0.25">
      <c r="A46" s="62" t="s">
        <v>422</v>
      </c>
      <c r="B46" s="62" t="s">
        <v>415</v>
      </c>
      <c r="C46" s="62" t="s">
        <v>416</v>
      </c>
      <c r="D46" s="62" t="s">
        <v>423</v>
      </c>
      <c r="E46" s="62" t="s">
        <v>418</v>
      </c>
      <c r="F46" s="62" t="s">
        <v>439</v>
      </c>
      <c r="G46" s="62" t="s">
        <v>425</v>
      </c>
      <c r="H46" s="62" t="s">
        <v>424</v>
      </c>
      <c r="I46" s="62" t="s">
        <v>420</v>
      </c>
    </row>
    <row r="47" spans="1:9" x14ac:dyDescent="0.25">
      <c r="A47" s="63" t="str">
        <f>B39</f>
        <v>drilling fluid production, rotary drilling</v>
      </c>
      <c r="B47" s="63" t="str">
        <f>B40</f>
        <v>drilling fluid, rotary drilling</v>
      </c>
      <c r="C47" s="63" t="str">
        <f>B44</f>
        <v>meter</v>
      </c>
      <c r="D47" s="63">
        <f>B43</f>
        <v>1</v>
      </c>
      <c r="E47" s="63" t="str">
        <f>B42</f>
        <v>CH</v>
      </c>
      <c r="F47" s="63" t="str">
        <f>$B$1</f>
        <v>ags</v>
      </c>
      <c r="G47" s="63" t="s">
        <v>427</v>
      </c>
      <c r="H47" s="63"/>
      <c r="I47" s="63"/>
    </row>
    <row r="48" spans="1:9" x14ac:dyDescent="0.25">
      <c r="A48" s="63" t="str">
        <f>'Drilling - fluid'!G7</f>
        <v>Water, well, in ground</v>
      </c>
      <c r="B48" s="63"/>
      <c r="C48" s="63" t="str">
        <f>'Drilling - fluid'!I7</f>
        <v>cubic meter</v>
      </c>
      <c r="D48" s="63">
        <f>'Drilling - fluid'!J7</f>
        <v>0.5</v>
      </c>
      <c r="E48" s="63"/>
      <c r="F48" s="63" t="str">
        <f>'Drilling - fluid'!L7</f>
        <v>ecoinvent-3.10.1-biosphere</v>
      </c>
      <c r="G48" s="63" t="str">
        <f>'Drilling - fluid'!M7</f>
        <v>biosphere</v>
      </c>
      <c r="H48" s="63"/>
      <c r="I48" s="349" t="s">
        <v>2111</v>
      </c>
    </row>
    <row r="49" spans="1:9" x14ac:dyDescent="0.25">
      <c r="A49" s="63" t="str">
        <f>'Drilling - fluid'!G8</f>
        <v>market for bentonite</v>
      </c>
      <c r="B49" s="63" t="str">
        <f>'Drilling - fluid'!H8</f>
        <v>bentonite</v>
      </c>
      <c r="C49" s="63" t="str">
        <f>'Drilling - fluid'!I8</f>
        <v>kilogram</v>
      </c>
      <c r="D49" s="63">
        <f>'Drilling - fluid'!J8</f>
        <v>20</v>
      </c>
      <c r="E49" s="63" t="str">
        <f>'Drilling - fluid'!K8</f>
        <v>GLO</v>
      </c>
      <c r="F49" s="63" t="str">
        <f>'Drilling - fluid'!L8</f>
        <v>ecoinvent-3.10.1-cutoff</v>
      </c>
      <c r="G49" s="63" t="str">
        <f>'Drilling - fluid'!M8</f>
        <v>technosphere</v>
      </c>
      <c r="H49" s="63"/>
      <c r="I49" s="63" t="str">
        <f>'Drilling - fluid'!F8</f>
        <v>Estimation based on Kaiser and Fäh 2004 and Egli 2013</v>
      </c>
    </row>
    <row r="50" spans="1:9" x14ac:dyDescent="0.25">
      <c r="A50" s="63" t="str">
        <f>'Drilling - fluid'!G9</f>
        <v>market for potassium carbonate</v>
      </c>
      <c r="B50" s="63" t="str">
        <f>'Drilling - fluid'!H9</f>
        <v>potassium carbonate</v>
      </c>
      <c r="C50" s="63" t="str">
        <f>'Drilling - fluid'!I9</f>
        <v>kilogram</v>
      </c>
      <c r="D50" s="63">
        <f>'Drilling - fluid'!J9</f>
        <v>15</v>
      </c>
      <c r="E50" s="63" t="str">
        <f>'Drilling - fluid'!K9</f>
        <v>GLO</v>
      </c>
      <c r="F50" s="63" t="str">
        <f>'Drilling - fluid'!L9</f>
        <v>ecoinvent-3.10.1-cutoff</v>
      </c>
      <c r="G50" s="63" t="str">
        <f>'Drilling - fluid'!M9</f>
        <v>technosphere</v>
      </c>
      <c r="H50" s="63"/>
      <c r="I50" s="63" t="str">
        <f>'Drilling - fluid'!F9</f>
        <v>Loss circulation/weighting agent in the drilling fluid. Rough estimation based on Sonderegger (2013)</v>
      </c>
    </row>
    <row r="51" spans="1:9" x14ac:dyDescent="0.25">
      <c r="A51" s="63" t="str">
        <f>'Drilling - fluid'!G10</f>
        <v>market for cellulose fibre</v>
      </c>
      <c r="B51" s="63" t="str">
        <f>'Drilling - fluid'!H10</f>
        <v>cellulose fibre</v>
      </c>
      <c r="C51" s="63" t="str">
        <f>'Drilling - fluid'!I10</f>
        <v>kilogram</v>
      </c>
      <c r="D51" s="63">
        <f>'Drilling - fluid'!J10</f>
        <v>17.5</v>
      </c>
      <c r="E51" s="63" t="str">
        <f>'Drilling - fluid'!K10</f>
        <v>CH</v>
      </c>
      <c r="F51" s="63" t="str">
        <f>'Drilling - fluid'!L10</f>
        <v>ecoinvent-3.10.1-cutoff</v>
      </c>
      <c r="G51" s="63" t="str">
        <f>'Drilling - fluid'!M10</f>
        <v>technosphere</v>
      </c>
      <c r="H51" s="63"/>
      <c r="I51" s="63" t="str">
        <f>'Drilling - fluid'!F10</f>
        <v>Estimation based on Kaiser and Fäh 2004 and Egli 2013</v>
      </c>
    </row>
    <row r="52" spans="1:9" x14ac:dyDescent="0.25">
      <c r="A52" s="63" t="str">
        <f>'Drilling - fluid'!G11</f>
        <v>market for barite</v>
      </c>
      <c r="B52" s="63" t="str">
        <f>'Drilling - fluid'!H11</f>
        <v>barite</v>
      </c>
      <c r="C52" s="63" t="str">
        <f>'Drilling - fluid'!I11</f>
        <v>kilogram</v>
      </c>
      <c r="D52" s="63">
        <f>'Drilling - fluid'!J11</f>
        <v>20</v>
      </c>
      <c r="E52" s="63" t="str">
        <f>'Drilling - fluid'!K11</f>
        <v>GLO</v>
      </c>
      <c r="F52" s="63" t="str">
        <f>'Drilling - fluid'!L11</f>
        <v>ecoinvent-3.10.1-cutoff</v>
      </c>
      <c r="G52" s="63" t="str">
        <f>'Drilling - fluid'!M11</f>
        <v>technosphere</v>
      </c>
      <c r="H52" s="63"/>
      <c r="I52" s="63" t="str">
        <f>'Drilling - fluid'!F11</f>
        <v>Weighting agent in the drilling fluid. Rough Estimation based on Sonderegger (2013)</v>
      </c>
    </row>
    <row r="53" spans="1:9" x14ac:dyDescent="0.25">
      <c r="A53" s="63" t="str">
        <f>'Drilling - fluid'!G12</f>
        <v>market for sodium hydroxide, without water, in 50% solution state</v>
      </c>
      <c r="B53" s="63" t="str">
        <f>'Drilling - fluid'!H12</f>
        <v>sodium hydroxide, without water, in 50% solution state</v>
      </c>
      <c r="C53" s="63" t="str">
        <f>'Drilling - fluid'!I12</f>
        <v>kilogram</v>
      </c>
      <c r="D53" s="63">
        <f>'Drilling - fluid'!J12</f>
        <v>1</v>
      </c>
      <c r="E53" s="63" t="str">
        <f>'Drilling - fluid'!K12</f>
        <v>RER</v>
      </c>
      <c r="F53" s="63" t="str">
        <f>'Drilling - fluid'!L12</f>
        <v>ecoinvent-3.10.1-cutoff</v>
      </c>
      <c r="G53" s="63" t="str">
        <f>'Drilling - fluid'!M12</f>
        <v>technosphere</v>
      </c>
      <c r="H53" s="63"/>
      <c r="I53" s="63" t="str">
        <f>'Drilling - fluid'!F12</f>
        <v>Estimation based on Kaiser and Fäh 2004 and Egli 2013</v>
      </c>
    </row>
    <row r="54" spans="1:9" x14ac:dyDescent="0.25">
      <c r="A54" s="63" t="str">
        <f>'Drilling - fluid'!G13</f>
        <v>market for chemical, organic</v>
      </c>
      <c r="B54" s="63" t="str">
        <f>'Drilling - fluid'!H13</f>
        <v>chemical, organic</v>
      </c>
      <c r="C54" s="63" t="str">
        <f>'Drilling - fluid'!I13</f>
        <v>kilogram</v>
      </c>
      <c r="D54" s="63">
        <f>'Drilling - fluid'!J13</f>
        <v>20</v>
      </c>
      <c r="E54" s="63" t="str">
        <f>'Drilling - fluid'!K13</f>
        <v>GLO</v>
      </c>
      <c r="F54" s="63" t="str">
        <f>'Drilling - fluid'!L13</f>
        <v>ecoinvent-3.10.1-cutoff</v>
      </c>
      <c r="G54" s="63" t="str">
        <f>'Drilling - fluid'!M13</f>
        <v>technosphere</v>
      </c>
      <c r="H54" s="63"/>
      <c r="I54" s="63" t="str">
        <f>'Drilling - fluid'!F13</f>
        <v>Estimation based on Kaiser and Fäh 2004 and Egli 2013</v>
      </c>
    </row>
    <row r="55" spans="1:9" x14ac:dyDescent="0.25">
      <c r="A55" s="63" t="str">
        <f>'Drilling - fluid'!G14</f>
        <v>market for sodium chloride, powder</v>
      </c>
      <c r="B55" s="63" t="str">
        <f>'Drilling - fluid'!H14</f>
        <v>sodium chloride, powder</v>
      </c>
      <c r="C55" s="63" t="str">
        <f>'Drilling - fluid'!I14</f>
        <v>kilogram</v>
      </c>
      <c r="D55" s="63">
        <f>'Drilling - fluid'!J14</f>
        <v>6</v>
      </c>
      <c r="E55" s="63" t="str">
        <f>'Drilling - fluid'!K14</f>
        <v>GLO</v>
      </c>
      <c r="F55" s="63" t="str">
        <f>'Drilling - fluid'!L14</f>
        <v>ecoinvent-3.10.1-cutoff</v>
      </c>
      <c r="G55" s="63" t="str">
        <f>'Drilling - fluid'!M14</f>
        <v>technosphere</v>
      </c>
      <c r="H55" s="63"/>
      <c r="I55" s="63" t="str">
        <f>'Drilling - fluid'!F14</f>
        <v>Original entry: "Chloride". Sodium chloride is an assumption.</v>
      </c>
    </row>
    <row r="56" spans="1:9" x14ac:dyDescent="0.25">
      <c r="A56" s="63" t="str">
        <f>'Drilling - fluid'!G15</f>
        <v>COD, Chemical Oxygen Demand</v>
      </c>
      <c r="B56" s="63"/>
      <c r="C56" s="63" t="str">
        <f>'Drilling - fluid'!I15</f>
        <v>kilogram</v>
      </c>
      <c r="D56" s="63">
        <f>'Drilling - fluid'!J15</f>
        <v>3</v>
      </c>
      <c r="E56" s="63"/>
      <c r="F56" s="63" t="str">
        <f>'Drilling - fluid'!L15</f>
        <v>ecoinvent-3.10.1-biosphere</v>
      </c>
      <c r="G56" s="63" t="str">
        <f>'Drilling - fluid'!M15</f>
        <v>biosphere</v>
      </c>
      <c r="H56" s="63" t="str">
        <f>'Drilling - fluid'!N15</f>
        <v>water::ground-</v>
      </c>
      <c r="I56" s="63"/>
    </row>
    <row r="57" spans="1:9" x14ac:dyDescent="0.25">
      <c r="A57" s="63" t="str">
        <f>'Drilling - fluid'!G16</f>
        <v>DOC, Dissolved Organic Carbon</v>
      </c>
      <c r="B57" s="63"/>
      <c r="C57" s="63" t="str">
        <f>'Drilling - fluid'!I16</f>
        <v>kilogram</v>
      </c>
      <c r="D57" s="63">
        <f>'Drilling - fluid'!J16</f>
        <v>0.3</v>
      </c>
      <c r="E57" s="63"/>
      <c r="F57" s="63" t="str">
        <f>'Drilling - fluid'!L16</f>
        <v>ecoinvent-3.10.1-biosphere</v>
      </c>
      <c r="G57" s="63" t="str">
        <f>'Drilling - fluid'!M16</f>
        <v>biosphere</v>
      </c>
      <c r="H57" s="63" t="str">
        <f>'Drilling - fluid'!N16</f>
        <v>water::ground-</v>
      </c>
      <c r="I57" s="63"/>
    </row>
    <row r="58" spans="1:9" x14ac:dyDescent="0.25">
      <c r="A58" s="63" t="str">
        <f>'Drilling - fluid'!G17</f>
        <v>Potassium I</v>
      </c>
      <c r="B58" s="63"/>
      <c r="C58" s="63" t="str">
        <f>'Drilling - fluid'!I17</f>
        <v>kilogram</v>
      </c>
      <c r="D58" s="63">
        <f>'Drilling - fluid'!J17</f>
        <v>0.9</v>
      </c>
      <c r="E58" s="63"/>
      <c r="F58" s="63" t="str">
        <f>'Drilling - fluid'!L17</f>
        <v>ecoinvent-3.10.1-biosphere</v>
      </c>
      <c r="G58" s="63" t="str">
        <f>'Drilling - fluid'!M17</f>
        <v>biosphere</v>
      </c>
      <c r="H58" s="63" t="str">
        <f>'Drilling - fluid'!N17</f>
        <v>water::ground-</v>
      </c>
      <c r="I58" s="63"/>
    </row>
    <row r="59" spans="1:9" x14ac:dyDescent="0.25">
      <c r="A59" s="63" t="str">
        <f>'Drilling - fluid'!G18</f>
        <v>Sodium I</v>
      </c>
      <c r="B59" s="63"/>
      <c r="C59" s="63" t="str">
        <f>'Drilling - fluid'!I18</f>
        <v>kilogram</v>
      </c>
      <c r="D59" s="63">
        <f>'Drilling - fluid'!J18</f>
        <v>6</v>
      </c>
      <c r="E59" s="63"/>
      <c r="F59" s="63" t="str">
        <f>'Drilling - fluid'!L18</f>
        <v>ecoinvent-3.10.1-biosphere</v>
      </c>
      <c r="G59" s="63" t="str">
        <f>'Drilling - fluid'!M18</f>
        <v>biosphere</v>
      </c>
      <c r="H59" s="63" t="str">
        <f>'Drilling - fluid'!N18</f>
        <v>water::ground-</v>
      </c>
      <c r="I59" s="63"/>
    </row>
    <row r="60" spans="1:9" x14ac:dyDescent="0.25">
      <c r="A60" s="63" t="str">
        <f>'Drilling - fluid'!G19</f>
        <v>TOC, Total Organic Carbon</v>
      </c>
      <c r="B60" s="63"/>
      <c r="C60" s="63" t="str">
        <f>'Drilling - fluid'!I19</f>
        <v>kilogram</v>
      </c>
      <c r="D60" s="63">
        <f>'Drilling - fluid'!J19</f>
        <v>0.3</v>
      </c>
      <c r="E60" s="63"/>
      <c r="F60" s="63" t="str">
        <f>'Drilling - fluid'!L19</f>
        <v>ecoinvent-3.10.1-biosphere</v>
      </c>
      <c r="G60" s="63" t="str">
        <f>'Drilling - fluid'!M19</f>
        <v>biosphere</v>
      </c>
      <c r="H60" s="63" t="str">
        <f>'Drilling - fluid'!N19</f>
        <v>water::ground-</v>
      </c>
      <c r="I60" s="63"/>
    </row>
    <row r="61" spans="1:9" x14ac:dyDescent="0.25">
      <c r="A61" s="63" t="str">
        <f>'Drilling - fluid'!G20</f>
        <v>market for wastewater, average</v>
      </c>
      <c r="B61" s="63" t="str">
        <f>'Drilling - fluid'!H20</f>
        <v>wastewater, average</v>
      </c>
      <c r="C61" s="63"/>
      <c r="D61" s="63">
        <f>'Drilling - fluid'!J20</f>
        <v>0.6</v>
      </c>
      <c r="E61" s="63" t="str">
        <f>'Drilling - fluid'!K20</f>
        <v>CH</v>
      </c>
      <c r="F61" s="63" t="str">
        <f>'Drilling - fluid'!L20</f>
        <v>ecoinvent-3.10.1-cutoff</v>
      </c>
      <c r="G61" s="63"/>
      <c r="H61" s="63"/>
    </row>
    <row r="62" spans="1:9" x14ac:dyDescent="0.25">
      <c r="A62" s="63"/>
      <c r="B62" s="63"/>
      <c r="C62" s="63"/>
      <c r="D62" s="63"/>
      <c r="E62" s="63"/>
      <c r="F62" s="63"/>
      <c r="G62" s="63"/>
      <c r="H62" s="63"/>
    </row>
    <row r="64" spans="1:9" x14ac:dyDescent="0.25">
      <c r="A64" s="335" t="s">
        <v>413</v>
      </c>
      <c r="B64" s="362" t="str">
        <f>A72</f>
        <v>drilling rig construction, plasma pulse geothermal drilling</v>
      </c>
      <c r="C64" s="362"/>
      <c r="D64" s="362"/>
      <c r="E64" s="362"/>
      <c r="F64" s="362"/>
      <c r="G64" s="362"/>
      <c r="H64" s="362"/>
      <c r="I64" s="362"/>
    </row>
    <row r="65" spans="1:9" x14ac:dyDescent="0.25">
      <c r="A65" s="64" t="s">
        <v>415</v>
      </c>
      <c r="B65" s="63" t="str">
        <f>B72</f>
        <v>drilling rig, plasma pulse geothermal drilling</v>
      </c>
      <c r="C65" s="63"/>
      <c r="D65" s="63"/>
      <c r="E65" s="63"/>
      <c r="F65" s="63"/>
      <c r="G65" s="63"/>
      <c r="H65" s="63"/>
      <c r="I65" s="63"/>
    </row>
    <row r="66" spans="1:9" x14ac:dyDescent="0.25">
      <c r="A66" s="64" t="s">
        <v>420</v>
      </c>
      <c r="B66" s="63" t="s">
        <v>1079</v>
      </c>
      <c r="C66" s="63"/>
      <c r="D66" s="63"/>
      <c r="E66" s="63"/>
      <c r="F66" s="63"/>
      <c r="G66" s="63"/>
      <c r="H66" s="63"/>
      <c r="I66" s="63"/>
    </row>
    <row r="67" spans="1:9" x14ac:dyDescent="0.25">
      <c r="A67" s="64" t="s">
        <v>418</v>
      </c>
      <c r="B67" s="63" t="str">
        <f>E72</f>
        <v>CH</v>
      </c>
      <c r="C67" s="63"/>
      <c r="D67" s="63"/>
      <c r="E67" s="63"/>
      <c r="H67" s="63"/>
    </row>
    <row r="68" spans="1:9" x14ac:dyDescent="0.25">
      <c r="A68" s="64" t="s">
        <v>414</v>
      </c>
      <c r="B68" s="63">
        <f>D72</f>
        <v>1</v>
      </c>
      <c r="C68" s="63"/>
      <c r="D68" s="63"/>
      <c r="E68" s="63"/>
      <c r="F68" s="63"/>
      <c r="G68" s="63"/>
      <c r="H68" s="63"/>
      <c r="I68" s="63"/>
    </row>
    <row r="69" spans="1:9" x14ac:dyDescent="0.25">
      <c r="A69" s="64" t="s">
        <v>416</v>
      </c>
      <c r="B69" s="63" t="str">
        <f>C72</f>
        <v>unit</v>
      </c>
      <c r="C69" s="63"/>
      <c r="D69" s="63"/>
      <c r="E69" s="63"/>
      <c r="F69" s="63"/>
      <c r="G69" s="63"/>
      <c r="H69" s="63"/>
      <c r="I69" s="63"/>
    </row>
    <row r="70" spans="1:9" x14ac:dyDescent="0.25">
      <c r="A70" s="62" t="s">
        <v>421</v>
      </c>
      <c r="B70" s="63"/>
      <c r="C70" s="63"/>
      <c r="D70" s="63"/>
      <c r="E70" s="63"/>
      <c r="F70" s="63"/>
      <c r="G70" s="63"/>
      <c r="H70" s="63"/>
      <c r="I70" s="63"/>
    </row>
    <row r="71" spans="1:9" x14ac:dyDescent="0.25">
      <c r="A71" s="62" t="s">
        <v>422</v>
      </c>
      <c r="B71" s="62" t="s">
        <v>415</v>
      </c>
      <c r="C71" s="62" t="s">
        <v>416</v>
      </c>
      <c r="D71" s="62" t="s">
        <v>423</v>
      </c>
      <c r="E71" s="62" t="s">
        <v>418</v>
      </c>
      <c r="F71" s="62" t="s">
        <v>439</v>
      </c>
      <c r="G71" s="62" t="s">
        <v>425</v>
      </c>
      <c r="H71" s="62" t="s">
        <v>424</v>
      </c>
      <c r="I71" s="62" t="s">
        <v>420</v>
      </c>
    </row>
    <row r="72" spans="1:9" x14ac:dyDescent="0.25">
      <c r="A72" s="63" t="str">
        <f>Plant_parameters!G45</f>
        <v>drilling rig construction, plasma pulse geothermal drilling</v>
      </c>
      <c r="B72" s="63" t="str">
        <f>Plant_parameters!H45</f>
        <v>drilling rig, plasma pulse geothermal drilling</v>
      </c>
      <c r="C72" s="63" t="str">
        <f>Plant_parameters!I45</f>
        <v>unit</v>
      </c>
      <c r="D72" s="63">
        <v>1</v>
      </c>
      <c r="E72" s="63" t="s">
        <v>432</v>
      </c>
      <c r="F72" s="63" t="str">
        <f>$B$1</f>
        <v>ags</v>
      </c>
      <c r="G72" s="63" t="s">
        <v>427</v>
      </c>
      <c r="H72" s="63"/>
      <c r="I72" s="63"/>
    </row>
    <row r="73" spans="1:9" x14ac:dyDescent="0.25">
      <c r="A73" s="63" t="s">
        <v>1078</v>
      </c>
      <c r="B73" s="63"/>
      <c r="C73" s="63" t="s">
        <v>437</v>
      </c>
      <c r="D73">
        <f>'Drilling - PPGD rig'!U5</f>
        <v>5000</v>
      </c>
      <c r="E73" s="63"/>
      <c r="F73" t="str">
        <f>biospherev310</f>
        <v>ecoinvent-3.10.1-biosphere</v>
      </c>
      <c r="G73" s="65" t="s">
        <v>435</v>
      </c>
      <c r="H73" t="s">
        <v>1077</v>
      </c>
      <c r="I73" s="63"/>
    </row>
    <row r="74" spans="1:9" x14ac:dyDescent="0.25">
      <c r="A74" s="63" t="s">
        <v>542</v>
      </c>
      <c r="B74" s="63"/>
      <c r="C74" s="63" t="s">
        <v>437</v>
      </c>
      <c r="D74" s="63">
        <f>'Drilling - PPGD rig'!U5</f>
        <v>5000</v>
      </c>
      <c r="E74" s="63"/>
      <c r="F74" t="str">
        <f>biospherev310</f>
        <v>ecoinvent-3.10.1-biosphere</v>
      </c>
      <c r="G74" s="65" t="s">
        <v>435</v>
      </c>
      <c r="H74" t="s">
        <v>1077</v>
      </c>
      <c r="I74" s="63"/>
    </row>
    <row r="75" spans="1:9" x14ac:dyDescent="0.25">
      <c r="A75" t="s">
        <v>1075</v>
      </c>
      <c r="C75" t="s">
        <v>1076</v>
      </c>
      <c r="D75" s="53">
        <f>D74*('Drilling - time'!F43/365)</f>
        <v>2320.5859969558596</v>
      </c>
      <c r="F75" t="str">
        <f>biospherev310</f>
        <v>ecoinvent-3.10.1-biosphere</v>
      </c>
      <c r="G75" s="65" t="s">
        <v>435</v>
      </c>
      <c r="H75" t="s">
        <v>1077</v>
      </c>
      <c r="I75" t="s">
        <v>1108</v>
      </c>
    </row>
    <row r="76" spans="1:9" x14ac:dyDescent="0.25">
      <c r="A76" t="str">
        <f t="shared" ref="A76:C76" si="1">A14</f>
        <v>market for steel, chromium steel 18/8</v>
      </c>
      <c r="B76" t="str">
        <f t="shared" si="1"/>
        <v>steel, chromium steel 18/8</v>
      </c>
      <c r="C76" t="str">
        <f t="shared" si="1"/>
        <v>kilogram</v>
      </c>
      <c r="D76">
        <f>('Drilling - PPGD rig'!U9*1000*'Drilling - PPGD rig'!AB28)/'Drilling - PPGD rig'!AB26</f>
        <v>7000</v>
      </c>
      <c r="E76" t="str">
        <f>E14</f>
        <v>GLO</v>
      </c>
      <c r="F76" s="63" t="str">
        <f t="shared" ref="F76:F84" si="2">ecoinventv310</f>
        <v>ecoinvent-3.10.1-cutoff</v>
      </c>
      <c r="G76" s="65" t="s">
        <v>429</v>
      </c>
      <c r="I76" t="s">
        <v>1495</v>
      </c>
    </row>
    <row r="77" spans="1:9" x14ac:dyDescent="0.25">
      <c r="A77" s="63" t="s">
        <v>1494</v>
      </c>
      <c r="B77" s="63" t="s">
        <v>1493</v>
      </c>
      <c r="C77" s="63" t="s">
        <v>417</v>
      </c>
      <c r="D77">
        <f>('Drilling - PPGD rig'!U9*1000*'Drilling - PPGD rig'!AB29)/'Drilling - PPGD rig'!AB26</f>
        <v>3000</v>
      </c>
      <c r="E77" t="s">
        <v>462</v>
      </c>
      <c r="F77" s="63" t="str">
        <f t="shared" si="2"/>
        <v>ecoinvent-3.10.1-cutoff</v>
      </c>
      <c r="G77" s="65" t="s">
        <v>429</v>
      </c>
      <c r="I77" t="s">
        <v>1495</v>
      </c>
    </row>
    <row r="78" spans="1:9" x14ac:dyDescent="0.25">
      <c r="A78" t="str">
        <f>A15</f>
        <v>market for cement, Portland</v>
      </c>
      <c r="B78" t="str">
        <f>B15</f>
        <v>cement, Portland</v>
      </c>
      <c r="C78" t="str">
        <f>C15</f>
        <v>kilogram</v>
      </c>
      <c r="D78">
        <f>('Drilling - PPGD rig'!$U$7*'Drilling - PPGD rig'!U12)</f>
        <v>1000000</v>
      </c>
      <c r="E78" t="str">
        <f>E15</f>
        <v>Europe without Switzerland</v>
      </c>
      <c r="F78" s="63" t="str">
        <f t="shared" si="2"/>
        <v>ecoinvent-3.10.1-cutoff</v>
      </c>
      <c r="G78" s="65" t="s">
        <v>429</v>
      </c>
    </row>
    <row r="79" spans="1:9" x14ac:dyDescent="0.25">
      <c r="A79" t="s">
        <v>1105</v>
      </c>
      <c r="B79" t="s">
        <v>1104</v>
      </c>
      <c r="C79" t="s">
        <v>417</v>
      </c>
      <c r="D79">
        <f>('Drilling - PPGD rig'!$U$7*'Drilling - PPGD rig'!U13)</f>
        <v>300000</v>
      </c>
      <c r="E79" t="s">
        <v>462</v>
      </c>
      <c r="F79" s="63" t="str">
        <f t="shared" si="2"/>
        <v>ecoinvent-3.10.1-cutoff</v>
      </c>
      <c r="G79" s="65" t="s">
        <v>429</v>
      </c>
    </row>
    <row r="80" spans="1:9" x14ac:dyDescent="0.25">
      <c r="A80" t="str">
        <f>A16</f>
        <v>market for tap water</v>
      </c>
      <c r="B80" t="str">
        <f>B16</f>
        <v>tap water</v>
      </c>
      <c r="C80" t="str">
        <f>C16</f>
        <v>kilogram</v>
      </c>
      <c r="D80">
        <f>'Drilling - PPGD rig'!$U$7*'Drilling - PPGD rig'!U14</f>
        <v>500000</v>
      </c>
      <c r="E80" t="str">
        <f>E16</f>
        <v>CH</v>
      </c>
      <c r="F80" s="63" t="str">
        <f t="shared" si="2"/>
        <v>ecoinvent-3.10.1-cutoff</v>
      </c>
      <c r="G80" s="65" t="s">
        <v>429</v>
      </c>
    </row>
    <row r="81" spans="1:9" x14ac:dyDescent="0.25">
      <c r="A81" t="s">
        <v>1107</v>
      </c>
      <c r="B81" t="s">
        <v>1106</v>
      </c>
      <c r="C81" t="s">
        <v>417</v>
      </c>
      <c r="D81">
        <f>'Drilling - PPGD rig'!$U$7*'Drilling - PPGD rig'!U15</f>
        <v>4500000</v>
      </c>
      <c r="E81" t="s">
        <v>432</v>
      </c>
      <c r="F81" s="63" t="str">
        <f t="shared" si="2"/>
        <v>ecoinvent-3.10.1-cutoff</v>
      </c>
      <c r="G81" s="65" t="s">
        <v>429</v>
      </c>
    </row>
    <row r="82" spans="1:9" x14ac:dyDescent="0.25">
      <c r="A82" t="s">
        <v>533</v>
      </c>
      <c r="B82" t="s">
        <v>532</v>
      </c>
      <c r="C82" t="s">
        <v>417</v>
      </c>
      <c r="D82">
        <f>-0.9*D79</f>
        <v>-270000</v>
      </c>
      <c r="E82" t="s">
        <v>432</v>
      </c>
      <c r="F82" s="63" t="str">
        <f t="shared" si="2"/>
        <v>ecoinvent-3.10.1-cutoff</v>
      </c>
      <c r="G82" s="65" t="s">
        <v>429</v>
      </c>
      <c r="I82" t="s">
        <v>1447</v>
      </c>
    </row>
    <row r="83" spans="1:9" x14ac:dyDescent="0.25">
      <c r="A83" t="s">
        <v>1448</v>
      </c>
      <c r="B83" t="s">
        <v>1449</v>
      </c>
      <c r="C83" t="s">
        <v>417</v>
      </c>
      <c r="D83">
        <f>-0.9*(D78+D81+D80)</f>
        <v>-5400000</v>
      </c>
      <c r="E83" t="s">
        <v>432</v>
      </c>
      <c r="F83" s="63" t="str">
        <f t="shared" si="2"/>
        <v>ecoinvent-3.10.1-cutoff</v>
      </c>
      <c r="G83" s="65" t="s">
        <v>429</v>
      </c>
    </row>
    <row r="84" spans="1:9" x14ac:dyDescent="0.25">
      <c r="A84" t="s">
        <v>1506</v>
      </c>
      <c r="B84" t="s">
        <v>1505</v>
      </c>
      <c r="C84" t="s">
        <v>417</v>
      </c>
      <c r="D84">
        <f>-D77</f>
        <v>-3000</v>
      </c>
      <c r="E84" t="s">
        <v>462</v>
      </c>
      <c r="F84" s="63" t="str">
        <f t="shared" si="2"/>
        <v>ecoinvent-3.10.1-cutoff</v>
      </c>
      <c r="G84" s="65" t="s">
        <v>429</v>
      </c>
    </row>
    <row r="86" spans="1:9" x14ac:dyDescent="0.25">
      <c r="A86" s="335" t="s">
        <v>413</v>
      </c>
      <c r="B86" s="362" t="str">
        <f>A94</f>
        <v>well closure, advanced geothermal system, 12000 m vertical 42000 m horizontal, per m, without cement</v>
      </c>
      <c r="C86" s="362"/>
      <c r="D86" s="362"/>
      <c r="E86" s="362"/>
      <c r="F86" s="362"/>
      <c r="G86" s="362"/>
      <c r="H86" s="362"/>
      <c r="I86" s="362"/>
    </row>
    <row r="87" spans="1:9" x14ac:dyDescent="0.25">
      <c r="A87" s="64" t="s">
        <v>415</v>
      </c>
      <c r="B87" s="63" t="str">
        <f>B94</f>
        <v>well, closed, advanced geothermal system, 12000 m vertical 42000 m horizontal, per m, without cement</v>
      </c>
      <c r="C87" s="63"/>
      <c r="D87" s="63"/>
      <c r="E87" s="63"/>
      <c r="F87" s="63"/>
      <c r="G87" s="63"/>
      <c r="H87" s="63"/>
      <c r="I87" s="63"/>
    </row>
    <row r="88" spans="1:9" x14ac:dyDescent="0.25">
      <c r="A88" s="64" t="s">
        <v>420</v>
      </c>
      <c r="B88" s="63" t="s">
        <v>458</v>
      </c>
      <c r="C88" s="63"/>
      <c r="D88" s="63"/>
      <c r="E88" s="63"/>
      <c r="F88" s="63"/>
      <c r="G88" s="63"/>
      <c r="H88" s="63"/>
      <c r="I88" s="63"/>
    </row>
    <row r="89" spans="1:9" x14ac:dyDescent="0.25">
      <c r="A89" s="64" t="s">
        <v>418</v>
      </c>
      <c r="B89" s="63" t="str">
        <f>E94</f>
        <v>CH</v>
      </c>
      <c r="C89" s="63"/>
      <c r="D89" s="63"/>
      <c r="E89" s="63"/>
      <c r="F89" s="63"/>
      <c r="G89" s="63"/>
      <c r="H89" s="63"/>
      <c r="I89" s="63"/>
    </row>
    <row r="90" spans="1:9" x14ac:dyDescent="0.25">
      <c r="A90" s="64" t="s">
        <v>414</v>
      </c>
      <c r="B90" s="63">
        <f>D94</f>
        <v>1</v>
      </c>
      <c r="C90" s="63"/>
      <c r="D90" s="63"/>
      <c r="E90" s="63"/>
      <c r="F90" s="63"/>
      <c r="G90" s="63"/>
      <c r="H90" s="63"/>
      <c r="I90" s="63"/>
    </row>
    <row r="91" spans="1:9" x14ac:dyDescent="0.25">
      <c r="A91" s="64" t="s">
        <v>416</v>
      </c>
      <c r="B91" s="63" t="s">
        <v>416</v>
      </c>
      <c r="C91" s="63"/>
      <c r="D91" s="63"/>
      <c r="E91" s="63"/>
      <c r="F91" s="63"/>
      <c r="G91" s="63"/>
      <c r="H91" s="63"/>
      <c r="I91" s="63"/>
    </row>
    <row r="92" spans="1:9" x14ac:dyDescent="0.25">
      <c r="A92" s="62" t="s">
        <v>421</v>
      </c>
      <c r="B92" s="63"/>
      <c r="C92" s="63"/>
      <c r="D92" s="63"/>
      <c r="E92" s="63"/>
      <c r="F92" s="63"/>
      <c r="G92" s="63"/>
      <c r="H92" s="63"/>
      <c r="I92" s="63"/>
    </row>
    <row r="93" spans="1:9" x14ac:dyDescent="0.25">
      <c r="A93" s="62" t="s">
        <v>422</v>
      </c>
      <c r="B93" s="62" t="s">
        <v>415</v>
      </c>
      <c r="C93" s="62" t="s">
        <v>416</v>
      </c>
      <c r="D93" s="62" t="s">
        <v>423</v>
      </c>
      <c r="E93" s="62" t="s">
        <v>418</v>
      </c>
      <c r="F93" s="62" t="s">
        <v>439</v>
      </c>
      <c r="G93" s="62" t="s">
        <v>425</v>
      </c>
      <c r="H93" s="62" t="s">
        <v>424</v>
      </c>
      <c r="I93" s="62" t="s">
        <v>420</v>
      </c>
    </row>
    <row r="94" spans="1:9" x14ac:dyDescent="0.25">
      <c r="A94" s="63" t="str">
        <f>Plant_parameters!G46</f>
        <v>well closure, advanced geothermal system, 12000 m vertical 42000 m horizontal, per m, without cement</v>
      </c>
      <c r="B94" s="63" t="str">
        <f>Plant_parameters!H46</f>
        <v>well, closed, advanced geothermal system, 12000 m vertical 42000 m horizontal, per m, without cement</v>
      </c>
      <c r="C94" s="63" t="s">
        <v>416</v>
      </c>
      <c r="D94" s="63">
        <v>1</v>
      </c>
      <c r="E94" s="63" t="s">
        <v>432</v>
      </c>
      <c r="F94" s="63" t="str">
        <f>$B$1</f>
        <v>ags</v>
      </c>
      <c r="G94" s="63" t="s">
        <v>427</v>
      </c>
      <c r="H94" s="63"/>
      <c r="I94" s="63"/>
    </row>
    <row r="95" spans="1:9" x14ac:dyDescent="0.25">
      <c r="A95" s="63" t="str">
        <f>A78</f>
        <v>market for cement, Portland</v>
      </c>
      <c r="B95" s="63" t="str">
        <f>B78</f>
        <v>cement, Portland</v>
      </c>
      <c r="C95" s="63" t="str">
        <f>C78</f>
        <v>kilogram</v>
      </c>
      <c r="D95" s="66">
        <f>'Drilling - energy_material_6km'!P56*'Drilling - energy_material_6km'!AI58</f>
        <v>51580.525353860619</v>
      </c>
      <c r="E95" s="63" t="str">
        <f>E78</f>
        <v>Europe without Switzerland</v>
      </c>
      <c r="F95" s="63" t="str">
        <f>F78</f>
        <v>ecoinvent-3.10.1-cutoff</v>
      </c>
      <c r="G95" s="63" t="str">
        <f>G78</f>
        <v>technosphere</v>
      </c>
      <c r="H95" s="63"/>
      <c r="I95" s="63"/>
    </row>
    <row r="98" spans="1:9" x14ac:dyDescent="0.25">
      <c r="A98" s="335" t="s">
        <v>413</v>
      </c>
      <c r="B98" s="362" t="str">
        <f>A106</f>
        <v>geothermal power plant construction, advanced geothermal system, CO2 working fluid, ca. 1.9 MW, plasma pulse drilling</v>
      </c>
      <c r="C98" s="362"/>
      <c r="D98" s="362"/>
      <c r="E98" s="362"/>
      <c r="F98" s="362"/>
      <c r="G98" s="362"/>
      <c r="H98" s="362"/>
      <c r="I98" s="362"/>
    </row>
    <row r="99" spans="1:9" x14ac:dyDescent="0.25">
      <c r="A99" s="64" t="s">
        <v>415</v>
      </c>
      <c r="B99" s="63" t="str">
        <f>B106</f>
        <v>geothermal power plant, advanced geothermal system, CO2 working fluid, ca. 1.9 MW, plasma pulse drilling</v>
      </c>
      <c r="C99" s="63"/>
      <c r="D99" s="63"/>
      <c r="E99" s="63"/>
      <c r="F99" s="63"/>
      <c r="G99" s="63"/>
      <c r="H99" s="63"/>
      <c r="I99" s="63"/>
    </row>
    <row r="100" spans="1:9" x14ac:dyDescent="0.25">
      <c r="A100" s="64" t="s">
        <v>420</v>
      </c>
      <c r="B100" s="63" t="s">
        <v>1594</v>
      </c>
      <c r="C100" s="63"/>
      <c r="D100" s="63"/>
      <c r="E100" s="63"/>
      <c r="F100" s="63"/>
      <c r="G100" s="63"/>
      <c r="H100" s="63"/>
      <c r="I100" s="63"/>
    </row>
    <row r="101" spans="1:9" x14ac:dyDescent="0.25">
      <c r="A101" s="64" t="s">
        <v>418</v>
      </c>
      <c r="B101" s="63" t="str">
        <f>E106</f>
        <v>CH</v>
      </c>
      <c r="C101" s="63"/>
      <c r="D101" s="63"/>
      <c r="E101" s="63"/>
      <c r="F101" s="63"/>
      <c r="G101" s="63"/>
      <c r="H101" s="63"/>
      <c r="I101" s="63"/>
    </row>
    <row r="102" spans="1:9" x14ac:dyDescent="0.25">
      <c r="A102" s="64" t="s">
        <v>414</v>
      </c>
      <c r="B102" s="63">
        <f>D106</f>
        <v>1</v>
      </c>
      <c r="C102" s="63"/>
      <c r="D102" s="63"/>
      <c r="E102" s="63"/>
      <c r="F102" s="63"/>
      <c r="G102" s="63"/>
      <c r="H102" s="63"/>
      <c r="I102" s="63"/>
    </row>
    <row r="103" spans="1:9" x14ac:dyDescent="0.25">
      <c r="A103" s="64" t="s">
        <v>416</v>
      </c>
      <c r="B103" s="63" t="str">
        <f>C106</f>
        <v>unit</v>
      </c>
      <c r="C103" s="63"/>
      <c r="D103" s="63"/>
      <c r="E103" s="63"/>
      <c r="F103" s="63"/>
      <c r="G103" s="63"/>
      <c r="H103" s="63"/>
      <c r="I103" s="63"/>
    </row>
    <row r="104" spans="1:9" x14ac:dyDescent="0.25">
      <c r="A104" s="62" t="s">
        <v>421</v>
      </c>
      <c r="B104" s="63"/>
      <c r="C104" s="63"/>
      <c r="D104" s="63"/>
      <c r="E104" s="63"/>
      <c r="F104" s="63"/>
      <c r="G104" s="63"/>
      <c r="H104" s="63"/>
      <c r="I104" s="63"/>
    </row>
    <row r="105" spans="1:9" x14ac:dyDescent="0.25">
      <c r="A105" s="62" t="s">
        <v>422</v>
      </c>
      <c r="B105" s="62" t="s">
        <v>415</v>
      </c>
      <c r="C105" s="62" t="s">
        <v>416</v>
      </c>
      <c r="D105" s="62" t="s">
        <v>423</v>
      </c>
      <c r="E105" s="62" t="s">
        <v>418</v>
      </c>
      <c r="F105" s="62" t="s">
        <v>439</v>
      </c>
      <c r="G105" s="62" t="s">
        <v>425</v>
      </c>
      <c r="H105" s="62" t="s">
        <v>424</v>
      </c>
      <c r="I105" s="62" t="s">
        <v>420</v>
      </c>
    </row>
    <row r="106" spans="1:9" x14ac:dyDescent="0.25">
      <c r="A106" s="63" t="str">
        <f>Plant_parameters!G47</f>
        <v>geothermal power plant construction, advanced geothermal system, CO2 working fluid, ca. 1.9 MW, plasma pulse drilling</v>
      </c>
      <c r="B106" s="63" t="str">
        <f>Plant_parameters!H47</f>
        <v>geothermal power plant, advanced geothermal system, CO2 working fluid, ca. 1.9 MW, plasma pulse drilling</v>
      </c>
      <c r="C106" s="63" t="str">
        <f>Plant_parameters!I47</f>
        <v>unit</v>
      </c>
      <c r="D106" s="63">
        <v>1</v>
      </c>
      <c r="E106" s="63" t="s">
        <v>432</v>
      </c>
      <c r="F106" s="63" t="str">
        <f>$B$1</f>
        <v>ags</v>
      </c>
      <c r="G106" s="63" t="s">
        <v>427</v>
      </c>
      <c r="H106" s="63"/>
      <c r="I106" s="63"/>
    </row>
    <row r="107" spans="1:9" x14ac:dyDescent="0.25">
      <c r="A107" t="s">
        <v>1122</v>
      </c>
      <c r="B107" t="s">
        <v>1121</v>
      </c>
      <c r="C107" s="63" t="s">
        <v>416</v>
      </c>
      <c r="D107">
        <v>2</v>
      </c>
      <c r="E107" s="63" t="s">
        <v>432</v>
      </c>
      <c r="F107" s="63" t="str">
        <f>ecoinventv310</f>
        <v>ecoinvent-3.10.1-cutoff</v>
      </c>
      <c r="G107" s="65" t="s">
        <v>429</v>
      </c>
      <c r="H107" s="63"/>
      <c r="I107" s="65" t="s">
        <v>2112</v>
      </c>
    </row>
    <row r="108" spans="1:9" x14ac:dyDescent="0.25">
      <c r="A108" s="350" t="s">
        <v>460</v>
      </c>
      <c r="B108" s="350" t="s">
        <v>461</v>
      </c>
      <c r="C108" s="348" t="s">
        <v>417</v>
      </c>
      <c r="D108" s="66">
        <v>0</v>
      </c>
      <c r="E108" s="65" t="s">
        <v>462</v>
      </c>
      <c r="F108" s="63" t="str">
        <f>ecoinventv310</f>
        <v>ecoinvent-3.10.1-cutoff</v>
      </c>
      <c r="G108" s="65" t="s">
        <v>429</v>
      </c>
      <c r="H108" s="63"/>
      <c r="I108" t="s">
        <v>1595</v>
      </c>
    </row>
    <row r="109" spans="1:9" x14ac:dyDescent="0.25">
      <c r="A109" s="63" t="str">
        <f>A73</f>
        <v>Transformation, from unspecified</v>
      </c>
      <c r="B109" s="63"/>
      <c r="C109" s="63" t="s">
        <v>437</v>
      </c>
      <c r="D109" s="63">
        <v>500</v>
      </c>
      <c r="E109" s="63"/>
      <c r="F109" t="str">
        <f>biospherev310</f>
        <v>ecoinvent-3.10.1-biosphere</v>
      </c>
      <c r="G109" s="65" t="s">
        <v>435</v>
      </c>
      <c r="H109" t="s">
        <v>1077</v>
      </c>
      <c r="I109" s="65" t="s">
        <v>1114</v>
      </c>
    </row>
    <row r="110" spans="1:9" x14ac:dyDescent="0.25">
      <c r="A110" s="63" t="str">
        <f>A74</f>
        <v>Transformation, to industrial area</v>
      </c>
      <c r="B110" s="63"/>
      <c r="C110" s="63" t="s">
        <v>437</v>
      </c>
      <c r="D110" s="63">
        <v>500</v>
      </c>
      <c r="E110" s="63"/>
      <c r="F110" t="str">
        <f>biospherev310</f>
        <v>ecoinvent-3.10.1-biosphere</v>
      </c>
      <c r="G110" s="65" t="s">
        <v>435</v>
      </c>
      <c r="H110" t="s">
        <v>1077</v>
      </c>
      <c r="I110" s="65" t="s">
        <v>1114</v>
      </c>
    </row>
    <row r="111" spans="1:9" x14ac:dyDescent="0.25">
      <c r="A111" s="63" t="s">
        <v>539</v>
      </c>
      <c r="B111" s="63"/>
      <c r="C111" t="s">
        <v>1076</v>
      </c>
      <c r="D111" s="63">
        <f>D110*lifetime_30a</f>
        <v>15000</v>
      </c>
      <c r="E111" s="63"/>
      <c r="F111" t="str">
        <f>biospherev310</f>
        <v>ecoinvent-3.10.1-biosphere</v>
      </c>
      <c r="G111" s="65" t="s">
        <v>435</v>
      </c>
      <c r="H111" t="s">
        <v>1077</v>
      </c>
      <c r="I111" s="65" t="s">
        <v>1114</v>
      </c>
    </row>
    <row r="112" spans="1:9" x14ac:dyDescent="0.25">
      <c r="A112" s="364" t="str">
        <f>LCI_CO2!A201</f>
        <v>CO2 pumping, supercritical, into geothermal well, per meter</v>
      </c>
      <c r="B112" s="364" t="str">
        <f>LCI_CO2!B201</f>
        <v>CO2, supercritical, pumped into geothermal well, per meter</v>
      </c>
      <c r="C112" s="364" t="str">
        <f>LCI_CO2!E202</f>
        <v>kilogram</v>
      </c>
      <c r="D112" s="365">
        <f>'CO2'!C33*1000</f>
        <v>543977.71433816536</v>
      </c>
      <c r="E112" s="364" t="str">
        <f>LCI_CO2!D201</f>
        <v>CH</v>
      </c>
      <c r="F112" s="366" t="str">
        <f>LCI_CO2!H201</f>
        <v>co2_kva</v>
      </c>
      <c r="G112" s="364" t="s">
        <v>429</v>
      </c>
      <c r="H112" s="364"/>
      <c r="I112" s="364"/>
    </row>
    <row r="113" spans="1:9" x14ac:dyDescent="0.25">
      <c r="A113" s="358" t="str">
        <f>A12</f>
        <v>well construction, plasma pulse geothermal drilling, advanced geothermal system, 6000 m vertical, per m</v>
      </c>
      <c r="B113" s="358" t="str">
        <f>B12</f>
        <v>well, constructed, plasma pulse geothermal drilling, advanced geothermal system, 6000 m vertical, per m</v>
      </c>
      <c r="C113" s="358" t="str">
        <f>C12</f>
        <v>meter</v>
      </c>
      <c r="D113" s="50">
        <f>'Drilling - energy_material_6km'!O45*2</f>
        <v>12000</v>
      </c>
      <c r="E113" s="358" t="str">
        <f>E12</f>
        <v>CH</v>
      </c>
      <c r="F113" s="358" t="str">
        <f>F12</f>
        <v>ags</v>
      </c>
      <c r="G113" s="358" t="s">
        <v>429</v>
      </c>
      <c r="H113" s="50"/>
      <c r="I113" s="50"/>
    </row>
    <row r="114" spans="1:9" x14ac:dyDescent="0.25">
      <c r="A114" s="358" t="str">
        <f>A33</f>
        <v>well construction, plasma pulse geothermal drilling, advanced geothermal system, 42000 m horizontal, per m</v>
      </c>
      <c r="B114" s="358" t="str">
        <f>B33</f>
        <v>well, constructed, plasma pulse geothermal drilling, advanced geothermal system, 42000 m horizontal, per m</v>
      </c>
      <c r="C114" s="358" t="str">
        <f>C33</f>
        <v>meter</v>
      </c>
      <c r="D114" s="50">
        <f>well_length_horizontal</f>
        <v>42000</v>
      </c>
      <c r="E114" s="358" t="str">
        <f>E33</f>
        <v>CH</v>
      </c>
      <c r="F114" s="358" t="str">
        <f>F33</f>
        <v>ags</v>
      </c>
      <c r="G114" s="358" t="s">
        <v>429</v>
      </c>
      <c r="H114" s="50"/>
      <c r="I114" s="50"/>
    </row>
    <row r="115" spans="1:9" x14ac:dyDescent="0.25">
      <c r="A115" t="str">
        <f>A94</f>
        <v>well closure, advanced geothermal system, 12000 m vertical 42000 m horizontal, per m, without cement</v>
      </c>
      <c r="B115" t="str">
        <f>B94</f>
        <v>well, closed, advanced geothermal system, 12000 m vertical 42000 m horizontal, per m, without cement</v>
      </c>
      <c r="C115" t="str">
        <f>C94</f>
        <v>unit</v>
      </c>
      <c r="D115">
        <v>1</v>
      </c>
      <c r="E115" t="str">
        <f>E94</f>
        <v>CH</v>
      </c>
      <c r="F115" t="str">
        <f>F94</f>
        <v>ags</v>
      </c>
      <c r="G115" s="65" t="s">
        <v>429</v>
      </c>
    </row>
    <row r="117" spans="1:9" x14ac:dyDescent="0.25">
      <c r="A117" s="335" t="s">
        <v>413</v>
      </c>
      <c r="B117" s="362" t="str">
        <f>A125</f>
        <v>electricity production, advanced geothermal system plant</v>
      </c>
      <c r="C117" s="362"/>
      <c r="D117" s="362"/>
      <c r="E117" s="362"/>
      <c r="F117" s="362"/>
      <c r="G117" s="362"/>
      <c r="H117" s="362"/>
      <c r="I117" s="362"/>
    </row>
    <row r="118" spans="1:9" x14ac:dyDescent="0.25">
      <c r="A118" s="64" t="s">
        <v>415</v>
      </c>
      <c r="B118" s="63" t="str">
        <f>B125</f>
        <v>electricity, high voltage</v>
      </c>
      <c r="C118" s="63"/>
      <c r="D118" s="63"/>
      <c r="E118" s="63"/>
      <c r="F118" s="63"/>
      <c r="G118" s="63"/>
      <c r="H118" s="63"/>
      <c r="I118" s="63"/>
    </row>
    <row r="119" spans="1:9" x14ac:dyDescent="0.25">
      <c r="A119" s="64" t="s">
        <v>420</v>
      </c>
      <c r="B119" s="63" t="s">
        <v>1116</v>
      </c>
      <c r="C119" s="63"/>
      <c r="D119" s="63"/>
      <c r="E119" s="63"/>
      <c r="F119" s="63"/>
      <c r="G119" s="63"/>
      <c r="H119" s="63"/>
      <c r="I119" s="63"/>
    </row>
    <row r="120" spans="1:9" x14ac:dyDescent="0.25">
      <c r="A120" s="64" t="s">
        <v>418</v>
      </c>
      <c r="B120" s="63" t="str">
        <f>E125</f>
        <v>CH</v>
      </c>
      <c r="C120" s="63"/>
      <c r="D120" s="63"/>
      <c r="E120" s="63"/>
      <c r="F120" s="63"/>
      <c r="G120" s="63"/>
      <c r="H120" s="63"/>
      <c r="I120" s="63"/>
    </row>
    <row r="121" spans="1:9" x14ac:dyDescent="0.25">
      <c r="A121" s="64" t="s">
        <v>414</v>
      </c>
      <c r="B121" s="63">
        <f>D125</f>
        <v>1</v>
      </c>
      <c r="C121" s="63"/>
      <c r="D121" s="63"/>
      <c r="E121" s="63"/>
      <c r="F121" s="63"/>
      <c r="G121" s="63"/>
      <c r="H121" s="63"/>
      <c r="I121" s="63"/>
    </row>
    <row r="122" spans="1:9" x14ac:dyDescent="0.25">
      <c r="A122" s="64" t="s">
        <v>416</v>
      </c>
      <c r="B122" s="63" t="str">
        <f>C125</f>
        <v>kilowatt hour</v>
      </c>
      <c r="C122" s="63"/>
      <c r="D122" s="63"/>
      <c r="E122" s="63"/>
      <c r="F122" s="63"/>
      <c r="G122" s="63"/>
      <c r="H122" s="63"/>
      <c r="I122" s="63"/>
    </row>
    <row r="123" spans="1:9" x14ac:dyDescent="0.25">
      <c r="A123" s="62" t="s">
        <v>421</v>
      </c>
      <c r="B123" s="63"/>
      <c r="C123" s="63"/>
      <c r="D123" s="63"/>
      <c r="E123" s="63"/>
      <c r="F123" s="63"/>
      <c r="G123" s="63"/>
      <c r="H123" s="63"/>
      <c r="I123" s="63"/>
    </row>
    <row r="124" spans="1:9" x14ac:dyDescent="0.25">
      <c r="A124" s="62" t="s">
        <v>422</v>
      </c>
      <c r="B124" s="62" t="s">
        <v>415</v>
      </c>
      <c r="C124" s="62" t="s">
        <v>416</v>
      </c>
      <c r="D124" s="62" t="s">
        <v>423</v>
      </c>
      <c r="E124" s="62" t="s">
        <v>418</v>
      </c>
      <c r="F124" s="62" t="s">
        <v>439</v>
      </c>
      <c r="G124" s="62" t="s">
        <v>425</v>
      </c>
      <c r="H124" s="62" t="s">
        <v>424</v>
      </c>
      <c r="I124" s="62" t="s">
        <v>420</v>
      </c>
    </row>
    <row r="125" spans="1:9" x14ac:dyDescent="0.25">
      <c r="A125" s="63" t="str">
        <f>Plant_parameters!G58</f>
        <v>electricity production, advanced geothermal system plant</v>
      </c>
      <c r="B125" s="63" t="s">
        <v>431</v>
      </c>
      <c r="C125" s="63" t="s">
        <v>433</v>
      </c>
      <c r="D125" s="63">
        <v>1</v>
      </c>
      <c r="E125" s="63" t="s">
        <v>432</v>
      </c>
      <c r="F125" s="63" t="str">
        <f>$B$1</f>
        <v>ags</v>
      </c>
      <c r="G125" s="63" t="s">
        <v>427</v>
      </c>
      <c r="H125" s="63"/>
      <c r="I125" s="63"/>
    </row>
    <row r="126" spans="1:9" x14ac:dyDescent="0.25">
      <c r="A126" s="364" t="str">
        <f>A106</f>
        <v>geothermal power plant construction, advanced geothermal system, CO2 working fluid, ca. 1.9 MW, plasma pulse drilling</v>
      </c>
      <c r="B126" s="364" t="str">
        <f>B106</f>
        <v>geothermal power plant, advanced geothermal system, CO2 working fluid, ca. 1.9 MW, plasma pulse drilling</v>
      </c>
      <c r="C126" s="364" t="str">
        <f>C106</f>
        <v>unit</v>
      </c>
      <c r="D126" s="364">
        <f>1/lifetime_60a_elprod</f>
        <v>1.1210128731148261E-9</v>
      </c>
      <c r="E126" s="364" t="str">
        <f>E106</f>
        <v>CH</v>
      </c>
      <c r="F126" s="364" t="str">
        <f>F106</f>
        <v>ags</v>
      </c>
      <c r="G126" s="364" t="s">
        <v>429</v>
      </c>
      <c r="H126" s="364"/>
      <c r="I126" s="364"/>
    </row>
    <row r="127" spans="1:9" x14ac:dyDescent="0.25">
      <c r="A127" s="364" t="str">
        <f>A112</f>
        <v>CO2 pumping, supercritical, into geothermal well, per meter</v>
      </c>
      <c r="B127" s="364" t="str">
        <f>B112</f>
        <v>CO2, supercritical, pumped into geothermal well, per meter</v>
      </c>
      <c r="C127" s="364" t="str">
        <f>C112</f>
        <v>kilogram</v>
      </c>
      <c r="D127" s="492">
        <f>0.05*D112/lifetime_60a_elprod</f>
        <v>3.0490301023033148E-5</v>
      </c>
      <c r="E127" s="364" t="str">
        <f>E112</f>
        <v>CH</v>
      </c>
      <c r="F127" s="364" t="str">
        <f>F112</f>
        <v>co2_kva</v>
      </c>
      <c r="G127" s="364" t="s">
        <v>429</v>
      </c>
      <c r="H127" s="364"/>
      <c r="I127" s="364" t="s">
        <v>1115</v>
      </c>
    </row>
    <row r="128" spans="1:9" x14ac:dyDescent="0.25">
      <c r="A128" s="65"/>
    </row>
    <row r="130" spans="1:9" x14ac:dyDescent="0.25">
      <c r="A130" s="357" t="s">
        <v>413</v>
      </c>
      <c r="B130" s="363" t="s">
        <v>1363</v>
      </c>
      <c r="C130" s="363"/>
      <c r="D130" s="363"/>
      <c r="E130" s="363"/>
      <c r="F130" s="363"/>
      <c r="G130" s="363"/>
      <c r="H130" s="363"/>
      <c r="I130" s="363"/>
    </row>
    <row r="131" spans="1:9" x14ac:dyDescent="0.25">
      <c r="A131" s="64" t="s">
        <v>415</v>
      </c>
      <c r="B131" s="63" t="s">
        <v>1439</v>
      </c>
      <c r="C131" s="63"/>
      <c r="D131" s="63"/>
      <c r="E131" s="63"/>
      <c r="F131" s="63"/>
      <c r="G131" s="63"/>
      <c r="H131" s="63"/>
      <c r="I131" s="63"/>
    </row>
    <row r="132" spans="1:9" x14ac:dyDescent="0.25">
      <c r="A132" s="64" t="s">
        <v>416</v>
      </c>
      <c r="B132" s="63" t="str">
        <f>C12</f>
        <v>meter</v>
      </c>
      <c r="C132" s="63"/>
      <c r="D132" s="63"/>
      <c r="E132" s="63"/>
      <c r="F132" s="63"/>
      <c r="G132" s="63"/>
      <c r="H132" s="63"/>
      <c r="I132" s="63"/>
    </row>
    <row r="133" spans="1:9" x14ac:dyDescent="0.25">
      <c r="A133" s="64" t="s">
        <v>418</v>
      </c>
      <c r="B133" s="63" t="str">
        <f>E12</f>
        <v>CH</v>
      </c>
      <c r="C133" s="63"/>
      <c r="D133" s="63"/>
      <c r="E133" s="63"/>
      <c r="F133" s="63"/>
      <c r="G133" s="63"/>
      <c r="H133" s="63"/>
      <c r="I133" s="63"/>
    </row>
    <row r="134" spans="1:9" x14ac:dyDescent="0.25">
      <c r="A134" s="64" t="s">
        <v>414</v>
      </c>
      <c r="B134" s="63">
        <f>D12</f>
        <v>1</v>
      </c>
      <c r="C134" s="63"/>
      <c r="D134" s="63"/>
      <c r="E134" s="63"/>
      <c r="F134" s="63"/>
      <c r="G134" s="63"/>
      <c r="H134" s="63"/>
      <c r="I134" s="63"/>
    </row>
    <row r="135" spans="1:9" x14ac:dyDescent="0.25">
      <c r="A135" s="64" t="s">
        <v>420</v>
      </c>
      <c r="B135" s="349" t="s">
        <v>1109</v>
      </c>
      <c r="C135" s="63"/>
      <c r="D135" s="63"/>
      <c r="E135" s="63"/>
      <c r="F135" s="63"/>
      <c r="G135" s="63"/>
      <c r="H135" s="63"/>
      <c r="I135" s="63"/>
    </row>
    <row r="136" spans="1:9" x14ac:dyDescent="0.25">
      <c r="A136" s="62" t="s">
        <v>421</v>
      </c>
      <c r="B136" s="63"/>
      <c r="C136" s="63"/>
      <c r="D136" s="63"/>
      <c r="E136" s="63"/>
      <c r="F136" s="63"/>
      <c r="G136" s="63"/>
      <c r="H136" s="63"/>
      <c r="I136" s="63"/>
    </row>
    <row r="137" spans="1:9" x14ac:dyDescent="0.25">
      <c r="A137" s="62" t="s">
        <v>422</v>
      </c>
      <c r="B137" s="62" t="s">
        <v>415</v>
      </c>
      <c r="C137" s="62" t="s">
        <v>416</v>
      </c>
      <c r="D137" s="62" t="s">
        <v>423</v>
      </c>
      <c r="E137" s="62" t="s">
        <v>418</v>
      </c>
      <c r="F137" s="62" t="s">
        <v>439</v>
      </c>
      <c r="G137" s="62" t="s">
        <v>425</v>
      </c>
      <c r="H137" s="62" t="s">
        <v>424</v>
      </c>
      <c r="I137" s="62" t="s">
        <v>420</v>
      </c>
    </row>
    <row r="138" spans="1:9" x14ac:dyDescent="0.25">
      <c r="A138" s="348" t="str">
        <f>B130</f>
        <v>well construction, plasma pulse geothermal drilling, advanced geothermal system, 12000 m vertical 42000 m horizontal, per m, without electricity, steel, cement, water, drilling rig</v>
      </c>
      <c r="B138" s="348" t="str">
        <f>B131</f>
        <v>well, constructed, plasma pulse geothermal drilling, advanced geothermal system, 12000 m vertical 42000 m horizontal, per m, without electricity, steel, cement, water, drilling rig</v>
      </c>
      <c r="C138" s="348" t="str">
        <f>Plant_parameters!I41</f>
        <v>meter</v>
      </c>
      <c r="D138" s="63">
        <v>1</v>
      </c>
      <c r="E138" s="63" t="s">
        <v>432</v>
      </c>
      <c r="F138" s="63" t="str">
        <f>$B$1</f>
        <v>ags</v>
      </c>
      <c r="G138" s="63" t="s">
        <v>427</v>
      </c>
      <c r="H138" s="63"/>
      <c r="I138" s="63"/>
    </row>
    <row r="139" spans="1:9" x14ac:dyDescent="0.25">
      <c r="A139" s="348" t="s">
        <v>1034</v>
      </c>
      <c r="B139" s="348" t="s">
        <v>480</v>
      </c>
      <c r="C139" s="348" t="s">
        <v>433</v>
      </c>
      <c r="D139" s="66">
        <v>0</v>
      </c>
      <c r="E139" s="63" t="s">
        <v>432</v>
      </c>
      <c r="F139" s="63" t="str">
        <f t="shared" ref="F139:F147" si="3">ecoinventv310</f>
        <v>ecoinvent-3.10.1-cutoff</v>
      </c>
      <c r="G139" s="65" t="s">
        <v>429</v>
      </c>
      <c r="H139" s="63"/>
      <c r="I139" s="63" t="s">
        <v>1071</v>
      </c>
    </row>
    <row r="140" spans="1:9" x14ac:dyDescent="0.25">
      <c r="A140" s="350" t="s">
        <v>460</v>
      </c>
      <c r="B140" s="350" t="s">
        <v>461</v>
      </c>
      <c r="C140" s="348" t="s">
        <v>417</v>
      </c>
      <c r="D140" s="66">
        <v>0</v>
      </c>
      <c r="E140" s="65" t="s">
        <v>462</v>
      </c>
      <c r="F140" s="63" t="str">
        <f t="shared" si="3"/>
        <v>ecoinvent-3.10.1-cutoff</v>
      </c>
      <c r="G140" s="65" t="s">
        <v>429</v>
      </c>
      <c r="H140" s="63"/>
      <c r="I140" s="63" t="s">
        <v>1048</v>
      </c>
    </row>
    <row r="141" spans="1:9" x14ac:dyDescent="0.25">
      <c r="A141" s="348" t="str">
        <f>mapping!F11</f>
        <v>market for cement, Portland</v>
      </c>
      <c r="B141" s="63" t="str">
        <f>mapping!E11</f>
        <v>cement, Portland</v>
      </c>
      <c r="C141" s="63" t="str">
        <f>mapping!H11</f>
        <v>kilogram</v>
      </c>
      <c r="D141" s="66">
        <v>0</v>
      </c>
      <c r="E141" s="63" t="str">
        <f>mapping!G11</f>
        <v>Europe without Switzerland</v>
      </c>
      <c r="F141" s="63" t="str">
        <f t="shared" si="3"/>
        <v>ecoinvent-3.10.1-cutoff</v>
      </c>
      <c r="G141" s="65" t="s">
        <v>429</v>
      </c>
      <c r="H141" s="63"/>
      <c r="I141" s="65" t="s">
        <v>1097</v>
      </c>
    </row>
    <row r="142" spans="1:9" x14ac:dyDescent="0.25">
      <c r="A142" t="s">
        <v>500</v>
      </c>
      <c r="B142" t="s">
        <v>499</v>
      </c>
      <c r="C142" t="s">
        <v>417</v>
      </c>
      <c r="D142" s="66">
        <v>0</v>
      </c>
      <c r="E142" t="s">
        <v>432</v>
      </c>
      <c r="F142" s="63" t="str">
        <f t="shared" si="3"/>
        <v>ecoinvent-3.10.1-cutoff</v>
      </c>
      <c r="G142" s="65" t="s">
        <v>429</v>
      </c>
      <c r="H142" s="63"/>
      <c r="I142" s="65" t="s">
        <v>1103</v>
      </c>
    </row>
    <row r="143" spans="1:9" x14ac:dyDescent="0.25">
      <c r="A143" s="63" t="s">
        <v>1063</v>
      </c>
      <c r="B143" s="348" t="s">
        <v>1062</v>
      </c>
      <c r="C143" s="63" t="s">
        <v>417</v>
      </c>
      <c r="D143" s="63">
        <v>0</v>
      </c>
      <c r="E143" s="63" t="s">
        <v>419</v>
      </c>
      <c r="F143" s="63" t="str">
        <f t="shared" si="3"/>
        <v>ecoinvent-3.10.1-cutoff</v>
      </c>
      <c r="G143" s="65" t="s">
        <v>429</v>
      </c>
      <c r="H143" s="63"/>
      <c r="I143" s="63" t="s">
        <v>1066</v>
      </c>
    </row>
    <row r="144" spans="1:9" x14ac:dyDescent="0.25">
      <c r="A144" s="63" t="s">
        <v>1065</v>
      </c>
      <c r="B144" s="348" t="s">
        <v>1064</v>
      </c>
      <c r="C144" s="63" t="s">
        <v>416</v>
      </c>
      <c r="D144">
        <v>0</v>
      </c>
      <c r="E144" s="65" t="s">
        <v>432</v>
      </c>
      <c r="F144" s="63" t="str">
        <f t="shared" si="3"/>
        <v>ecoinvent-3.10.1-cutoff</v>
      </c>
      <c r="G144" s="65" t="s">
        <v>429</v>
      </c>
      <c r="H144" s="63"/>
      <c r="I144" s="63" t="s">
        <v>1067</v>
      </c>
    </row>
    <row r="145" spans="1:9" x14ac:dyDescent="0.25">
      <c r="A145" s="348" t="s">
        <v>506</v>
      </c>
      <c r="B145" s="63" t="s">
        <v>505</v>
      </c>
      <c r="C145" s="63" t="s">
        <v>433</v>
      </c>
      <c r="D145" s="63">
        <v>0</v>
      </c>
      <c r="E145" s="63" t="s">
        <v>432</v>
      </c>
      <c r="F145" s="63" t="str">
        <f t="shared" si="3"/>
        <v>ecoinvent-3.10.1-cutoff</v>
      </c>
      <c r="G145" s="65" t="s">
        <v>429</v>
      </c>
      <c r="H145" s="63"/>
      <c r="I145" s="65" t="s">
        <v>1068</v>
      </c>
    </row>
    <row r="146" spans="1:9" x14ac:dyDescent="0.25">
      <c r="A146" s="63" t="s">
        <v>1069</v>
      </c>
      <c r="B146" s="348" t="s">
        <v>1069</v>
      </c>
      <c r="C146" s="65" t="s">
        <v>434</v>
      </c>
      <c r="D146" s="66">
        <f>(MJ_per_m*0.02)/0.4</f>
        <v>34.432888888888883</v>
      </c>
      <c r="E146" s="63" t="s">
        <v>462</v>
      </c>
      <c r="F146" s="63" t="str">
        <f t="shared" si="3"/>
        <v>ecoinvent-3.10.1-cutoff</v>
      </c>
      <c r="G146" s="65" t="s">
        <v>429</v>
      </c>
      <c r="H146" s="63"/>
      <c r="I146" s="65" t="s">
        <v>1070</v>
      </c>
    </row>
    <row r="147" spans="1:9" x14ac:dyDescent="0.25">
      <c r="A147" t="s">
        <v>1073</v>
      </c>
      <c r="B147" s="65" t="s">
        <v>1072</v>
      </c>
      <c r="C147" t="s">
        <v>417</v>
      </c>
      <c r="D147" s="66">
        <f>-(('Drilling - energy_material_6km'!W47+'Drilling - energy_material_6km'!W48)*'Drilling - energy_material_6km'!AI68)/'Drilling - energy_material_6km'!O47</f>
        <v>-90.613372470385329</v>
      </c>
      <c r="E147" t="s">
        <v>432</v>
      </c>
      <c r="F147" s="63" t="str">
        <f t="shared" si="3"/>
        <v>ecoinvent-3.10.1-cutoff</v>
      </c>
      <c r="G147" s="65" t="s">
        <v>429</v>
      </c>
      <c r="H147" s="63"/>
      <c r="I147" s="65" t="s">
        <v>1074</v>
      </c>
    </row>
    <row r="148" spans="1:9" x14ac:dyDescent="0.25">
      <c r="A148" t="str">
        <f>A72</f>
        <v>drilling rig construction, plasma pulse geothermal drilling</v>
      </c>
      <c r="B148" t="str">
        <f>B72</f>
        <v>drilling rig, plasma pulse geothermal drilling</v>
      </c>
      <c r="C148" t="str">
        <f>C72</f>
        <v>unit</v>
      </c>
      <c r="D148" s="356">
        <v>0</v>
      </c>
      <c r="E148" t="str">
        <f>E72</f>
        <v>CH</v>
      </c>
      <c r="F148" t="str">
        <f>F72</f>
        <v>ags</v>
      </c>
      <c r="G148" t="s">
        <v>429</v>
      </c>
      <c r="H148" s="63"/>
      <c r="I148" s="65"/>
    </row>
    <row r="151" spans="1:9" x14ac:dyDescent="0.25">
      <c r="A151" s="357" t="s">
        <v>413</v>
      </c>
      <c r="B151" s="363" t="s">
        <v>1169</v>
      </c>
      <c r="C151" s="363"/>
      <c r="D151" s="363"/>
      <c r="E151" s="363"/>
      <c r="F151" s="363"/>
      <c r="G151" s="363"/>
      <c r="H151" s="363"/>
      <c r="I151" s="363"/>
    </row>
    <row r="152" spans="1:9" x14ac:dyDescent="0.25">
      <c r="A152" s="64" t="s">
        <v>415</v>
      </c>
      <c r="B152" s="63" t="s">
        <v>1170</v>
      </c>
      <c r="C152" s="63"/>
      <c r="D152" s="63"/>
      <c r="E152" s="63"/>
      <c r="F152" s="63"/>
      <c r="G152" s="63"/>
      <c r="H152" s="63"/>
      <c r="I152" s="63"/>
    </row>
    <row r="153" spans="1:9" x14ac:dyDescent="0.25">
      <c r="A153" s="64" t="s">
        <v>420</v>
      </c>
      <c r="B153" s="63" t="s">
        <v>1113</v>
      </c>
      <c r="C153" s="63"/>
      <c r="D153" s="63"/>
      <c r="E153" s="63"/>
      <c r="F153" s="63"/>
      <c r="G153" s="63"/>
      <c r="H153" s="63"/>
      <c r="I153" s="63"/>
    </row>
    <row r="154" spans="1:9" x14ac:dyDescent="0.25">
      <c r="A154" s="64" t="s">
        <v>418</v>
      </c>
      <c r="B154" s="63" t="str">
        <f>E106</f>
        <v>CH</v>
      </c>
      <c r="C154" s="63"/>
      <c r="D154" s="63"/>
      <c r="E154" s="63"/>
      <c r="F154" s="63"/>
      <c r="G154" s="63"/>
      <c r="H154" s="63"/>
      <c r="I154" s="63"/>
    </row>
    <row r="155" spans="1:9" x14ac:dyDescent="0.25">
      <c r="A155" s="64" t="s">
        <v>414</v>
      </c>
      <c r="B155" s="63">
        <f>D106</f>
        <v>1</v>
      </c>
      <c r="C155" s="63"/>
      <c r="D155" s="63"/>
      <c r="E155" s="63"/>
      <c r="F155" s="63"/>
      <c r="G155" s="63"/>
      <c r="H155" s="63"/>
      <c r="I155" s="63"/>
    </row>
    <row r="156" spans="1:9" x14ac:dyDescent="0.25">
      <c r="A156" s="64" t="s">
        <v>416</v>
      </c>
      <c r="B156" s="63" t="str">
        <f>C106</f>
        <v>unit</v>
      </c>
      <c r="C156" s="63"/>
      <c r="D156" s="63"/>
      <c r="E156" s="63"/>
      <c r="F156" s="63"/>
      <c r="G156" s="63"/>
      <c r="H156" s="63"/>
      <c r="I156" s="63"/>
    </row>
    <row r="157" spans="1:9" x14ac:dyDescent="0.25">
      <c r="A157" s="62" t="s">
        <v>421</v>
      </c>
      <c r="B157" s="63"/>
      <c r="C157" s="63"/>
      <c r="D157" s="63"/>
      <c r="E157" s="63"/>
      <c r="F157" s="63"/>
      <c r="G157" s="63"/>
      <c r="H157" s="63"/>
      <c r="I157" s="63"/>
    </row>
    <row r="158" spans="1:9" x14ac:dyDescent="0.25">
      <c r="A158" s="62" t="s">
        <v>422</v>
      </c>
      <c r="B158" s="62" t="s">
        <v>415</v>
      </c>
      <c r="C158" s="62" t="s">
        <v>416</v>
      </c>
      <c r="D158" s="62" t="s">
        <v>423</v>
      </c>
      <c r="E158" s="62" t="s">
        <v>418</v>
      </c>
      <c r="F158" s="62" t="s">
        <v>439</v>
      </c>
      <c r="G158" s="62" t="s">
        <v>425</v>
      </c>
      <c r="H158" s="62" t="s">
        <v>424</v>
      </c>
      <c r="I158" s="62" t="s">
        <v>420</v>
      </c>
    </row>
    <row r="159" spans="1:9" x14ac:dyDescent="0.25">
      <c r="A159" s="348" t="str">
        <f>B151</f>
        <v>geothermal power plant construction, advanced geothermal system, CO2 working fluid, ca. 1.9 MW, without CO2 and well</v>
      </c>
      <c r="B159" s="348" t="str">
        <f>B152</f>
        <v>geothermal power plant, advanced geothermal system, CO2 working fluid, ca. 1.9 MW, without CO2 and well</v>
      </c>
      <c r="C159" s="63" t="str">
        <f>Plant_parameters!I47</f>
        <v>unit</v>
      </c>
      <c r="D159" s="63">
        <v>1</v>
      </c>
      <c r="E159" s="63" t="s">
        <v>432</v>
      </c>
      <c r="F159" s="63" t="str">
        <f>$B$1</f>
        <v>ags</v>
      </c>
      <c r="G159" s="63" t="s">
        <v>427</v>
      </c>
      <c r="H159" s="63"/>
      <c r="I159" s="63"/>
    </row>
    <row r="160" spans="1:9" x14ac:dyDescent="0.25">
      <c r="A160" t="s">
        <v>1122</v>
      </c>
      <c r="B160" t="s">
        <v>1121</v>
      </c>
      <c r="C160" s="63" t="s">
        <v>416</v>
      </c>
      <c r="D160">
        <v>1</v>
      </c>
      <c r="E160" s="63" t="s">
        <v>432</v>
      </c>
      <c r="F160" s="63" t="str">
        <f>ecoinventv310</f>
        <v>ecoinvent-3.10.1-cutoff</v>
      </c>
      <c r="G160" s="65" t="s">
        <v>429</v>
      </c>
      <c r="H160" s="63"/>
      <c r="I160" s="65" t="s">
        <v>1123</v>
      </c>
    </row>
    <row r="161" spans="1:9" x14ac:dyDescent="0.25">
      <c r="A161" s="350" t="s">
        <v>460</v>
      </c>
      <c r="B161" s="350" t="s">
        <v>461</v>
      </c>
      <c r="C161" s="348" t="s">
        <v>417</v>
      </c>
      <c r="D161" s="66">
        <v>0</v>
      </c>
      <c r="E161" s="65" t="s">
        <v>462</v>
      </c>
      <c r="F161" s="63" t="str">
        <f>ecoinventv310</f>
        <v>ecoinvent-3.10.1-cutoff</v>
      </c>
      <c r="G161" s="65" t="s">
        <v>429</v>
      </c>
      <c r="H161" s="63"/>
      <c r="I161" t="s">
        <v>1117</v>
      </c>
    </row>
    <row r="162" spans="1:9" x14ac:dyDescent="0.25">
      <c r="A162" s="63" t="str">
        <f>A73</f>
        <v>Transformation, from unspecified</v>
      </c>
      <c r="B162" s="63"/>
      <c r="C162" s="63" t="s">
        <v>437</v>
      </c>
      <c r="D162" s="63">
        <v>500</v>
      </c>
      <c r="E162" s="63"/>
      <c r="F162" t="str">
        <f>biospherev310</f>
        <v>ecoinvent-3.10.1-biosphere</v>
      </c>
      <c r="G162" s="65" t="s">
        <v>435</v>
      </c>
      <c r="H162" t="s">
        <v>1077</v>
      </c>
      <c r="I162" s="65" t="s">
        <v>1114</v>
      </c>
    </row>
    <row r="163" spans="1:9" x14ac:dyDescent="0.25">
      <c r="A163" s="63" t="str">
        <f>A74</f>
        <v>Transformation, to industrial area</v>
      </c>
      <c r="B163" s="63"/>
      <c r="C163" s="63" t="s">
        <v>437</v>
      </c>
      <c r="D163" s="63">
        <v>500</v>
      </c>
      <c r="E163" s="63"/>
      <c r="F163" t="str">
        <f>biospherev310</f>
        <v>ecoinvent-3.10.1-biosphere</v>
      </c>
      <c r="G163" s="65" t="s">
        <v>435</v>
      </c>
      <c r="H163" t="s">
        <v>1077</v>
      </c>
      <c r="I163" s="65" t="s">
        <v>1114</v>
      </c>
    </row>
    <row r="164" spans="1:9" x14ac:dyDescent="0.25">
      <c r="A164" s="63" t="s">
        <v>539</v>
      </c>
      <c r="B164" s="63"/>
      <c r="C164" t="s">
        <v>1076</v>
      </c>
      <c r="D164" s="63">
        <f>D110*lifetime_30a</f>
        <v>15000</v>
      </c>
      <c r="E164" s="63"/>
      <c r="F164" t="str">
        <f>biospherev310</f>
        <v>ecoinvent-3.10.1-biosphere</v>
      </c>
      <c r="G164" s="65" t="s">
        <v>435</v>
      </c>
      <c r="H164" t="s">
        <v>1077</v>
      </c>
      <c r="I164" s="65" t="s">
        <v>1114</v>
      </c>
    </row>
    <row r="165" spans="1:9" x14ac:dyDescent="0.25">
      <c r="A165" s="63" t="str">
        <f>LCI_CO2!A201</f>
        <v>CO2 pumping, supercritical, into geothermal well, per meter</v>
      </c>
      <c r="B165" s="63" t="str">
        <f>LCI_CO2!B201</f>
        <v>CO2, supercritical, pumped into geothermal well, per meter</v>
      </c>
      <c r="C165" s="63" t="str">
        <f>LCI_CO2!E202</f>
        <v>kilogram</v>
      </c>
      <c r="D165" s="66">
        <v>0</v>
      </c>
      <c r="E165" s="63" t="str">
        <f>LCI_CO2!D201</f>
        <v>CH</v>
      </c>
      <c r="F165" s="64" t="str">
        <f>LCI_CO2!H201</f>
        <v>co2_kva</v>
      </c>
      <c r="G165" s="63" t="s">
        <v>429</v>
      </c>
      <c r="H165" s="63"/>
      <c r="I165" s="63"/>
    </row>
    <row r="166" spans="1:9" x14ac:dyDescent="0.25">
      <c r="A166" s="65" t="str">
        <f>A12</f>
        <v>well construction, plasma pulse geothermal drilling, advanced geothermal system, 6000 m vertical, per m</v>
      </c>
      <c r="B166" s="65" t="str">
        <f>B12</f>
        <v>well, constructed, plasma pulse geothermal drilling, advanced geothermal system, 6000 m vertical, per m</v>
      </c>
      <c r="C166" s="65" t="str">
        <f>C12</f>
        <v>meter</v>
      </c>
      <c r="D166">
        <v>0</v>
      </c>
      <c r="E166" s="65" t="str">
        <f>E12</f>
        <v>CH</v>
      </c>
      <c r="F166" s="65" t="str">
        <f>F12</f>
        <v>ags</v>
      </c>
      <c r="G166" s="65" t="s">
        <v>429</v>
      </c>
    </row>
    <row r="167" spans="1:9" x14ac:dyDescent="0.25">
      <c r="A167" t="str">
        <f>A94</f>
        <v>well closure, advanced geothermal system, 12000 m vertical 42000 m horizontal, per m, without cement</v>
      </c>
      <c r="B167" t="str">
        <f>B94</f>
        <v>well, closed, advanced geothermal system, 12000 m vertical 42000 m horizontal, per m, without cement</v>
      </c>
      <c r="C167" t="str">
        <f>C94</f>
        <v>unit</v>
      </c>
      <c r="D167">
        <v>1</v>
      </c>
      <c r="E167" t="str">
        <f>E94</f>
        <v>CH</v>
      </c>
      <c r="F167" t="str">
        <f>F94</f>
        <v>ags</v>
      </c>
      <c r="G167" s="65" t="s">
        <v>429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2335-AD40-4398-938F-E75224067BBA}">
  <sheetPr>
    <tabColor theme="5" tint="0.39997558519241921"/>
  </sheetPr>
  <dimension ref="A1:J321"/>
  <sheetViews>
    <sheetView workbookViewId="0"/>
  </sheetViews>
  <sheetFormatPr defaultRowHeight="15" x14ac:dyDescent="0.25"/>
  <cols>
    <col min="1" max="1" width="38.28515625" customWidth="1"/>
    <col min="2" max="2" width="32.28515625" customWidth="1"/>
    <col min="3" max="3" width="11" bestFit="1" customWidth="1"/>
  </cols>
  <sheetData>
    <row r="1" spans="1:10" x14ac:dyDescent="0.25">
      <c r="A1" s="9" t="s">
        <v>426</v>
      </c>
      <c r="B1" s="9" t="s">
        <v>911</v>
      </c>
    </row>
    <row r="4" spans="1:10" x14ac:dyDescent="0.25">
      <c r="A4" s="335" t="s">
        <v>413</v>
      </c>
      <c r="B4" s="335" t="str">
        <f>literature_CO2_cond_transp!C150</f>
        <v>2-amino-2-methyl-1-propanol (AMP) production</v>
      </c>
      <c r="C4" s="335"/>
      <c r="D4" s="335"/>
      <c r="E4" s="335"/>
      <c r="F4" s="335"/>
      <c r="G4" s="336"/>
      <c r="H4" s="336"/>
      <c r="I4" s="336"/>
      <c r="J4" s="336"/>
    </row>
    <row r="5" spans="1:10" x14ac:dyDescent="0.25">
      <c r="A5" t="s">
        <v>414</v>
      </c>
      <c r="B5">
        <f>literature_CO2_cond_transp!C151</f>
        <v>1</v>
      </c>
    </row>
    <row r="6" spans="1:10" x14ac:dyDescent="0.25">
      <c r="A6" t="s">
        <v>415</v>
      </c>
      <c r="B6" t="str">
        <f>literature_CO2_cond_transp!C152</f>
        <v>2-amino-2-methyl-1-propanol (AMP)</v>
      </c>
    </row>
    <row r="7" spans="1:10" x14ac:dyDescent="0.25">
      <c r="A7" t="s">
        <v>416</v>
      </c>
      <c r="B7" t="str">
        <f>literature_CO2_cond_transp!C153</f>
        <v>kilogram</v>
      </c>
    </row>
    <row r="8" spans="1:10" x14ac:dyDescent="0.25">
      <c r="A8" t="s">
        <v>418</v>
      </c>
      <c r="B8" t="s">
        <v>419</v>
      </c>
    </row>
    <row r="9" spans="1:10" x14ac:dyDescent="0.25">
      <c r="A9" t="s">
        <v>420</v>
      </c>
      <c r="B9" t="str">
        <f>literature_CO2_cond_transp!C155</f>
        <v>The production process of 2-amino-2-methyl-1-propanol (AMP) is available in neither ev391cutoff nor CarbonMinds. Process is thus approximated with the reaction stochiometry, based on recommendations by Langhorst et al. Source: Burger et al. Environmental imacts of carbon capture, transport, and storage supply chains: Status and the way forward, https://doi.org/10.1016/j.ijggc.2023.104039. Supportive information excel spreadsheet, shhet "B.5 Auxiliary processes"</v>
      </c>
    </row>
    <row r="11" spans="1:10" x14ac:dyDescent="0.25">
      <c r="A11" s="9" t="s">
        <v>421</v>
      </c>
      <c r="B11" s="9"/>
      <c r="C11" s="9"/>
      <c r="D11" s="9"/>
      <c r="E11" s="9"/>
      <c r="F11" s="9"/>
      <c r="G11" s="9"/>
      <c r="H11" s="9"/>
      <c r="I11" s="9"/>
    </row>
    <row r="12" spans="1:10" x14ac:dyDescent="0.25">
      <c r="A12" s="9" t="s">
        <v>422</v>
      </c>
      <c r="B12" s="9" t="s">
        <v>415</v>
      </c>
      <c r="C12" s="9" t="s">
        <v>423</v>
      </c>
      <c r="D12" s="9" t="s">
        <v>418</v>
      </c>
      <c r="E12" s="9" t="s">
        <v>416</v>
      </c>
      <c r="F12" s="9" t="s">
        <v>424</v>
      </c>
      <c r="G12" s="9" t="s">
        <v>425</v>
      </c>
      <c r="H12" s="9" t="s">
        <v>439</v>
      </c>
      <c r="I12" s="9" t="s">
        <v>420</v>
      </c>
    </row>
    <row r="13" spans="1:10" x14ac:dyDescent="0.25">
      <c r="A13" s="65" t="str">
        <f>B4</f>
        <v>2-amino-2-methyl-1-propanol (AMP) production</v>
      </c>
      <c r="B13" s="65" t="str">
        <f>B6</f>
        <v>2-amino-2-methyl-1-propanol (AMP)</v>
      </c>
      <c r="C13" s="65">
        <f>B5</f>
        <v>1</v>
      </c>
      <c r="D13" s="65" t="str">
        <f>B8</f>
        <v>RER</v>
      </c>
      <c r="E13" s="65" t="str">
        <f>B7</f>
        <v>kilogram</v>
      </c>
      <c r="F13" s="65"/>
      <c r="G13" s="65" t="s">
        <v>427</v>
      </c>
      <c r="H13" s="65" t="str">
        <f>db_co2</f>
        <v>co2_kva</v>
      </c>
      <c r="I13" s="65"/>
      <c r="J13" s="65"/>
    </row>
    <row r="14" spans="1:10" x14ac:dyDescent="0.25">
      <c r="A14" t="str">
        <f>literature_CO2_cond_transp!B159</f>
        <v>steam production, as energy carrier, in chemical industry</v>
      </c>
      <c r="B14" t="str">
        <f>literature_CO2_cond_transp!D159</f>
        <v>heat, from steam, in chemical industry</v>
      </c>
      <c r="C14">
        <f>literature_CO2_cond_transp!C159</f>
        <v>7.7</v>
      </c>
      <c r="D14" t="str">
        <f>literature_CO2_cond_transp!E159</f>
        <v>RER</v>
      </c>
      <c r="E14" t="str">
        <f>literature_CO2_cond_transp!F159</f>
        <v>megajoule</v>
      </c>
      <c r="G14" t="str">
        <f>literature_CO2_cond_transp!H159</f>
        <v>technosphere</v>
      </c>
      <c r="H14" t="str">
        <f t="shared" ref="H14:H19" si="0">ecoinventv310</f>
        <v>ecoinvent-3.10.1-cutoff</v>
      </c>
    </row>
    <row r="15" spans="1:10" x14ac:dyDescent="0.25">
      <c r="A15" t="str">
        <f>literature_CO2_cond_transp!B160</f>
        <v>market group for electricity, medium voltage</v>
      </c>
      <c r="B15" t="str">
        <f>literature_CO2_cond_transp!D160</f>
        <v>electricity, medium voltage</v>
      </c>
      <c r="C15">
        <f>literature_CO2_cond_transp!C160</f>
        <v>0.16667000000000001</v>
      </c>
      <c r="D15" t="str">
        <f>literature_CO2_cond_transp!E160</f>
        <v>RER</v>
      </c>
      <c r="E15" t="str">
        <f>literature_CO2_cond_transp!F160</f>
        <v>kilowatt hour</v>
      </c>
      <c r="G15" t="str">
        <f>literature_CO2_cond_transp!H160</f>
        <v>technosphere</v>
      </c>
      <c r="H15" t="str">
        <f t="shared" si="0"/>
        <v>ecoinvent-3.10.1-cutoff</v>
      </c>
    </row>
    <row r="16" spans="1:10" x14ac:dyDescent="0.25">
      <c r="A16" t="str">
        <f>literature_CO2_cond_transp!B161</f>
        <v>market for formaldehyde</v>
      </c>
      <c r="B16" t="str">
        <f>literature_CO2_cond_transp!D161</f>
        <v>formaldehyde</v>
      </c>
      <c r="C16">
        <f>literature_CO2_cond_transp!C161</f>
        <v>0.37</v>
      </c>
      <c r="D16" t="str">
        <f>literature_CO2_cond_transp!E161</f>
        <v>RER</v>
      </c>
      <c r="E16" t="str">
        <f>literature_CO2_cond_transp!F161</f>
        <v>kilogram</v>
      </c>
      <c r="G16" t="str">
        <f>literature_CO2_cond_transp!H161</f>
        <v>technosphere</v>
      </c>
      <c r="H16" t="str">
        <f t="shared" si="0"/>
        <v>ecoinvent-3.10.1-cutoff</v>
      </c>
    </row>
    <row r="17" spans="1:10" x14ac:dyDescent="0.25">
      <c r="A17" t="s">
        <v>1120</v>
      </c>
      <c r="B17" t="s">
        <v>1119</v>
      </c>
      <c r="C17">
        <f>literature_CO2_cond_transp!C162</f>
        <v>7.0999999999999994E-2</v>
      </c>
      <c r="D17" t="str">
        <f>literature_CO2_cond_transp!E162</f>
        <v>RER</v>
      </c>
      <c r="E17" t="str">
        <f>literature_CO2_cond_transp!F162</f>
        <v>kilogram</v>
      </c>
      <c r="G17" t="str">
        <f>literature_CO2_cond_transp!H162</f>
        <v>technosphere</v>
      </c>
      <c r="H17" t="str">
        <f t="shared" si="0"/>
        <v>ecoinvent-3.10.1-cutoff</v>
      </c>
    </row>
    <row r="18" spans="1:10" x14ac:dyDescent="0.25">
      <c r="A18" t="str">
        <f>literature_CO2_cond_transp!B163</f>
        <v>market for water, deionised</v>
      </c>
      <c r="B18" t="str">
        <f>literature_CO2_cond_transp!D163</f>
        <v>water, deionised</v>
      </c>
      <c r="C18">
        <f>literature_CO2_cond_transp!C163</f>
        <v>24</v>
      </c>
      <c r="D18" t="str">
        <f>literature_CO2_cond_transp!E163</f>
        <v>Europe without Switzerland</v>
      </c>
      <c r="E18" t="str">
        <f>literature_CO2_cond_transp!F163</f>
        <v>kilogram</v>
      </c>
      <c r="G18" t="str">
        <f>literature_CO2_cond_transp!H163</f>
        <v>technosphere</v>
      </c>
      <c r="H18" t="str">
        <f t="shared" si="0"/>
        <v>ecoinvent-3.10.1-cutoff</v>
      </c>
    </row>
    <row r="19" spans="1:10" x14ac:dyDescent="0.25">
      <c r="A19" t="s">
        <v>1118</v>
      </c>
      <c r="B19" t="str">
        <f>literature_CO2_cond_transp!D164</f>
        <v>light fuel oil</v>
      </c>
      <c r="C19">
        <f>literature_CO2_cond_transp!C164</f>
        <v>3.66</v>
      </c>
      <c r="D19" t="str">
        <f>literature_CO2_cond_transp!E164</f>
        <v>RER</v>
      </c>
      <c r="E19" t="str">
        <f>literature_CO2_cond_transp!F164</f>
        <v>kilogram</v>
      </c>
      <c r="G19" t="str">
        <f>literature_CO2_cond_transp!H164</f>
        <v>technosphere</v>
      </c>
      <c r="H19" t="str">
        <f t="shared" si="0"/>
        <v>ecoinvent-3.10.1-cutoff</v>
      </c>
    </row>
    <row r="20" spans="1:10" x14ac:dyDescent="0.25">
      <c r="A20" t="s">
        <v>946</v>
      </c>
      <c r="B20" t="s">
        <v>947</v>
      </c>
      <c r="C20" s="339">
        <f>nitroprop/nitroprop_prop_per_kg</f>
        <v>1</v>
      </c>
      <c r="D20" t="s">
        <v>462</v>
      </c>
      <c r="E20" t="s">
        <v>417</v>
      </c>
      <c r="G20" t="s">
        <v>429</v>
      </c>
      <c r="H20" t="s">
        <v>909</v>
      </c>
      <c r="I20" t="s">
        <v>948</v>
      </c>
    </row>
    <row r="21" spans="1:10" x14ac:dyDescent="0.25">
      <c r="A21" t="s">
        <v>950</v>
      </c>
      <c r="B21" t="s">
        <v>949</v>
      </c>
      <c r="C21">
        <f>nitroprop/nitroprop_nitr_per_kg</f>
        <v>0.73333333333333339</v>
      </c>
      <c r="D21" t="s">
        <v>951</v>
      </c>
      <c r="E21" t="s">
        <v>417</v>
      </c>
      <c r="G21" t="s">
        <v>429</v>
      </c>
      <c r="H21" t="s">
        <v>909</v>
      </c>
      <c r="I21" t="s">
        <v>948</v>
      </c>
    </row>
    <row r="22" spans="1:10" x14ac:dyDescent="0.25">
      <c r="A22" t="s">
        <v>952</v>
      </c>
      <c r="B22" t="s">
        <v>477</v>
      </c>
      <c r="C22">
        <f>nitroprop/nitroprop_heat_per_kg</f>
        <v>0.3666666666666667</v>
      </c>
      <c r="D22" t="s">
        <v>419</v>
      </c>
      <c r="E22" t="s">
        <v>434</v>
      </c>
      <c r="G22" t="s">
        <v>429</v>
      </c>
      <c r="H22" t="s">
        <v>909</v>
      </c>
      <c r="I22" t="s">
        <v>948</v>
      </c>
    </row>
    <row r="23" spans="1:10" x14ac:dyDescent="0.25">
      <c r="A23" t="str">
        <f>literature_CO2_cond_transp!B166</f>
        <v>hydrogen</v>
      </c>
      <c r="C23">
        <f>literature_CO2_cond_transp!C166</f>
        <v>3.6000000000000002E-4</v>
      </c>
      <c r="E23" t="str">
        <f>literature_CO2_cond_transp!F166</f>
        <v>kilogram</v>
      </c>
      <c r="F23" t="str">
        <f>literature_CO2_cond_transp!G166</f>
        <v>air</v>
      </c>
      <c r="G23" t="str">
        <f>literature_CO2_cond_transp!H166</f>
        <v>biosphere</v>
      </c>
      <c r="H23" t="str">
        <f>biospherev310</f>
        <v>ecoinvent-3.10.1-biosphere</v>
      </c>
    </row>
    <row r="24" spans="1:10" x14ac:dyDescent="0.25">
      <c r="A24" t="str">
        <f>literature_CO2_cond_transp!B167</f>
        <v>formaldehyde</v>
      </c>
      <c r="C24">
        <f>literature_CO2_cond_transp!C167</f>
        <v>1.8699999999999999E-3</v>
      </c>
      <c r="E24" t="str">
        <f>literature_CO2_cond_transp!F167</f>
        <v>kilogram</v>
      </c>
      <c r="F24" t="str">
        <f>literature_CO2_cond_transp!G167</f>
        <v>air</v>
      </c>
      <c r="G24" t="str">
        <f>literature_CO2_cond_transp!H167</f>
        <v>biosphere</v>
      </c>
      <c r="H24" t="str">
        <f>biospherev310</f>
        <v>ecoinvent-3.10.1-biosphere</v>
      </c>
    </row>
    <row r="27" spans="1:10" x14ac:dyDescent="0.25">
      <c r="A27" s="335" t="s">
        <v>413</v>
      </c>
      <c r="B27" s="335" t="s">
        <v>547</v>
      </c>
      <c r="C27" s="336"/>
      <c r="D27" s="336"/>
      <c r="E27" s="336"/>
      <c r="F27" s="336"/>
      <c r="G27" s="336"/>
      <c r="H27" s="336"/>
      <c r="I27" s="336"/>
      <c r="J27" s="336"/>
    </row>
    <row r="28" spans="1:10" x14ac:dyDescent="0.25">
      <c r="A28" t="s">
        <v>414</v>
      </c>
      <c r="B28">
        <v>1</v>
      </c>
    </row>
    <row r="29" spans="1:10" x14ac:dyDescent="0.25">
      <c r="A29" t="s">
        <v>415</v>
      </c>
      <c r="B29" t="s">
        <v>912</v>
      </c>
    </row>
    <row r="30" spans="1:10" x14ac:dyDescent="0.25">
      <c r="A30" t="s">
        <v>416</v>
      </c>
      <c r="B30" t="s">
        <v>434</v>
      </c>
    </row>
    <row r="31" spans="1:10" x14ac:dyDescent="0.25">
      <c r="A31" t="s">
        <v>418</v>
      </c>
      <c r="B31" t="s">
        <v>432</v>
      </c>
    </row>
    <row r="32" spans="1:10" x14ac:dyDescent="0.25">
      <c r="A32" t="s">
        <v>420</v>
      </c>
      <c r="B32" t="s">
        <v>913</v>
      </c>
    </row>
    <row r="34" spans="1:10" x14ac:dyDescent="0.25">
      <c r="A34" s="9" t="s">
        <v>421</v>
      </c>
      <c r="B34" s="9"/>
      <c r="C34" s="9"/>
      <c r="D34" s="9"/>
      <c r="E34" s="9"/>
      <c r="F34" s="9"/>
      <c r="G34" s="9"/>
      <c r="H34" s="9"/>
      <c r="I34" s="9"/>
    </row>
    <row r="35" spans="1:10" x14ac:dyDescent="0.25">
      <c r="A35" s="9" t="s">
        <v>422</v>
      </c>
      <c r="B35" s="9" t="s">
        <v>415</v>
      </c>
      <c r="C35" s="9" t="s">
        <v>423</v>
      </c>
      <c r="D35" s="9" t="s">
        <v>418</v>
      </c>
      <c r="E35" s="9" t="s">
        <v>416</v>
      </c>
      <c r="F35" s="9" t="s">
        <v>424</v>
      </c>
      <c r="G35" s="9" t="s">
        <v>425</v>
      </c>
      <c r="H35" s="9" t="s">
        <v>439</v>
      </c>
      <c r="I35" s="9" t="s">
        <v>420</v>
      </c>
    </row>
    <row r="36" spans="1:10" x14ac:dyDescent="0.25">
      <c r="A36" s="65" t="str">
        <f>B27</f>
        <v>water cooling</v>
      </c>
      <c r="B36" s="65" t="str">
        <f>B29</f>
        <v>water, cooled</v>
      </c>
      <c r="C36" s="65">
        <f>B28</f>
        <v>1</v>
      </c>
      <c r="D36" s="65" t="str">
        <f>B31</f>
        <v>CH</v>
      </c>
      <c r="E36" s="65" t="str">
        <f>B30</f>
        <v>megajoule</v>
      </c>
      <c r="F36" s="65"/>
      <c r="G36" s="65" t="s">
        <v>427</v>
      </c>
      <c r="H36" s="65" t="str">
        <f>db_co2</f>
        <v>co2_kva</v>
      </c>
      <c r="I36" s="65"/>
    </row>
    <row r="37" spans="1:10" x14ac:dyDescent="0.25">
      <c r="A37" t="str">
        <f>literature_CO2_cond_transp!C27</f>
        <v>market for tap water</v>
      </c>
      <c r="B37" t="str">
        <f>literature_CO2_cond_transp!B27</f>
        <v>tap water</v>
      </c>
      <c r="C37">
        <f>literature_CO2_cond_transp!E27</f>
        <v>0.159</v>
      </c>
      <c r="D37" t="str">
        <f>literature_CO2_cond_transp!D27</f>
        <v>Europe without Switzerland</v>
      </c>
      <c r="E37" t="str">
        <f>literature_CO2_cond_transp!F27</f>
        <v>kilogram</v>
      </c>
      <c r="G37" t="s">
        <v>429</v>
      </c>
      <c r="H37" t="str">
        <f>ecoinventv310</f>
        <v>ecoinvent-3.10.1-cutoff</v>
      </c>
    </row>
    <row r="38" spans="1:10" x14ac:dyDescent="0.25">
      <c r="A38" t="str">
        <f>literature_CO2_cond_transp!C28</f>
        <v>market for lubricating oil</v>
      </c>
      <c r="B38" t="str">
        <f>literature_CO2_cond_transp!B28</f>
        <v>lubricating oil</v>
      </c>
      <c r="C38" s="70">
        <f>literature_CO2_cond_transp!E28</f>
        <v>1.1800000000000001E-5</v>
      </c>
      <c r="D38" t="str">
        <f>literature_CO2_cond_transp!D28</f>
        <v>RER</v>
      </c>
      <c r="E38" t="str">
        <f>literature_CO2_cond_transp!F28</f>
        <v>kilogram</v>
      </c>
      <c r="G38" t="s">
        <v>429</v>
      </c>
      <c r="H38" t="str">
        <f>ecoinventv310</f>
        <v>ecoinvent-3.10.1-cutoff</v>
      </c>
    </row>
    <row r="39" spans="1:10" x14ac:dyDescent="0.25">
      <c r="A39" t="str">
        <f>literature_CO2_cond_transp!C29</f>
        <v>market for water pump, 22kW</v>
      </c>
      <c r="B39" t="str">
        <f>literature_CO2_cond_transp!B29</f>
        <v>water pump, 22kW</v>
      </c>
      <c r="C39" s="70">
        <f>literature_CO2_cond_transp!E29</f>
        <v>1.8E-7</v>
      </c>
      <c r="D39" t="str">
        <f>literature_CO2_cond_transp!D29</f>
        <v>GLO</v>
      </c>
      <c r="E39" t="str">
        <f>literature_CO2_cond_transp!F29</f>
        <v>unit</v>
      </c>
      <c r="G39" t="s">
        <v>429</v>
      </c>
      <c r="H39" t="str">
        <f>ecoinventv310</f>
        <v>ecoinvent-3.10.1-cutoff</v>
      </c>
    </row>
    <row r="40" spans="1:10" x14ac:dyDescent="0.25">
      <c r="A40" s="350" t="s">
        <v>1361</v>
      </c>
      <c r="B40" s="350" t="s">
        <v>1360</v>
      </c>
      <c r="C40" s="410">
        <f>literature_CO2_cond_transp!E30</f>
        <v>6.3899999999999998E-3</v>
      </c>
      <c r="D40" s="350" t="str">
        <f>literature_CO2_cond_transp!D30</f>
        <v>CH</v>
      </c>
      <c r="E40" s="350" t="str">
        <f>literature_CO2_cond_transp!F30</f>
        <v>kilowatt hour</v>
      </c>
      <c r="F40" s="350"/>
      <c r="G40" s="350" t="s">
        <v>429</v>
      </c>
      <c r="H40" s="350" t="str">
        <f>ecoinventv310</f>
        <v>ecoinvent-3.10.1-cutoff</v>
      </c>
      <c r="I40" s="350" t="s">
        <v>1146</v>
      </c>
    </row>
    <row r="41" spans="1:10" x14ac:dyDescent="0.25">
      <c r="A41" t="str">
        <f>literature_CO2_cond_transp!C31</f>
        <v>market for waste mineral oil</v>
      </c>
      <c r="B41" t="str">
        <f>literature_CO2_cond_transp!B31</f>
        <v>waste mineral oil</v>
      </c>
      <c r="C41" s="70">
        <f>literature_CO2_cond_transp!E31</f>
        <v>-1.1800000000000001E-5</v>
      </c>
      <c r="D41" t="str">
        <f>literature_CO2_cond_transp!D31</f>
        <v>CH</v>
      </c>
      <c r="E41" t="str">
        <f>literature_CO2_cond_transp!F31</f>
        <v>kilogram</v>
      </c>
      <c r="G41" t="s">
        <v>429</v>
      </c>
      <c r="H41" t="str">
        <f>ecoinventv310</f>
        <v>ecoinvent-3.10.1-cutoff</v>
      </c>
    </row>
    <row r="44" spans="1:10" x14ac:dyDescent="0.25">
      <c r="A44" s="335" t="s">
        <v>413</v>
      </c>
      <c r="B44" s="335" t="s">
        <v>1362</v>
      </c>
      <c r="C44" s="336"/>
      <c r="D44" s="336"/>
      <c r="E44" s="336"/>
      <c r="F44" s="336"/>
      <c r="G44" s="336"/>
      <c r="H44" s="336"/>
      <c r="I44" s="336"/>
      <c r="J44" s="336"/>
    </row>
    <row r="45" spans="1:10" x14ac:dyDescent="0.25">
      <c r="A45" t="s">
        <v>414</v>
      </c>
      <c r="B45">
        <v>1</v>
      </c>
    </row>
    <row r="46" spans="1:10" x14ac:dyDescent="0.25">
      <c r="A46" t="s">
        <v>415</v>
      </c>
      <c r="B46" t="s">
        <v>1362</v>
      </c>
    </row>
    <row r="47" spans="1:10" x14ac:dyDescent="0.25">
      <c r="A47" t="s">
        <v>416</v>
      </c>
      <c r="B47" t="s">
        <v>434</v>
      </c>
    </row>
    <row r="48" spans="1:10" x14ac:dyDescent="0.25">
      <c r="A48" t="s">
        <v>418</v>
      </c>
      <c r="B48" t="s">
        <v>432</v>
      </c>
    </row>
    <row r="49" spans="1:10" x14ac:dyDescent="0.25">
      <c r="A49" t="s">
        <v>420</v>
      </c>
      <c r="B49" t="s">
        <v>1131</v>
      </c>
    </row>
    <row r="51" spans="1:10" x14ac:dyDescent="0.25">
      <c r="A51" s="9" t="s">
        <v>421</v>
      </c>
      <c r="B51" s="9"/>
      <c r="C51" s="9"/>
      <c r="D51" s="9"/>
      <c r="E51" s="9"/>
      <c r="F51" s="9"/>
      <c r="G51" s="9"/>
      <c r="H51" s="9"/>
      <c r="I51" s="9"/>
    </row>
    <row r="52" spans="1:10" x14ac:dyDescent="0.25">
      <c r="A52" s="9" t="s">
        <v>422</v>
      </c>
      <c r="B52" s="9" t="s">
        <v>415</v>
      </c>
      <c r="C52" s="9" t="s">
        <v>423</v>
      </c>
      <c r="D52" s="9" t="s">
        <v>418</v>
      </c>
      <c r="E52" s="9" t="s">
        <v>416</v>
      </c>
      <c r="F52" s="9" t="s">
        <v>424</v>
      </c>
      <c r="G52" s="9" t="s">
        <v>425</v>
      </c>
      <c r="H52" s="9" t="s">
        <v>439</v>
      </c>
      <c r="I52" s="9" t="s">
        <v>420</v>
      </c>
    </row>
    <row r="53" spans="1:10" x14ac:dyDescent="0.25">
      <c r="A53" s="65" t="str">
        <f>B44</f>
        <v>water pump operation, electric, electricity from waste incineration</v>
      </c>
      <c r="B53" s="65" t="str">
        <f>B46</f>
        <v>water pump operation, electric, electricity from waste incineration</v>
      </c>
      <c r="C53" s="65">
        <f>B45</f>
        <v>1</v>
      </c>
      <c r="D53" s="65" t="str">
        <f>B48</f>
        <v>CH</v>
      </c>
      <c r="E53" s="65" t="str">
        <f>B47</f>
        <v>megajoule</v>
      </c>
      <c r="F53" s="65"/>
      <c r="G53" s="65" t="s">
        <v>427</v>
      </c>
      <c r="H53" s="65" t="str">
        <f>db_co2</f>
        <v>co2_kva</v>
      </c>
      <c r="I53" s="65"/>
    </row>
    <row r="54" spans="1:10" x14ac:dyDescent="0.25">
      <c r="A54" s="350" t="s">
        <v>1361</v>
      </c>
      <c r="B54" s="350" t="s">
        <v>1360</v>
      </c>
      <c r="C54" s="350">
        <v>0.27777777777777801</v>
      </c>
      <c r="D54" s="350" t="s">
        <v>432</v>
      </c>
      <c r="E54" s="350" t="s">
        <v>433</v>
      </c>
      <c r="F54" s="350"/>
      <c r="G54" s="350" t="s">
        <v>429</v>
      </c>
      <c r="H54" s="350" t="str">
        <f>ecoinventv310</f>
        <v>ecoinvent-3.10.1-cutoff</v>
      </c>
      <c r="I54" s="350"/>
    </row>
    <row r="55" spans="1:10" x14ac:dyDescent="0.25">
      <c r="A55" t="s">
        <v>502</v>
      </c>
      <c r="B55" t="s">
        <v>501</v>
      </c>
      <c r="C55">
        <v>5.14019E-4</v>
      </c>
      <c r="D55" t="s">
        <v>419</v>
      </c>
      <c r="E55" t="s">
        <v>417</v>
      </c>
      <c r="G55" t="s">
        <v>429</v>
      </c>
      <c r="H55" t="str">
        <f>ecoinventv310</f>
        <v>ecoinvent-3.10.1-cutoff</v>
      </c>
    </row>
    <row r="56" spans="1:10" x14ac:dyDescent="0.25">
      <c r="A56" t="s">
        <v>508</v>
      </c>
      <c r="B56" t="s">
        <v>507</v>
      </c>
      <c r="C56">
        <v>-5.14019E-4</v>
      </c>
      <c r="D56" t="s">
        <v>432</v>
      </c>
      <c r="E56" t="s">
        <v>417</v>
      </c>
      <c r="G56" t="s">
        <v>429</v>
      </c>
      <c r="H56" t="str">
        <f>ecoinventv310</f>
        <v>ecoinvent-3.10.1-cutoff</v>
      </c>
    </row>
    <row r="57" spans="1:10" x14ac:dyDescent="0.25">
      <c r="A57" t="s">
        <v>504</v>
      </c>
      <c r="B57" t="s">
        <v>503</v>
      </c>
      <c r="C57" s="70">
        <v>7.8218452026545605E-6</v>
      </c>
      <c r="D57" t="s">
        <v>462</v>
      </c>
      <c r="E57" t="s">
        <v>416</v>
      </c>
      <c r="G57" t="s">
        <v>429</v>
      </c>
      <c r="H57" t="str">
        <f>ecoinventv310</f>
        <v>ecoinvent-3.10.1-cutoff</v>
      </c>
    </row>
    <row r="58" spans="1:10" x14ac:dyDescent="0.25">
      <c r="C58" s="70"/>
    </row>
    <row r="59" spans="1:10" x14ac:dyDescent="0.25">
      <c r="C59" s="70"/>
    </row>
    <row r="60" spans="1:10" x14ac:dyDescent="0.25">
      <c r="A60" s="335" t="s">
        <v>413</v>
      </c>
      <c r="B60" s="335" t="s">
        <v>915</v>
      </c>
      <c r="C60" s="336"/>
      <c r="D60" s="336"/>
      <c r="E60" s="336"/>
      <c r="F60" s="336"/>
      <c r="G60" s="336"/>
      <c r="H60" s="336"/>
      <c r="I60" s="336"/>
      <c r="J60" s="336"/>
    </row>
    <row r="61" spans="1:10" x14ac:dyDescent="0.25">
      <c r="A61" t="s">
        <v>414</v>
      </c>
      <c r="B61">
        <f>literature_CO2_cond_transp!C198</f>
        <v>1</v>
      </c>
    </row>
    <row r="62" spans="1:10" x14ac:dyDescent="0.25">
      <c r="A62" t="s">
        <v>415</v>
      </c>
      <c r="B62" t="str">
        <f>B60</f>
        <v>CO2 capture unit operation, waste incineration plant, Linth, Switzerland</v>
      </c>
    </row>
    <row r="63" spans="1:10" x14ac:dyDescent="0.25">
      <c r="A63" t="s">
        <v>416</v>
      </c>
      <c r="B63" t="str">
        <f>literature_CO2_cond_transp!C200</f>
        <v>hour</v>
      </c>
    </row>
    <row r="64" spans="1:10" x14ac:dyDescent="0.25">
      <c r="A64" t="s">
        <v>418</v>
      </c>
      <c r="B64" t="str">
        <f>literature_CO2_cond_transp!C201</f>
        <v>CH</v>
      </c>
    </row>
    <row r="65" spans="1:9" x14ac:dyDescent="0.25">
      <c r="A65" t="s">
        <v>420</v>
      </c>
      <c r="B65" t="s">
        <v>966</v>
      </c>
    </row>
    <row r="67" spans="1:9" x14ac:dyDescent="0.25">
      <c r="A67" s="9" t="s">
        <v>421</v>
      </c>
      <c r="B67" s="9"/>
      <c r="C67" s="9"/>
      <c r="D67" s="9"/>
      <c r="E67" s="9"/>
      <c r="F67" s="9"/>
      <c r="G67" s="9"/>
      <c r="H67" s="9"/>
      <c r="I67" s="9"/>
    </row>
    <row r="68" spans="1:9" x14ac:dyDescent="0.25">
      <c r="A68" s="9" t="s">
        <v>422</v>
      </c>
      <c r="B68" s="9" t="s">
        <v>415</v>
      </c>
      <c r="C68" s="9" t="s">
        <v>423</v>
      </c>
      <c r="D68" s="9" t="s">
        <v>418</v>
      </c>
      <c r="E68" s="9" t="s">
        <v>416</v>
      </c>
      <c r="F68" s="9" t="s">
        <v>424</v>
      </c>
      <c r="G68" s="9" t="s">
        <v>425</v>
      </c>
      <c r="H68" s="9" t="s">
        <v>439</v>
      </c>
      <c r="I68" s="9" t="s">
        <v>420</v>
      </c>
    </row>
    <row r="69" spans="1:9" x14ac:dyDescent="0.25">
      <c r="A69" s="65" t="str">
        <f>B60</f>
        <v>CO2 capture unit operation, waste incineration plant, Linth, Switzerland</v>
      </c>
      <c r="B69" s="65" t="str">
        <f>B62</f>
        <v>CO2 capture unit operation, waste incineration plant, Linth, Switzerland</v>
      </c>
      <c r="C69" s="65">
        <f>B61</f>
        <v>1</v>
      </c>
      <c r="D69" s="65" t="str">
        <f>B64</f>
        <v>CH</v>
      </c>
      <c r="E69" s="65" t="str">
        <f>B63</f>
        <v>hour</v>
      </c>
      <c r="F69" s="65"/>
      <c r="G69" s="65" t="s">
        <v>427</v>
      </c>
      <c r="H69" s="65" t="str">
        <f>db_co2</f>
        <v>co2_kva</v>
      </c>
    </row>
    <row r="70" spans="1:9" x14ac:dyDescent="0.25">
      <c r="A70" s="65" t="str">
        <f>A13</f>
        <v>2-amino-2-methyl-1-propanol (AMP) production</v>
      </c>
      <c r="B70" s="65" t="str">
        <f>B13</f>
        <v>2-amino-2-methyl-1-propanol (AMP)</v>
      </c>
      <c r="C70" s="52">
        <f>literature_CO2_cond_transp!D68</f>
        <v>19.829999999999998</v>
      </c>
      <c r="D70" s="65" t="str">
        <f>D13</f>
        <v>RER</v>
      </c>
      <c r="E70" s="65" t="str">
        <f>E13</f>
        <v>kilogram</v>
      </c>
      <c r="F70" s="9"/>
      <c r="G70" s="65" t="s">
        <v>429</v>
      </c>
      <c r="H70" s="65" t="str">
        <f>H13</f>
        <v>co2_kva</v>
      </c>
      <c r="I70" s="9"/>
    </row>
    <row r="71" spans="1:9" x14ac:dyDescent="0.25">
      <c r="A71" t="s">
        <v>1309</v>
      </c>
      <c r="B71" t="s">
        <v>1308</v>
      </c>
      <c r="C71" s="403">
        <f>literature_CO2_cond_transp!C209</f>
        <v>48616.57</v>
      </c>
      <c r="D71" s="350" t="str">
        <f>literature_CO2_cond_transp!E209</f>
        <v>CH</v>
      </c>
      <c r="E71" s="350" t="str">
        <f>literature_CO2_cond_transp!F209</f>
        <v>megajoule</v>
      </c>
      <c r="F71" s="350"/>
      <c r="G71" s="350" t="s">
        <v>429</v>
      </c>
      <c r="H71" s="350" t="str">
        <f>ecoinventv310</f>
        <v>ecoinvent-3.10.1-cutoff</v>
      </c>
      <c r="I71" s="350"/>
    </row>
    <row r="72" spans="1:9" x14ac:dyDescent="0.25">
      <c r="A72" s="350" t="s">
        <v>1361</v>
      </c>
      <c r="B72" s="350" t="s">
        <v>1360</v>
      </c>
      <c r="C72" s="403">
        <f>literature_CO2_cond_transp!C210</f>
        <v>169.23</v>
      </c>
      <c r="D72" s="350" t="str">
        <f>literature_CO2_cond_transp!E210</f>
        <v>CH</v>
      </c>
      <c r="E72" s="350" t="str">
        <f>literature_CO2_cond_transp!F210</f>
        <v>kilowatt hour</v>
      </c>
      <c r="F72" s="350"/>
      <c r="G72" s="350" t="s">
        <v>429</v>
      </c>
      <c r="H72" s="350" t="str">
        <f>ecoinventv310</f>
        <v>ecoinvent-3.10.1-cutoff</v>
      </c>
      <c r="I72" s="350"/>
    </row>
    <row r="73" spans="1:9" x14ac:dyDescent="0.25">
      <c r="A73" t="s">
        <v>963</v>
      </c>
      <c r="B73" t="s">
        <v>959</v>
      </c>
      <c r="C73">
        <f>piperazine*literature_CO2_cond_transp!$J$346</f>
        <v>3.165</v>
      </c>
      <c r="D73" t="s">
        <v>419</v>
      </c>
      <c r="E73" t="s">
        <v>417</v>
      </c>
      <c r="F73" s="9"/>
      <c r="G73" t="s">
        <v>429</v>
      </c>
      <c r="H73" t="str">
        <f>ecoinventv310</f>
        <v>ecoinvent-3.10.1-cutoff</v>
      </c>
      <c r="I73" s="65" t="s">
        <v>965</v>
      </c>
    </row>
    <row r="74" spans="1:9" x14ac:dyDescent="0.25">
      <c r="A74" t="s">
        <v>964</v>
      </c>
      <c r="B74" t="s">
        <v>957</v>
      </c>
      <c r="C74">
        <f>piperazine*literature_CO2_cond_transp!$J$345</f>
        <v>3.165</v>
      </c>
      <c r="D74" t="s">
        <v>419</v>
      </c>
      <c r="E74" t="s">
        <v>417</v>
      </c>
      <c r="F74" s="9"/>
      <c r="G74" t="s">
        <v>429</v>
      </c>
      <c r="H74" t="str">
        <f>ecoinventv310</f>
        <v>ecoinvent-3.10.1-cutoff</v>
      </c>
      <c r="I74" s="65" t="s">
        <v>965</v>
      </c>
    </row>
    <row r="75" spans="1:9" x14ac:dyDescent="0.25">
      <c r="A75" s="350" t="str">
        <f>A36</f>
        <v>water cooling</v>
      </c>
      <c r="B75" s="350" t="str">
        <f>B36</f>
        <v>water, cooled</v>
      </c>
      <c r="C75" s="350">
        <f>literature_CO2_cond_transp!C208</f>
        <v>51969.43</v>
      </c>
      <c r="D75" s="350" t="str">
        <f>D36</f>
        <v>CH</v>
      </c>
      <c r="E75" s="350" t="str">
        <f>E36</f>
        <v>megajoule</v>
      </c>
      <c r="F75" s="350"/>
      <c r="G75" s="350" t="str">
        <f>literature_CO2_cond_transp!H208</f>
        <v>technosphere</v>
      </c>
      <c r="H75" s="350" t="str">
        <f>H36</f>
        <v>co2_kva</v>
      </c>
      <c r="I75" s="350"/>
    </row>
    <row r="76" spans="1:9" x14ac:dyDescent="0.25">
      <c r="A76" t="str">
        <f>literature_CO2_cond_transp!B211</f>
        <v>treatment of refinery sludge, hazardous waste incineration</v>
      </c>
      <c r="B76" t="str">
        <f>literature_CO2_cond_transp!D211</f>
        <v>refinery sludge</v>
      </c>
      <c r="C76">
        <f>literature_CO2_cond_transp!C211</f>
        <v>-0.61399999999999999</v>
      </c>
      <c r="D76" t="str">
        <f>literature_CO2_cond_transp!E211</f>
        <v>CH</v>
      </c>
      <c r="E76" t="str">
        <f>literature_CO2_cond_transp!F211</f>
        <v>kilogram</v>
      </c>
      <c r="G76" t="s">
        <v>429</v>
      </c>
      <c r="H76" t="str">
        <f>ecoinventv310</f>
        <v>ecoinvent-3.10.1-cutoff</v>
      </c>
    </row>
    <row r="77" spans="1:9" x14ac:dyDescent="0.25">
      <c r="A77" t="str">
        <f>literature_CO2_cond_transp!B212</f>
        <v>market for wastewater, average</v>
      </c>
      <c r="B77" t="str">
        <f>literature_CO2_cond_transp!D212</f>
        <v>wastewater, average</v>
      </c>
      <c r="C77">
        <f>literature_CO2_cond_transp!C212</f>
        <v>-0.54900000000000004</v>
      </c>
      <c r="D77" t="str">
        <f>literature_CO2_cond_transp!E212</f>
        <v>CH</v>
      </c>
      <c r="E77" t="str">
        <f>literature_CO2_cond_transp!F212</f>
        <v>cubic meter</v>
      </c>
      <c r="G77" t="s">
        <v>429</v>
      </c>
      <c r="H77" t="str">
        <f>ecoinventv310</f>
        <v>ecoinvent-3.10.1-cutoff</v>
      </c>
    </row>
    <row r="78" spans="1:9" x14ac:dyDescent="0.25">
      <c r="A78" t="str">
        <f>literature_CO2_cond_transp!B213</f>
        <v>Monoethanolamine</v>
      </c>
      <c r="C78">
        <f>literature_CO2_cond_transp!C213</f>
        <v>1.0900000000000001</v>
      </c>
      <c r="E78" t="str">
        <f>literature_CO2_cond_transp!F213</f>
        <v>kilogram</v>
      </c>
      <c r="F78" t="str">
        <f>literature_CO2_cond_transp!G213</f>
        <v>air</v>
      </c>
      <c r="G78" t="s">
        <v>435</v>
      </c>
      <c r="H78" t="str">
        <f>biospherev310</f>
        <v>ecoinvent-3.10.1-biosphere</v>
      </c>
    </row>
    <row r="79" spans="1:9" x14ac:dyDescent="0.25">
      <c r="A79" t="str">
        <f>literature_CO2_cond_transp!B214</f>
        <v>Ammonia</v>
      </c>
      <c r="C79">
        <f>literature_CO2_cond_transp!C214</f>
        <v>0.20499999999999999</v>
      </c>
      <c r="E79" t="str">
        <f>literature_CO2_cond_transp!F214</f>
        <v>kilogram</v>
      </c>
      <c r="F79" t="str">
        <f>literature_CO2_cond_transp!G214</f>
        <v>air</v>
      </c>
      <c r="G79" t="s">
        <v>435</v>
      </c>
      <c r="H79" t="str">
        <f>biospherev310</f>
        <v>ecoinvent-3.10.1-biosphere</v>
      </c>
    </row>
    <row r="80" spans="1:9" x14ac:dyDescent="0.25">
      <c r="A80" t="str">
        <f>literature_CO2_cond_transp!B215</f>
        <v>Formaldehyde</v>
      </c>
      <c r="C80">
        <f>literature_CO2_cond_transp!C215</f>
        <v>4.2999999999999997E-2</v>
      </c>
      <c r="E80" t="str">
        <f>literature_CO2_cond_transp!F215</f>
        <v>kilogram</v>
      </c>
      <c r="F80" t="str">
        <f>literature_CO2_cond_transp!G215</f>
        <v>air</v>
      </c>
      <c r="G80" t="s">
        <v>435</v>
      </c>
      <c r="H80" t="str">
        <f>biospherev310</f>
        <v>ecoinvent-3.10.1-biosphere</v>
      </c>
    </row>
    <row r="81" spans="1:10" x14ac:dyDescent="0.25">
      <c r="A81" t="str">
        <f>literature_CO2_cond_transp!B216</f>
        <v>Acetaldehyde</v>
      </c>
      <c r="C81">
        <f>literature_CO2_cond_transp!C216</f>
        <v>6.4000000000000001E-2</v>
      </c>
      <c r="E81" t="str">
        <f>literature_CO2_cond_transp!F216</f>
        <v>kilogram</v>
      </c>
      <c r="F81" t="str">
        <f>literature_CO2_cond_transp!G216</f>
        <v>air</v>
      </c>
      <c r="G81" t="s">
        <v>435</v>
      </c>
      <c r="H81" t="str">
        <f>biospherev310</f>
        <v>ecoinvent-3.10.1-biosphere</v>
      </c>
    </row>
    <row r="82" spans="1:10" x14ac:dyDescent="0.25">
      <c r="A82" t="str">
        <f>literature_CO2_cond_transp!B217</f>
        <v>Acetone</v>
      </c>
      <c r="C82">
        <f>literature_CO2_cond_transp!C217</f>
        <v>1.95</v>
      </c>
      <c r="E82" t="str">
        <f>literature_CO2_cond_transp!F217</f>
        <v>kilogram</v>
      </c>
      <c r="F82" t="str">
        <f>literature_CO2_cond_transp!G217</f>
        <v>air</v>
      </c>
      <c r="G82" t="s">
        <v>435</v>
      </c>
      <c r="H82" t="str">
        <f>biospherev310</f>
        <v>ecoinvent-3.10.1-biosphere</v>
      </c>
    </row>
    <row r="85" spans="1:10" x14ac:dyDescent="0.25">
      <c r="A85" s="335" t="s">
        <v>413</v>
      </c>
      <c r="B85" s="335" t="s">
        <v>983</v>
      </c>
      <c r="C85" s="336"/>
      <c r="D85" s="336"/>
      <c r="E85" s="336"/>
      <c r="F85" s="336"/>
      <c r="G85" s="336"/>
      <c r="H85" s="336"/>
      <c r="I85" s="336"/>
      <c r="J85" s="336"/>
    </row>
    <row r="86" spans="1:10" x14ac:dyDescent="0.25">
      <c r="A86" t="s">
        <v>414</v>
      </c>
      <c r="B86">
        <f>literature_CO2_cond_transp!C173</f>
        <v>1</v>
      </c>
    </row>
    <row r="87" spans="1:10" x14ac:dyDescent="0.25">
      <c r="A87" t="s">
        <v>415</v>
      </c>
      <c r="B87" t="s">
        <v>983</v>
      </c>
    </row>
    <row r="88" spans="1:10" x14ac:dyDescent="0.25">
      <c r="A88" t="s">
        <v>416</v>
      </c>
      <c r="B88" t="s">
        <v>417</v>
      </c>
    </row>
    <row r="89" spans="1:10" x14ac:dyDescent="0.25">
      <c r="A89" t="s">
        <v>418</v>
      </c>
      <c r="B89" t="str">
        <f>literature_CO2_cond_transp!C176</f>
        <v>CH</v>
      </c>
    </row>
    <row r="90" spans="1:10" x14ac:dyDescent="0.25">
      <c r="A90" t="s">
        <v>420</v>
      </c>
      <c r="B90" t="str">
        <f>literature_CO2_cond_transp!C177</f>
        <v>This capture unit uses a power-and-heat co-generation unit powered by natural gas to supply heat. Source: Burger et al. Environmental imacts of carbon capture, transport, and storage supply chains: Status and the way forward, https://doi.org/10.1016/j.ijggc.2023.104039</v>
      </c>
    </row>
    <row r="92" spans="1:10" x14ac:dyDescent="0.25">
      <c r="A92" s="9" t="s">
        <v>421</v>
      </c>
      <c r="B92" s="9"/>
      <c r="C92" s="9"/>
      <c r="D92" s="9"/>
      <c r="E92" s="9"/>
      <c r="F92" s="9"/>
      <c r="G92" s="9"/>
      <c r="H92" s="9"/>
      <c r="I92" s="9"/>
    </row>
    <row r="93" spans="1:10" x14ac:dyDescent="0.25">
      <c r="A93" s="9" t="s">
        <v>422</v>
      </c>
      <c r="B93" s="9" t="s">
        <v>415</v>
      </c>
      <c r="C93" s="9" t="s">
        <v>423</v>
      </c>
      <c r="D93" s="9" t="s">
        <v>418</v>
      </c>
      <c r="E93" s="9" t="s">
        <v>416</v>
      </c>
      <c r="F93" s="9" t="s">
        <v>424</v>
      </c>
      <c r="G93" s="9" t="s">
        <v>425</v>
      </c>
      <c r="H93" s="9" t="s">
        <v>439</v>
      </c>
      <c r="I93" s="9" t="s">
        <v>420</v>
      </c>
    </row>
    <row r="94" spans="1:10" x14ac:dyDescent="0.25">
      <c r="A94" s="65" t="str">
        <f>B85</f>
        <v>CO2 captured at capture unit, waste incineration plant, Linth, Switzerland</v>
      </c>
      <c r="B94" s="65" t="str">
        <f>B87</f>
        <v>CO2 captured at capture unit, waste incineration plant, Linth, Switzerland</v>
      </c>
      <c r="C94" s="65">
        <f>B86</f>
        <v>1</v>
      </c>
      <c r="D94" s="65" t="str">
        <f>B89</f>
        <v>CH</v>
      </c>
      <c r="E94" s="65" t="str">
        <f>B88</f>
        <v>kilogram</v>
      </c>
      <c r="F94" s="65"/>
      <c r="G94" s="65" t="s">
        <v>427</v>
      </c>
      <c r="H94" s="65" t="str">
        <f>db_co2</f>
        <v>co2_kva</v>
      </c>
    </row>
    <row r="95" spans="1:10" x14ac:dyDescent="0.25">
      <c r="A95" s="350" t="str">
        <f>A69</f>
        <v>CO2 capture unit operation, waste incineration plant, Linth, Switzerland</v>
      </c>
      <c r="B95" s="350" t="str">
        <f>B69</f>
        <v>CO2 capture unit operation, waste incineration plant, Linth, Switzerland</v>
      </c>
      <c r="C95" s="350">
        <f>(literature_CO2_cond_transp!C187)/1000</f>
        <v>5.9700000000000001E-5</v>
      </c>
      <c r="D95" s="350" t="str">
        <f>D69</f>
        <v>CH</v>
      </c>
      <c r="E95" s="350" t="str">
        <f>E69</f>
        <v>hour</v>
      </c>
      <c r="F95" s="350"/>
      <c r="G95" s="350" t="s">
        <v>429</v>
      </c>
      <c r="H95" s="350" t="str">
        <f>H69</f>
        <v>co2_kva</v>
      </c>
      <c r="I95" s="350"/>
    </row>
    <row r="96" spans="1:10" x14ac:dyDescent="0.25">
      <c r="A96" t="str">
        <f>A13</f>
        <v>2-amino-2-methyl-1-propanol (AMP) production</v>
      </c>
      <c r="B96" t="str">
        <f>B13</f>
        <v>2-amino-2-methyl-1-propanol (AMP)</v>
      </c>
      <c r="C96">
        <f>(literature_CO2_cond_transp!C181)/1000</f>
        <v>1.4999999999999999E-5</v>
      </c>
      <c r="D96" t="str">
        <f>D13</f>
        <v>RER</v>
      </c>
      <c r="E96" t="str">
        <f>E13</f>
        <v>kilogram</v>
      </c>
      <c r="G96" t="s">
        <v>429</v>
      </c>
      <c r="H96" t="str">
        <f>H13</f>
        <v>co2_kva</v>
      </c>
    </row>
    <row r="97" spans="1:9" x14ac:dyDescent="0.25">
      <c r="A97" t="s">
        <v>914</v>
      </c>
      <c r="B97" t="s">
        <v>486</v>
      </c>
      <c r="C97">
        <f>(literature_CO2_cond_transp!C182)/1000</f>
        <v>2.51E-5</v>
      </c>
      <c r="D97" t="str">
        <f>literature_CO2_cond_transp!E182</f>
        <v>CH</v>
      </c>
      <c r="E97" t="str">
        <f>literature_CO2_cond_transp!F182</f>
        <v>kilogram</v>
      </c>
      <c r="G97" t="s">
        <v>429</v>
      </c>
      <c r="H97" t="str">
        <f t="shared" ref="H97:H105" si="1">ecoinventv310</f>
        <v>ecoinvent-3.10.1-cutoff</v>
      </c>
    </row>
    <row r="98" spans="1:9" x14ac:dyDescent="0.25">
      <c r="A98" t="s">
        <v>963</v>
      </c>
      <c r="B98" t="s">
        <v>959</v>
      </c>
      <c r="C98">
        <f>piperazine_kva*literature_CO2_cond_transp!$J$346</f>
        <v>2.735E-3</v>
      </c>
      <c r="D98" t="s">
        <v>419</v>
      </c>
      <c r="E98" t="s">
        <v>417</v>
      </c>
      <c r="F98" s="9"/>
      <c r="G98" t="s">
        <v>429</v>
      </c>
      <c r="H98" t="str">
        <f t="shared" si="1"/>
        <v>ecoinvent-3.10.1-cutoff</v>
      </c>
      <c r="I98" s="65" t="s">
        <v>965</v>
      </c>
    </row>
    <row r="99" spans="1:9" x14ac:dyDescent="0.25">
      <c r="A99" t="s">
        <v>964</v>
      </c>
      <c r="B99" t="s">
        <v>957</v>
      </c>
      <c r="C99">
        <f>piperazine_kva*literature_CO2_cond_transp!$J$345</f>
        <v>2.735E-3</v>
      </c>
      <c r="D99" t="s">
        <v>419</v>
      </c>
      <c r="E99" t="s">
        <v>417</v>
      </c>
      <c r="F99" s="9"/>
      <c r="G99" t="s">
        <v>429</v>
      </c>
      <c r="H99" t="str">
        <f t="shared" si="1"/>
        <v>ecoinvent-3.10.1-cutoff</v>
      </c>
      <c r="I99" s="65" t="s">
        <v>965</v>
      </c>
    </row>
    <row r="100" spans="1:9" x14ac:dyDescent="0.25">
      <c r="A100" t="str">
        <f>literature_CO2_cond_transp!B184</f>
        <v>market for concrete, normal strength</v>
      </c>
      <c r="B100" t="str">
        <f>literature_CO2_cond_transp!D184</f>
        <v>concrete, normal strength</v>
      </c>
      <c r="C100">
        <f>(literature_CO2_cond_transp!C184)/1000</f>
        <v>2.7800000000000001E-8</v>
      </c>
      <c r="D100" t="str">
        <f>literature_CO2_cond_transp!E184</f>
        <v>CH</v>
      </c>
      <c r="E100" t="str">
        <f>literature_CO2_cond_transp!F184</f>
        <v>cubic meter</v>
      </c>
      <c r="G100" t="s">
        <v>429</v>
      </c>
      <c r="H100" t="str">
        <f t="shared" si="1"/>
        <v>ecoinvent-3.10.1-cutoff</v>
      </c>
    </row>
    <row r="101" spans="1:9" x14ac:dyDescent="0.25">
      <c r="A101" t="s">
        <v>460</v>
      </c>
      <c r="B101" t="s">
        <v>461</v>
      </c>
      <c r="C101">
        <f>(literature_CO2_cond_transp!C185)/1000</f>
        <v>1.1899999999999999E-4</v>
      </c>
      <c r="D101" t="str">
        <f>literature_CO2_cond_transp!E185</f>
        <v>GLO</v>
      </c>
      <c r="E101" t="str">
        <f>literature_CO2_cond_transp!F185</f>
        <v>kilogram</v>
      </c>
      <c r="G101" t="s">
        <v>429</v>
      </c>
      <c r="H101" t="str">
        <f t="shared" si="1"/>
        <v>ecoinvent-3.10.1-cutoff</v>
      </c>
    </row>
    <row r="102" spans="1:9" x14ac:dyDescent="0.25">
      <c r="A102" t="str">
        <f>literature_CO2_cond_transp!B186</f>
        <v>metal working, average for chromium steel product manufacturing</v>
      </c>
      <c r="B102" t="str">
        <f>literature_CO2_cond_transp!D186</f>
        <v>metal working, average for chromium steel product manufacturing</v>
      </c>
      <c r="C102">
        <f>(literature_CO2_cond_transp!C186)/1000</f>
        <v>1.1899999999999999E-4</v>
      </c>
      <c r="D102" t="str">
        <f>literature_CO2_cond_transp!E186</f>
        <v>RER</v>
      </c>
      <c r="E102" t="str">
        <f>literature_CO2_cond_transp!F186</f>
        <v>kilogram</v>
      </c>
      <c r="G102" t="s">
        <v>429</v>
      </c>
      <c r="H102" t="str">
        <f t="shared" si="1"/>
        <v>ecoinvent-3.10.1-cutoff</v>
      </c>
    </row>
    <row r="103" spans="1:9" x14ac:dyDescent="0.25">
      <c r="A103" t="str">
        <f>literature_CO2_cond_transp!B188</f>
        <v>market for scrap steel</v>
      </c>
      <c r="B103" t="str">
        <f>literature_CO2_cond_transp!D188</f>
        <v>scrap steel</v>
      </c>
      <c r="C103">
        <f>(literature_CO2_cond_transp!C188)/1000</f>
        <v>-1.1899999999999999E-4</v>
      </c>
      <c r="D103" t="str">
        <f>literature_CO2_cond_transp!E188</f>
        <v>CH</v>
      </c>
      <c r="E103" t="str">
        <f>literature_CO2_cond_transp!F188</f>
        <v>kilogram</v>
      </c>
      <c r="G103" t="s">
        <v>429</v>
      </c>
      <c r="H103" t="str">
        <f t="shared" si="1"/>
        <v>ecoinvent-3.10.1-cutoff</v>
      </c>
    </row>
    <row r="104" spans="1:9" x14ac:dyDescent="0.25">
      <c r="A104" t="str">
        <f>literature_CO2_cond_transp!B189</f>
        <v>market for spent solvent mixture</v>
      </c>
      <c r="B104" t="str">
        <f>literature_CO2_cond_transp!D189</f>
        <v>spent solvent mixture</v>
      </c>
      <c r="C104">
        <f>(literature_CO2_cond_transp!C189)/1000</f>
        <v>-4.5600000000000004E-5</v>
      </c>
      <c r="D104" t="str">
        <f>literature_CO2_cond_transp!E189</f>
        <v>CH</v>
      </c>
      <c r="E104" t="str">
        <f>literature_CO2_cond_transp!F189</f>
        <v>kilogram</v>
      </c>
      <c r="G104" t="s">
        <v>429</v>
      </c>
      <c r="H104" t="str">
        <f t="shared" si="1"/>
        <v>ecoinvent-3.10.1-cutoff</v>
      </c>
    </row>
    <row r="105" spans="1:9" x14ac:dyDescent="0.25">
      <c r="A105" t="str">
        <f>literature_CO2_cond_transp!B190</f>
        <v>market for waste concrete</v>
      </c>
      <c r="B105" t="str">
        <f>literature_CO2_cond_transp!D190</f>
        <v>waste concrete</v>
      </c>
      <c r="C105">
        <f>(literature_CO2_cond_transp!C190)/1000</f>
        <v>-6.6699999999999995E-5</v>
      </c>
      <c r="D105" t="str">
        <f>literature_CO2_cond_transp!E190</f>
        <v>CH</v>
      </c>
      <c r="E105" t="str">
        <f>literature_CO2_cond_transp!F190</f>
        <v>kilogram</v>
      </c>
      <c r="G105" t="s">
        <v>429</v>
      </c>
      <c r="H105" t="str">
        <f t="shared" si="1"/>
        <v>ecoinvent-3.10.1-cutoff</v>
      </c>
    </row>
    <row r="106" spans="1:9" x14ac:dyDescent="0.25">
      <c r="A106" t="s">
        <v>539</v>
      </c>
      <c r="C106">
        <f>(literature_CO2_cond_transp!C191)/1000</f>
        <v>1.0200000000000001E-5</v>
      </c>
      <c r="E106" t="s">
        <v>1076</v>
      </c>
      <c r="F106" t="s">
        <v>1077</v>
      </c>
      <c r="G106" t="s">
        <v>435</v>
      </c>
      <c r="H106" t="str">
        <f>biospherev310</f>
        <v>ecoinvent-3.10.1-biosphere</v>
      </c>
    </row>
    <row r="107" spans="1:9" x14ac:dyDescent="0.25">
      <c r="A107" t="str">
        <f>literature_CO2_cond_transp!B192</f>
        <v>Transformation, to industrial area</v>
      </c>
      <c r="C107">
        <f>(literature_CO2_cond_transp!C192)/1000</f>
        <v>5.0999999999999999E-7</v>
      </c>
      <c r="E107" t="str">
        <f>literature_CO2_cond_transp!F192</f>
        <v>square meter</v>
      </c>
      <c r="F107" t="s">
        <v>1077</v>
      </c>
      <c r="G107" t="s">
        <v>435</v>
      </c>
      <c r="H107" t="str">
        <f>biospherev310</f>
        <v>ecoinvent-3.10.1-biosphere</v>
      </c>
    </row>
    <row r="108" spans="1:9" x14ac:dyDescent="0.25">
      <c r="A108" s="63" t="s">
        <v>1078</v>
      </c>
      <c r="B108" s="63"/>
      <c r="C108">
        <f>C107</f>
        <v>5.0999999999999999E-7</v>
      </c>
      <c r="E108" s="63" t="s">
        <v>437</v>
      </c>
      <c r="F108" t="s">
        <v>1077</v>
      </c>
      <c r="G108" t="s">
        <v>435</v>
      </c>
      <c r="H108" t="str">
        <f>biospherev310</f>
        <v>ecoinvent-3.10.1-biosphere</v>
      </c>
    </row>
    <row r="109" spans="1:9" x14ac:dyDescent="0.25">
      <c r="A109" t="s">
        <v>1386</v>
      </c>
      <c r="C109">
        <v>0</v>
      </c>
      <c r="E109" t="str">
        <f>literature_CO2_cond_transp!F193</f>
        <v>kilogram</v>
      </c>
      <c r="F109" t="str">
        <f>literature_CO2_cond_transp!G193</f>
        <v>air</v>
      </c>
      <c r="G109" t="s">
        <v>435</v>
      </c>
      <c r="H109" t="str">
        <f>biospherev310</f>
        <v>ecoinvent-3.10.1-biosphere</v>
      </c>
      <c r="I109" t="s">
        <v>1387</v>
      </c>
    </row>
    <row r="112" spans="1:9" x14ac:dyDescent="0.25">
      <c r="A112" s="335" t="s">
        <v>413</v>
      </c>
      <c r="B112" s="335" t="s">
        <v>1043</v>
      </c>
      <c r="C112" s="336"/>
      <c r="D112" s="336"/>
      <c r="E112" s="336"/>
      <c r="F112" s="336"/>
      <c r="G112" s="336"/>
      <c r="H112" s="336"/>
      <c r="I112" s="336"/>
    </row>
    <row r="113" spans="1:9" x14ac:dyDescent="0.25">
      <c r="A113" t="s">
        <v>414</v>
      </c>
      <c r="B113">
        <v>1</v>
      </c>
    </row>
    <row r="114" spans="1:9" x14ac:dyDescent="0.25">
      <c r="A114" t="s">
        <v>415</v>
      </c>
      <c r="B114" t="s">
        <v>984</v>
      </c>
    </row>
    <row r="115" spans="1:9" x14ac:dyDescent="0.25">
      <c r="A115" t="s">
        <v>416</v>
      </c>
      <c r="B115" t="s">
        <v>417</v>
      </c>
    </row>
    <row r="116" spans="1:9" x14ac:dyDescent="0.25">
      <c r="A116" t="s">
        <v>418</v>
      </c>
      <c r="B116" t="s">
        <v>432</v>
      </c>
    </row>
    <row r="117" spans="1:9" x14ac:dyDescent="0.25">
      <c r="A117" t="s">
        <v>420</v>
      </c>
      <c r="B117" t="s">
        <v>986</v>
      </c>
    </row>
    <row r="119" spans="1:9" x14ac:dyDescent="0.25">
      <c r="A119" s="9" t="s">
        <v>421</v>
      </c>
      <c r="B119" s="9"/>
      <c r="C119" s="9"/>
      <c r="D119" s="9"/>
      <c r="E119" s="9"/>
      <c r="F119" s="9"/>
      <c r="G119" s="9"/>
      <c r="H119" s="9"/>
      <c r="I119" s="9"/>
    </row>
    <row r="120" spans="1:9" x14ac:dyDescent="0.25">
      <c r="A120" s="9" t="s">
        <v>422</v>
      </c>
      <c r="B120" s="9" t="s">
        <v>415</v>
      </c>
      <c r="C120" s="9" t="s">
        <v>423</v>
      </c>
      <c r="D120" s="9" t="s">
        <v>418</v>
      </c>
      <c r="E120" s="9" t="s">
        <v>416</v>
      </c>
      <c r="F120" s="9" t="s">
        <v>424</v>
      </c>
      <c r="G120" s="9" t="s">
        <v>425</v>
      </c>
      <c r="H120" s="9" t="s">
        <v>439</v>
      </c>
      <c r="I120" s="9" t="s">
        <v>420</v>
      </c>
    </row>
    <row r="121" spans="1:9" x14ac:dyDescent="0.25">
      <c r="A121" s="65" t="str">
        <f>B112</f>
        <v>CO2 conditioning, at 15 bar, waste incineration plant, Linth, Switzerland</v>
      </c>
      <c r="B121" s="65" t="str">
        <f>B114</f>
        <v>CO2, conditioned, at 15 bar, waste incineration plant, Linth, Switzerland</v>
      </c>
      <c r="C121" s="65">
        <f>B113</f>
        <v>1</v>
      </c>
      <c r="D121" s="65" t="str">
        <f>B116</f>
        <v>CH</v>
      </c>
      <c r="E121" s="65" t="str">
        <f>B115</f>
        <v>kilogram</v>
      </c>
      <c r="F121" s="65"/>
      <c r="G121" s="65" t="s">
        <v>427</v>
      </c>
      <c r="H121" s="65" t="str">
        <f>db_co2</f>
        <v>co2_kva</v>
      </c>
    </row>
    <row r="122" spans="1:9" x14ac:dyDescent="0.25">
      <c r="A122" s="358" t="str">
        <f>A94</f>
        <v>CO2 captured at capture unit, waste incineration plant, Linth, Switzerland</v>
      </c>
      <c r="B122" s="358" t="str">
        <f>B94</f>
        <v>CO2 captured at capture unit, waste incineration plant, Linth, Switzerland</v>
      </c>
      <c r="C122" s="358">
        <v>1</v>
      </c>
      <c r="D122" s="358" t="str">
        <f>D94</f>
        <v>CH</v>
      </c>
      <c r="E122" s="358" t="str">
        <f>E94</f>
        <v>kilogram</v>
      </c>
      <c r="F122" s="358"/>
      <c r="G122" s="358" t="s">
        <v>429</v>
      </c>
      <c r="H122" s="358" t="str">
        <f>H94</f>
        <v>co2_kva</v>
      </c>
      <c r="I122" s="50" t="s">
        <v>1124</v>
      </c>
    </row>
    <row r="123" spans="1:9" x14ac:dyDescent="0.25">
      <c r="A123" s="50" t="str">
        <f>literature_CO2_cond_transp!C95</f>
        <v>market for electricity, low voltage</v>
      </c>
      <c r="B123" s="50" t="str">
        <f>literature_CO2_cond_transp!B95</f>
        <v>electricity, low voltage</v>
      </c>
      <c r="C123" s="50">
        <f>(literature_CO2_cond_transp!D95)/1000</f>
        <v>9.5150000000000012E-2</v>
      </c>
      <c r="D123" s="50" t="str">
        <f>literature_CO2_cond_transp!F95</f>
        <v>CH</v>
      </c>
      <c r="E123" s="50" t="str">
        <f>literature_CO2_cond_transp!E95</f>
        <v>kilowatt hour</v>
      </c>
      <c r="F123" s="50"/>
      <c r="G123" s="50" t="s">
        <v>429</v>
      </c>
      <c r="H123" s="50" t="str">
        <f t="shared" ref="H123:H135" si="2">ecoinventv310</f>
        <v>ecoinvent-3.10.1-cutoff</v>
      </c>
      <c r="I123" s="50"/>
    </row>
    <row r="124" spans="1:9" x14ac:dyDescent="0.25">
      <c r="A124" t="str">
        <f>literature_CO2_cond_transp!C89</f>
        <v>air compressor production, screw-type compressor, 300kW</v>
      </c>
      <c r="B124" t="str">
        <f>literature_CO2_cond_transp!B89</f>
        <v>air compressor, screw-type compressor, 300kW</v>
      </c>
      <c r="C124" s="70">
        <f>(literature_CO2_cond_transp!D89)/1000</f>
        <v>1.08E-9</v>
      </c>
      <c r="D124" t="str">
        <f>literature_CO2_cond_transp!F89</f>
        <v>RER</v>
      </c>
      <c r="E124" t="str">
        <f>literature_CO2_cond_transp!E89</f>
        <v>unit</v>
      </c>
      <c r="G124" t="s">
        <v>429</v>
      </c>
      <c r="H124" t="str">
        <f t="shared" si="2"/>
        <v>ecoinvent-3.10.1-cutoff</v>
      </c>
    </row>
    <row r="125" spans="1:9" x14ac:dyDescent="0.25">
      <c r="A125" t="s">
        <v>985</v>
      </c>
      <c r="B125" t="s">
        <v>564</v>
      </c>
      <c r="C125" s="70">
        <f>(literature_CO2_cond_transp!D90)/1000</f>
        <v>3.0800000000000004E-8</v>
      </c>
      <c r="D125" t="str">
        <f>literature_CO2_cond_transp!F90</f>
        <v>GLO</v>
      </c>
      <c r="E125" t="str">
        <f>literature_CO2_cond_transp!E90</f>
        <v>unit</v>
      </c>
      <c r="G125" t="s">
        <v>429</v>
      </c>
      <c r="H125" t="str">
        <f t="shared" si="2"/>
        <v>ecoinvent-3.10.1-cutoff</v>
      </c>
    </row>
    <row r="126" spans="1:9" x14ac:dyDescent="0.25">
      <c r="A126" t="str">
        <f>literature_CO2_cond_transp!C91</f>
        <v>market for zeolite, powder</v>
      </c>
      <c r="B126" t="str">
        <f>literature_CO2_cond_transp!B91</f>
        <v>zeolite, powder</v>
      </c>
      <c r="C126" s="70">
        <f>(literature_CO2_cond_transp!D91)/1000</f>
        <v>1.4700000000000001E-7</v>
      </c>
      <c r="D126" t="str">
        <f>literature_CO2_cond_transp!F91</f>
        <v>GLO</v>
      </c>
      <c r="E126" t="str">
        <f>literature_CO2_cond_transp!E91</f>
        <v>kilogram</v>
      </c>
      <c r="G126" t="s">
        <v>429</v>
      </c>
      <c r="H126" t="str">
        <f t="shared" si="2"/>
        <v>ecoinvent-3.10.1-cutoff</v>
      </c>
    </row>
    <row r="127" spans="1:9" x14ac:dyDescent="0.25">
      <c r="A127" t="str">
        <f>literature_CO2_cond_transp!C92</f>
        <v>market for concrete, normal strength</v>
      </c>
      <c r="B127" t="str">
        <f>literature_CO2_cond_transp!B92</f>
        <v>concrete, normal strength</v>
      </c>
      <c r="C127" s="70">
        <f>(literature_CO2_cond_transp!D92)/1000</f>
        <v>1.2E-8</v>
      </c>
      <c r="D127" t="str">
        <f>literature_CO2_cond_transp!F92</f>
        <v>CH</v>
      </c>
      <c r="E127" t="str">
        <f>literature_CO2_cond_transp!E92</f>
        <v>cubic meter</v>
      </c>
      <c r="G127" t="s">
        <v>429</v>
      </c>
      <c r="H127" t="str">
        <f t="shared" si="2"/>
        <v>ecoinvent-3.10.1-cutoff</v>
      </c>
    </row>
    <row r="128" spans="1:9" x14ac:dyDescent="0.25">
      <c r="A128" t="str">
        <f>literature_CO2_cond_transp!C93</f>
        <v>market for steel, chromium steel 18/8</v>
      </c>
      <c r="B128" t="str">
        <f>literature_CO2_cond_transp!B93</f>
        <v>steel, chromium steel 18/8</v>
      </c>
      <c r="C128" s="70">
        <f>(literature_CO2_cond_transp!D93)/1000</f>
        <v>3.7299999999999999E-5</v>
      </c>
      <c r="D128" t="str">
        <f>literature_CO2_cond_transp!F93</f>
        <v>GLO</v>
      </c>
      <c r="E128" t="str">
        <f>literature_CO2_cond_transp!E93</f>
        <v>kilogram</v>
      </c>
      <c r="G128" t="s">
        <v>429</v>
      </c>
      <c r="H128" t="str">
        <f t="shared" si="2"/>
        <v>ecoinvent-3.10.1-cutoff</v>
      </c>
    </row>
    <row r="129" spans="1:9" x14ac:dyDescent="0.25">
      <c r="A129" t="str">
        <f>literature_CO2_cond_transp!C94</f>
        <v>market for ammonia, anhydrous, liquid</v>
      </c>
      <c r="B129" t="str">
        <f>literature_CO2_cond_transp!B94</f>
        <v>ammonia, anhydrous, liquid</v>
      </c>
      <c r="C129" s="70">
        <f>(literature_CO2_cond_transp!D94)/1000</f>
        <v>9.9799999999999994E-8</v>
      </c>
      <c r="D129" t="str">
        <f>literature_CO2_cond_transp!F94</f>
        <v>RER</v>
      </c>
      <c r="E129" t="str">
        <f>literature_CO2_cond_transp!E94</f>
        <v>kilogram</v>
      </c>
      <c r="G129" t="s">
        <v>429</v>
      </c>
      <c r="H129" t="str">
        <f t="shared" si="2"/>
        <v>ecoinvent-3.10.1-cutoff</v>
      </c>
    </row>
    <row r="130" spans="1:9" x14ac:dyDescent="0.25">
      <c r="A130" t="str">
        <f>literature_CO2_cond_transp!C96</f>
        <v>water cooling</v>
      </c>
      <c r="B130" t="str">
        <f>literature_CO2_cond_transp!B96</f>
        <v>Cooling (with water)</v>
      </c>
      <c r="C130">
        <f>(literature_CO2_cond_transp!D96)/1000</f>
        <v>0.7641</v>
      </c>
      <c r="D130" t="str">
        <f>literature_CO2_cond_transp!F96</f>
        <v>CH</v>
      </c>
      <c r="E130" t="str">
        <f>literature_CO2_cond_transp!E96</f>
        <v>megajoule</v>
      </c>
      <c r="G130" t="s">
        <v>429</v>
      </c>
      <c r="H130" t="str">
        <f t="shared" si="2"/>
        <v>ecoinvent-3.10.1-cutoff</v>
      </c>
    </row>
    <row r="131" spans="1:9" x14ac:dyDescent="0.25">
      <c r="A131" t="str">
        <f>literature_CO2_cond_transp!C97</f>
        <v>treatment of waste concrete, inert material landfill</v>
      </c>
      <c r="B131" t="str">
        <f>literature_CO2_cond_transp!B97</f>
        <v>waste concrete</v>
      </c>
      <c r="C131" s="70">
        <f>(literature_CO2_cond_transp!D97)/1000</f>
        <v>-2.87E-5</v>
      </c>
      <c r="D131" t="str">
        <f>literature_CO2_cond_transp!F97</f>
        <v>CH</v>
      </c>
      <c r="E131" t="str">
        <f>literature_CO2_cond_transp!E97</f>
        <v>kilogram</v>
      </c>
      <c r="G131" t="s">
        <v>429</v>
      </c>
      <c r="H131" t="str">
        <f t="shared" si="2"/>
        <v>ecoinvent-3.10.1-cutoff</v>
      </c>
    </row>
    <row r="132" spans="1:9" x14ac:dyDescent="0.25">
      <c r="A132" t="str">
        <f>literature_CO2_cond_transp!C98</f>
        <v>treatment of hazardous waste, hazardous waste incineration</v>
      </c>
      <c r="B132" t="str">
        <f>literature_CO2_cond_transp!B98</f>
        <v>hazardous waste, for incineration</v>
      </c>
      <c r="C132" s="70">
        <f>(literature_CO2_cond_transp!D98)/1000</f>
        <v>-1.3899999999999999E-7</v>
      </c>
      <c r="D132" t="str">
        <f>literature_CO2_cond_transp!F98</f>
        <v>CH</v>
      </c>
      <c r="E132" t="str">
        <f>literature_CO2_cond_transp!E98</f>
        <v>kilogram</v>
      </c>
      <c r="G132" t="s">
        <v>429</v>
      </c>
      <c r="H132" t="str">
        <f t="shared" si="2"/>
        <v>ecoinvent-3.10.1-cutoff</v>
      </c>
    </row>
    <row r="133" spans="1:9" x14ac:dyDescent="0.25">
      <c r="A133" t="str">
        <f>literature_CO2_cond_transp!C99</f>
        <v>market for waste zeolite</v>
      </c>
      <c r="B133" t="str">
        <f>literature_CO2_cond_transp!B99</f>
        <v>waste zeolite</v>
      </c>
      <c r="C133" s="70">
        <f>(literature_CO2_cond_transp!D99)/1000</f>
        <v>-1.4700000000000001E-7</v>
      </c>
      <c r="D133" t="str">
        <f>literature_CO2_cond_transp!F99</f>
        <v>CH</v>
      </c>
      <c r="E133" t="str">
        <f>literature_CO2_cond_transp!E99</f>
        <v>kilogram</v>
      </c>
      <c r="G133" t="s">
        <v>429</v>
      </c>
      <c r="H133" t="str">
        <f t="shared" si="2"/>
        <v>ecoinvent-3.10.1-cutoff</v>
      </c>
    </row>
    <row r="134" spans="1:9" x14ac:dyDescent="0.25">
      <c r="A134" t="str">
        <f>literature_CO2_cond_transp!C100</f>
        <v>market for scrap steel</v>
      </c>
      <c r="B134" t="str">
        <f>literature_CO2_cond_transp!B100</f>
        <v>scrap steel</v>
      </c>
      <c r="C134" s="70">
        <f>(literature_CO2_cond_transp!D100)/1000</f>
        <v>-3.7299999999999999E-5</v>
      </c>
      <c r="D134" t="str">
        <f>literature_CO2_cond_transp!F100</f>
        <v>CH</v>
      </c>
      <c r="E134" t="str">
        <f>literature_CO2_cond_transp!E100</f>
        <v>kilogram</v>
      </c>
      <c r="G134" t="s">
        <v>429</v>
      </c>
      <c r="H134" t="str">
        <f t="shared" si="2"/>
        <v>ecoinvent-3.10.1-cutoff</v>
      </c>
    </row>
    <row r="135" spans="1:9" x14ac:dyDescent="0.25">
      <c r="A135" t="str">
        <f>literature_CO2_cond_transp!C101</f>
        <v>market for wastewater, average</v>
      </c>
      <c r="B135" t="str">
        <f>literature_CO2_cond_transp!B101</f>
        <v>wastewater, average</v>
      </c>
      <c r="C135" s="70">
        <f>(literature_CO2_cond_transp!D101)/1000</f>
        <v>-8.2799999999999987E-6</v>
      </c>
      <c r="D135" t="str">
        <f>literature_CO2_cond_transp!F101</f>
        <v>CH</v>
      </c>
      <c r="E135" t="str">
        <f>literature_CO2_cond_transp!E101</f>
        <v>cubic meter</v>
      </c>
      <c r="G135" t="s">
        <v>429</v>
      </c>
      <c r="H135" t="str">
        <f t="shared" si="2"/>
        <v>ecoinvent-3.10.1-cutoff</v>
      </c>
    </row>
    <row r="136" spans="1:9" x14ac:dyDescent="0.25">
      <c r="A136" t="s">
        <v>539</v>
      </c>
      <c r="C136" s="70">
        <f>(literature_CO2_cond_transp!D105)/1000</f>
        <v>5.1100000000000002E-6</v>
      </c>
      <c r="E136" t="s">
        <v>1076</v>
      </c>
      <c r="F136" t="s">
        <v>1077</v>
      </c>
      <c r="G136" t="s">
        <v>435</v>
      </c>
      <c r="H136" t="str">
        <f>biospherev310</f>
        <v>ecoinvent-3.10.1-biosphere</v>
      </c>
    </row>
    <row r="137" spans="1:9" x14ac:dyDescent="0.25">
      <c r="A137" t="str">
        <f>literature_CO2_cond_transp!B106</f>
        <v>Transformation, to industrial area</v>
      </c>
      <c r="C137" s="70">
        <f>(literature_CO2_cond_transp!D106)/1000</f>
        <v>2.5599999999999996E-7</v>
      </c>
      <c r="E137" t="s">
        <v>437</v>
      </c>
      <c r="F137" t="s">
        <v>1077</v>
      </c>
      <c r="G137" t="s">
        <v>435</v>
      </c>
      <c r="H137" t="s">
        <v>910</v>
      </c>
    </row>
    <row r="138" spans="1:9" x14ac:dyDescent="0.25">
      <c r="A138" s="63" t="s">
        <v>1078</v>
      </c>
      <c r="B138" s="63"/>
      <c r="C138" s="70">
        <f>C137</f>
        <v>2.5599999999999996E-7</v>
      </c>
      <c r="E138" s="63" t="s">
        <v>437</v>
      </c>
      <c r="F138" t="s">
        <v>1077</v>
      </c>
      <c r="G138" t="s">
        <v>435</v>
      </c>
      <c r="H138" t="str">
        <f>biospherev310</f>
        <v>ecoinvent-3.10.1-biosphere</v>
      </c>
    </row>
    <row r="139" spans="1:9" x14ac:dyDescent="0.25">
      <c r="A139" t="str">
        <f>literature_CO2_cond_transp!B107</f>
        <v>Carbon dioxide, fossil</v>
      </c>
      <c r="C139">
        <f>(literature_CO2_cond_transp!D107)/1000</f>
        <v>3.2699999999999999E-3</v>
      </c>
      <c r="E139" t="str">
        <f>literature_CO2_cond_transp!E107</f>
        <v>kilogram</v>
      </c>
      <c r="F139" t="str">
        <f>literature_CO2_cond_transp!C107</f>
        <v>air</v>
      </c>
      <c r="G139" t="s">
        <v>435</v>
      </c>
      <c r="H139" t="str">
        <f>biospherev310</f>
        <v>ecoinvent-3.10.1-biosphere</v>
      </c>
    </row>
    <row r="140" spans="1:9" x14ac:dyDescent="0.25">
      <c r="A140" t="str">
        <f>literature_CO2_cond_transp!B108</f>
        <v>Ammonia</v>
      </c>
      <c r="C140" s="70">
        <f>(literature_CO2_cond_transp!D108)/1000</f>
        <v>9.9799999999999994E-8</v>
      </c>
      <c r="E140" t="str">
        <f>literature_CO2_cond_transp!E108</f>
        <v>kilogram</v>
      </c>
      <c r="F140" t="str">
        <f>literature_CO2_cond_transp!C108</f>
        <v>air</v>
      </c>
      <c r="G140" t="s">
        <v>435</v>
      </c>
      <c r="H140" t="str">
        <f>biospherev310</f>
        <v>ecoinvent-3.10.1-biosphere</v>
      </c>
    </row>
    <row r="141" spans="1:9" x14ac:dyDescent="0.25">
      <c r="C141" s="70"/>
    </row>
    <row r="142" spans="1:9" x14ac:dyDescent="0.25">
      <c r="C142" s="70"/>
    </row>
    <row r="143" spans="1:9" x14ac:dyDescent="0.25">
      <c r="A143" s="335" t="s">
        <v>413</v>
      </c>
      <c r="B143" s="335" t="s">
        <v>996</v>
      </c>
      <c r="C143" s="336"/>
      <c r="D143" s="336"/>
      <c r="E143" s="336"/>
      <c r="F143" s="336"/>
      <c r="G143" s="336"/>
      <c r="H143" s="336"/>
      <c r="I143" s="336"/>
    </row>
    <row r="144" spans="1:9" x14ac:dyDescent="0.25">
      <c r="A144" t="s">
        <v>414</v>
      </c>
      <c r="B144">
        <f>literature_CO2_cond_transp!C198</f>
        <v>1</v>
      </c>
    </row>
    <row r="145" spans="1:9" x14ac:dyDescent="0.25">
      <c r="A145" t="s">
        <v>415</v>
      </c>
      <c r="B145" t="s">
        <v>997</v>
      </c>
    </row>
    <row r="146" spans="1:9" x14ac:dyDescent="0.25">
      <c r="A146" t="s">
        <v>416</v>
      </c>
      <c r="B146" t="s">
        <v>417</v>
      </c>
    </row>
    <row r="147" spans="1:9" x14ac:dyDescent="0.25">
      <c r="A147" t="s">
        <v>418</v>
      </c>
      <c r="B147" t="str">
        <f>literature_CO2_cond_transp!C201</f>
        <v>CH</v>
      </c>
    </row>
    <row r="148" spans="1:9" x14ac:dyDescent="0.25">
      <c r="A148" t="s">
        <v>420</v>
      </c>
      <c r="B148" t="s">
        <v>967</v>
      </c>
    </row>
    <row r="150" spans="1:9" x14ac:dyDescent="0.25">
      <c r="A150" s="9" t="s">
        <v>421</v>
      </c>
      <c r="B150" s="9"/>
      <c r="C150" s="9"/>
      <c r="D150" s="9"/>
      <c r="E150" s="9"/>
      <c r="F150" s="9"/>
      <c r="G150" s="9"/>
      <c r="H150" s="9"/>
      <c r="I150" s="9"/>
    </row>
    <row r="151" spans="1:9" x14ac:dyDescent="0.25">
      <c r="A151" s="9" t="s">
        <v>422</v>
      </c>
      <c r="B151" s="9" t="s">
        <v>415</v>
      </c>
      <c r="C151" s="9" t="s">
        <v>423</v>
      </c>
      <c r="D151" s="9" t="s">
        <v>418</v>
      </c>
      <c r="E151" s="9" t="s">
        <v>416</v>
      </c>
      <c r="F151" s="9" t="s">
        <v>424</v>
      </c>
      <c r="G151" s="9" t="s">
        <v>425</v>
      </c>
      <c r="H151" s="9" t="s">
        <v>439</v>
      </c>
      <c r="I151" s="9" t="s">
        <v>420</v>
      </c>
    </row>
    <row r="152" spans="1:9" x14ac:dyDescent="0.25">
      <c r="A152" s="65" t="str">
        <f>B143</f>
        <v>CO2 storage, temporary, 5 days, 15 bar, waste incineration plant, Linth, Switzerland</v>
      </c>
      <c r="B152" s="65" t="str">
        <f>B145</f>
        <v>CO2, stored, temporary, 5 days, 15 bar, waste incineration plant, Linth, Switzerland</v>
      </c>
      <c r="C152" s="65">
        <f>B144</f>
        <v>1</v>
      </c>
      <c r="D152" s="65" t="str">
        <f>B147</f>
        <v>CH</v>
      </c>
      <c r="E152" s="65" t="str">
        <f>B146</f>
        <v>kilogram</v>
      </c>
      <c r="F152" s="65"/>
      <c r="G152" s="65" t="s">
        <v>427</v>
      </c>
      <c r="H152" s="65" t="str">
        <f>db_co2</f>
        <v>co2_kva</v>
      </c>
    </row>
    <row r="153" spans="1:9" x14ac:dyDescent="0.25">
      <c r="A153" s="358" t="str">
        <f>A121</f>
        <v>CO2 conditioning, at 15 bar, waste incineration plant, Linth, Switzerland</v>
      </c>
      <c r="B153" s="358" t="str">
        <f>B121</f>
        <v>CO2, conditioned, at 15 bar, waste incineration plant, Linth, Switzerland</v>
      </c>
      <c r="C153" s="358">
        <v>1</v>
      </c>
      <c r="D153" s="358" t="str">
        <f>D121</f>
        <v>CH</v>
      </c>
      <c r="E153" s="358" t="str">
        <f>E121</f>
        <v>kilogram</v>
      </c>
      <c r="F153" s="358"/>
      <c r="G153" s="50" t="s">
        <v>429</v>
      </c>
      <c r="H153" s="358" t="str">
        <f>H121</f>
        <v>co2_kva</v>
      </c>
      <c r="I153" s="50" t="s">
        <v>1124</v>
      </c>
    </row>
    <row r="154" spans="1:9" x14ac:dyDescent="0.25">
      <c r="A154" s="350" t="str">
        <f>A53</f>
        <v>water pump operation, electric, electricity from waste incineration</v>
      </c>
      <c r="B154" s="350" t="str">
        <f>B53</f>
        <v>water pump operation, electric, electricity from waste incineration</v>
      </c>
      <c r="C154" s="350">
        <f>(literature_CO2_cond_transp!D125)/1000</f>
        <v>7.1999999999999994E-4</v>
      </c>
      <c r="D154" s="350" t="str">
        <f>literature_CO2_cond_transp!G125</f>
        <v>CH</v>
      </c>
      <c r="E154" s="350" t="str">
        <f>literature_CO2_cond_transp!E125</f>
        <v>megajoule</v>
      </c>
      <c r="F154" s="350"/>
      <c r="G154" s="350" t="s">
        <v>429</v>
      </c>
      <c r="H154" s="350" t="str">
        <f t="shared" ref="H154:H159" si="3">ecoinventv310</f>
        <v>ecoinvent-3.10.1-cutoff</v>
      </c>
      <c r="I154" s="350"/>
    </row>
    <row r="155" spans="1:9" x14ac:dyDescent="0.25">
      <c r="A155" t="str">
        <f>literature_CO2_cond_transp!C122</f>
        <v>metal working, average for chromium steel product manufacturing</v>
      </c>
      <c r="B155" t="str">
        <f>literature_CO2_cond_transp!B122</f>
        <v>metal working, average for chromium steel product manufacturing</v>
      </c>
      <c r="C155">
        <f>(literature_CO2_cond_transp!D122)/1000</f>
        <v>8.8500000000000004E-4</v>
      </c>
      <c r="D155" t="str">
        <f>literature_CO2_cond_transp!G122</f>
        <v>RER</v>
      </c>
      <c r="E155" t="str">
        <f>literature_CO2_cond_transp!E122</f>
        <v>kilogram</v>
      </c>
      <c r="G155" t="s">
        <v>429</v>
      </c>
      <c r="H155" t="str">
        <f t="shared" si="3"/>
        <v>ecoinvent-3.10.1-cutoff</v>
      </c>
    </row>
    <row r="156" spans="1:9" x14ac:dyDescent="0.25">
      <c r="A156" t="str">
        <f>literature_CO2_cond_transp!C123</f>
        <v>steel production, electric, chromium steel 18/8</v>
      </c>
      <c r="B156" t="str">
        <f>literature_CO2_cond_transp!B123</f>
        <v>steel, chromium steel 18/8</v>
      </c>
      <c r="C156">
        <f>(literature_CO2_cond_transp!D123)/1000</f>
        <v>8.8500000000000004E-4</v>
      </c>
      <c r="D156" t="str">
        <f>literature_CO2_cond_transp!G123</f>
        <v>RER</v>
      </c>
      <c r="E156" t="str">
        <f>literature_CO2_cond_transp!E123</f>
        <v>kilogram</v>
      </c>
      <c r="G156" t="s">
        <v>429</v>
      </c>
      <c r="H156" t="str">
        <f t="shared" si="3"/>
        <v>ecoinvent-3.10.1-cutoff</v>
      </c>
    </row>
    <row r="157" spans="1:9" x14ac:dyDescent="0.25">
      <c r="A157" t="str">
        <f>literature_CO2_cond_transp!C124</f>
        <v>market for concrete, normal strength</v>
      </c>
      <c r="B157" t="str">
        <f>literature_CO2_cond_transp!B124</f>
        <v>concrete, normal strength</v>
      </c>
      <c r="C157">
        <f>(literature_CO2_cond_transp!D124)/1000</f>
        <v>2.1200000000000001E-8</v>
      </c>
      <c r="D157" t="str">
        <f>literature_CO2_cond_transp!G124</f>
        <v>CH</v>
      </c>
      <c r="E157" t="str">
        <f>literature_CO2_cond_transp!E124</f>
        <v>cubic meter</v>
      </c>
      <c r="G157" t="s">
        <v>429</v>
      </c>
      <c r="H157" t="str">
        <f t="shared" si="3"/>
        <v>ecoinvent-3.10.1-cutoff</v>
      </c>
    </row>
    <row r="158" spans="1:9" x14ac:dyDescent="0.25">
      <c r="A158" t="str">
        <f>literature_CO2_cond_transp!C126</f>
        <v>treatment of waste concrete, inert material landfill</v>
      </c>
      <c r="B158" t="str">
        <f>literature_CO2_cond_transp!B126</f>
        <v>waste concrete</v>
      </c>
      <c r="C158">
        <f>(literature_CO2_cond_transp!D126)/1000</f>
        <v>-5.1E-5</v>
      </c>
      <c r="D158" t="str">
        <f>literature_CO2_cond_transp!G126</f>
        <v>CH</v>
      </c>
      <c r="E158" t="str">
        <f>literature_CO2_cond_transp!E126</f>
        <v>kilogram</v>
      </c>
      <c r="G158" t="s">
        <v>429</v>
      </c>
      <c r="H158" t="str">
        <f t="shared" si="3"/>
        <v>ecoinvent-3.10.1-cutoff</v>
      </c>
    </row>
    <row r="159" spans="1:9" x14ac:dyDescent="0.25">
      <c r="A159" t="str">
        <f>literature_CO2_cond_transp!C127</f>
        <v>market for scrap steel</v>
      </c>
      <c r="B159" t="str">
        <f>literature_CO2_cond_transp!B127</f>
        <v>scrap steel</v>
      </c>
      <c r="C159">
        <f>(literature_CO2_cond_transp!D127)/1000</f>
        <v>-8.8500000000000004E-4</v>
      </c>
      <c r="D159" t="str">
        <f>literature_CO2_cond_transp!G127</f>
        <v>CH</v>
      </c>
      <c r="E159" t="str">
        <f>literature_CO2_cond_transp!E127</f>
        <v>kilogram</v>
      </c>
      <c r="G159" t="s">
        <v>429</v>
      </c>
      <c r="H159" t="str">
        <f t="shared" si="3"/>
        <v>ecoinvent-3.10.1-cutoff</v>
      </c>
    </row>
    <row r="162" spans="1:9" x14ac:dyDescent="0.25">
      <c r="A162" s="335" t="s">
        <v>413</v>
      </c>
      <c r="B162" s="335" t="s">
        <v>998</v>
      </c>
      <c r="C162" s="336"/>
      <c r="D162" s="336"/>
      <c r="E162" s="336"/>
      <c r="F162" s="336"/>
      <c r="G162" s="336"/>
      <c r="H162" s="336"/>
      <c r="I162" s="336"/>
    </row>
    <row r="163" spans="1:9" x14ac:dyDescent="0.25">
      <c r="A163" t="s">
        <v>414</v>
      </c>
      <c r="B163">
        <v>1</v>
      </c>
    </row>
    <row r="164" spans="1:9" x14ac:dyDescent="0.25">
      <c r="A164" t="s">
        <v>415</v>
      </c>
      <c r="B164" t="s">
        <v>999</v>
      </c>
    </row>
    <row r="165" spans="1:9" x14ac:dyDescent="0.25">
      <c r="A165" t="s">
        <v>416</v>
      </c>
      <c r="B165" t="s">
        <v>417</v>
      </c>
    </row>
    <row r="166" spans="1:9" x14ac:dyDescent="0.25">
      <c r="A166" t="s">
        <v>418</v>
      </c>
      <c r="B166" t="s">
        <v>432</v>
      </c>
    </row>
    <row r="167" spans="1:9" x14ac:dyDescent="0.25">
      <c r="A167" t="s">
        <v>420</v>
      </c>
      <c r="B167" t="str">
        <f>literature_CO2_cond_transp!B276</f>
        <v>4 wt.% of CO2 is assumed to remain in container. The model includes the transport of the full container on one way and the transport of the empty container on the way back. Trucks are modelled as common state of the art, heavy-duty lorries. Source: Burger et al. Environmental imacts of carbon capture, transport, and storage supply chains: Status and the way forward, https://doi.org/10.1016/j.ijggc.2023.104039</v>
      </c>
    </row>
    <row r="169" spans="1:9" x14ac:dyDescent="0.25">
      <c r="A169" s="9" t="s">
        <v>421</v>
      </c>
      <c r="B169" s="9"/>
      <c r="C169" s="9"/>
      <c r="D169" s="9"/>
      <c r="E169" s="9"/>
      <c r="F169" s="9"/>
      <c r="G169" s="9"/>
      <c r="H169" s="9"/>
      <c r="I169" s="9"/>
    </row>
    <row r="170" spans="1:9" x14ac:dyDescent="0.25">
      <c r="A170" s="9" t="s">
        <v>422</v>
      </c>
      <c r="B170" s="9" t="s">
        <v>415</v>
      </c>
      <c r="C170" s="9" t="s">
        <v>423</v>
      </c>
      <c r="D170" s="9" t="s">
        <v>418</v>
      </c>
      <c r="E170" s="9" t="s">
        <v>416</v>
      </c>
      <c r="F170" s="9" t="s">
        <v>424</v>
      </c>
      <c r="G170" s="9" t="s">
        <v>425</v>
      </c>
      <c r="H170" s="9" t="s">
        <v>439</v>
      </c>
      <c r="I170" s="9" t="s">
        <v>420</v>
      </c>
    </row>
    <row r="171" spans="1:9" x14ac:dyDescent="0.25">
      <c r="A171" s="65" t="str">
        <f>B162</f>
        <v>CO2 transport, liquid, 15 bar, from waste incineration plant, Linth, Switzerland</v>
      </c>
      <c r="B171" s="65" t="str">
        <f>B164</f>
        <v>CO2 transported, liquid, 15 bar, from waste incineration plant, Linth, Switzerland</v>
      </c>
      <c r="C171" s="65">
        <f>B163</f>
        <v>1</v>
      </c>
      <c r="D171" s="65" t="str">
        <f>B166</f>
        <v>CH</v>
      </c>
      <c r="E171" s="65" t="str">
        <f>B165</f>
        <v>kilogram</v>
      </c>
      <c r="F171" s="65"/>
      <c r="G171" s="65" t="s">
        <v>427</v>
      </c>
      <c r="H171" s="65" t="str">
        <f>db_co2</f>
        <v>co2_kva</v>
      </c>
    </row>
    <row r="172" spans="1:9" x14ac:dyDescent="0.25">
      <c r="A172" s="50" t="str">
        <f>A152</f>
        <v>CO2 storage, temporary, 5 days, 15 bar, waste incineration plant, Linth, Switzerland</v>
      </c>
      <c r="B172" s="50" t="str">
        <f>B152</f>
        <v>CO2, stored, temporary, 5 days, 15 bar, waste incineration plant, Linth, Switzerland</v>
      </c>
      <c r="C172" s="50">
        <f>(literature_CO2_cond_transp!B281)/1000</f>
        <v>1.0416666666666698</v>
      </c>
      <c r="D172" s="50" t="str">
        <f>D152</f>
        <v>CH</v>
      </c>
      <c r="E172" s="50" t="str">
        <f>E152</f>
        <v>kilogram</v>
      </c>
      <c r="F172" s="50"/>
      <c r="G172" s="50" t="s">
        <v>429</v>
      </c>
      <c r="H172" s="50" t="str">
        <f>H152</f>
        <v>co2_kva</v>
      </c>
      <c r="I172" s="50"/>
    </row>
    <row r="173" spans="1:9" x14ac:dyDescent="0.25">
      <c r="A173" t="str">
        <f>literature_CO2_cond_transp!A282</f>
        <v>transport, freight, lorry &gt;32 metric ton, EURO6</v>
      </c>
      <c r="B173" t="str">
        <f>literature_CO2_cond_transp!C282</f>
        <v>transport, freight, lorry &gt;32 metric ton, EURO6</v>
      </c>
      <c r="C173">
        <f>((C171+C174)/1000)*distance_co2_transport+(literature_CO2_cond_transp!B285/1000+C174)/1000*distance_co2_transport</f>
        <v>0.12533119999999998</v>
      </c>
      <c r="D173" t="str">
        <f>literature_CO2_cond_transp!D282</f>
        <v>RER</v>
      </c>
      <c r="E173" t="str">
        <f>literature_CO2_cond_transp!E282</f>
        <v>ton kilometer</v>
      </c>
      <c r="G173" t="s">
        <v>429</v>
      </c>
      <c r="H173" t="str">
        <f>ecoinventv310</f>
        <v>ecoinvent-3.10.1-cutoff</v>
      </c>
      <c r="I173" t="s">
        <v>982</v>
      </c>
    </row>
    <row r="174" spans="1:9" x14ac:dyDescent="0.25">
      <c r="A174" t="str">
        <f>literature_CO2_cond_transp!A283</f>
        <v>market for steel, chromium steel 18/8</v>
      </c>
      <c r="B174" t="str">
        <f>literature_CO2_cond_transp!C283</f>
        <v>steel, chromium steel 18/8</v>
      </c>
      <c r="C174">
        <f>(literature_CO2_cond_transp!B283)/1000</f>
        <v>1.3799999999999999E-3</v>
      </c>
      <c r="D174" t="str">
        <f>literature_CO2_cond_transp!D283</f>
        <v>GLO</v>
      </c>
      <c r="E174" t="str">
        <f>literature_CO2_cond_transp!E283</f>
        <v>kilogram</v>
      </c>
      <c r="G174" t="s">
        <v>429</v>
      </c>
      <c r="H174" t="str">
        <f>ecoinventv310</f>
        <v>ecoinvent-3.10.1-cutoff</v>
      </c>
    </row>
    <row r="175" spans="1:9" x14ac:dyDescent="0.25">
      <c r="A175" t="str">
        <f>literature_CO2_cond_transp!A284</f>
        <v>market for metal working, average for chromium steel product manufacturing</v>
      </c>
      <c r="B175" t="str">
        <f>literature_CO2_cond_transp!C284</f>
        <v>metal working, average for chromium steel product manufacturing</v>
      </c>
      <c r="C175">
        <f>(literature_CO2_cond_transp!B284)/1000</f>
        <v>1.3799999999999999E-3</v>
      </c>
      <c r="D175" t="str">
        <f>literature_CO2_cond_transp!D284</f>
        <v>GLO</v>
      </c>
      <c r="E175" t="str">
        <f>literature_CO2_cond_transp!E284</f>
        <v>kilogram</v>
      </c>
      <c r="G175" t="s">
        <v>429</v>
      </c>
      <c r="H175" t="str">
        <f>ecoinventv310</f>
        <v>ecoinvent-3.10.1-cutoff</v>
      </c>
    </row>
    <row r="178" spans="1:9" x14ac:dyDescent="0.25">
      <c r="A178" s="335" t="s">
        <v>413</v>
      </c>
      <c r="B178" s="335" t="s">
        <v>1000</v>
      </c>
      <c r="C178" s="336"/>
      <c r="D178" s="336"/>
      <c r="E178" s="336"/>
      <c r="F178" s="336"/>
      <c r="G178" s="336"/>
      <c r="H178" s="336"/>
      <c r="I178" s="336"/>
    </row>
    <row r="179" spans="1:9" x14ac:dyDescent="0.25">
      <c r="A179" t="s">
        <v>414</v>
      </c>
      <c r="B179">
        <v>1</v>
      </c>
    </row>
    <row r="180" spans="1:9" x14ac:dyDescent="0.25">
      <c r="A180" t="s">
        <v>415</v>
      </c>
      <c r="B180" t="s">
        <v>1001</v>
      </c>
    </row>
    <row r="181" spans="1:9" x14ac:dyDescent="0.25">
      <c r="A181" t="s">
        <v>416</v>
      </c>
      <c r="B181" t="s">
        <v>417</v>
      </c>
    </row>
    <row r="182" spans="1:9" x14ac:dyDescent="0.25">
      <c r="A182" t="s">
        <v>418</v>
      </c>
      <c r="B182" t="s">
        <v>432</v>
      </c>
    </row>
    <row r="183" spans="1:9" x14ac:dyDescent="0.25">
      <c r="A183" t="s">
        <v>420</v>
      </c>
      <c r="B183" t="s">
        <v>1002</v>
      </c>
    </row>
    <row r="185" spans="1:9" x14ac:dyDescent="0.25">
      <c r="A185" s="9" t="s">
        <v>421</v>
      </c>
      <c r="B185" s="9"/>
      <c r="C185" s="9"/>
      <c r="D185" s="9"/>
      <c r="E185" s="9"/>
      <c r="F185" s="9"/>
      <c r="G185" s="9"/>
      <c r="H185" s="9"/>
      <c r="I185" s="9"/>
    </row>
    <row r="186" spans="1:9" x14ac:dyDescent="0.25">
      <c r="A186" s="9" t="s">
        <v>422</v>
      </c>
      <c r="B186" s="9" t="s">
        <v>415</v>
      </c>
      <c r="C186" s="9" t="s">
        <v>423</v>
      </c>
      <c r="D186" s="9" t="s">
        <v>418</v>
      </c>
      <c r="E186" s="9" t="s">
        <v>416</v>
      </c>
      <c r="F186" s="9" t="s">
        <v>424</v>
      </c>
      <c r="G186" s="9" t="s">
        <v>425</v>
      </c>
      <c r="H186" s="9" t="s">
        <v>439</v>
      </c>
      <c r="I186" s="9" t="s">
        <v>420</v>
      </c>
    </row>
    <row r="187" spans="1:9" x14ac:dyDescent="0.25">
      <c r="A187" s="65" t="str">
        <f>B178</f>
        <v>CO2 production, supercritical, 90 bar, for pumping into geothermal well</v>
      </c>
      <c r="B187" s="65" t="str">
        <f>B180</f>
        <v>CO2, supercritical, 90 bar, for pumping into geothermal well</v>
      </c>
      <c r="C187" s="65">
        <v>1</v>
      </c>
      <c r="D187" s="65" t="s">
        <v>432</v>
      </c>
      <c r="E187" s="65" t="str">
        <f>B181</f>
        <v>kilogram</v>
      </c>
      <c r="F187" s="65"/>
      <c r="G187" s="65" t="s">
        <v>427</v>
      </c>
      <c r="H187" s="65" t="str">
        <f>db_co2</f>
        <v>co2_kva</v>
      </c>
    </row>
    <row r="188" spans="1:9" x14ac:dyDescent="0.25">
      <c r="A188" s="50" t="str">
        <f>A171</f>
        <v>CO2 transport, liquid, 15 bar, from waste incineration plant, Linth, Switzerland</v>
      </c>
      <c r="B188" s="50" t="str">
        <f>B171</f>
        <v>CO2 transported, liquid, 15 bar, from waste incineration plant, Linth, Switzerland</v>
      </c>
      <c r="C188" s="50">
        <f>C171</f>
        <v>1</v>
      </c>
      <c r="D188" s="50" t="str">
        <f>D171</f>
        <v>CH</v>
      </c>
      <c r="E188" s="50" t="str">
        <f>E171</f>
        <v>kilogram</v>
      </c>
      <c r="F188" s="50"/>
      <c r="G188" s="50" t="s">
        <v>429</v>
      </c>
      <c r="H188" s="50" t="str">
        <f>H171</f>
        <v>co2_kva</v>
      </c>
      <c r="I188" s="50" t="s">
        <v>989</v>
      </c>
    </row>
    <row r="189" spans="1:9" x14ac:dyDescent="0.25">
      <c r="A189" s="50" t="s">
        <v>506</v>
      </c>
      <c r="B189" s="50" t="s">
        <v>505</v>
      </c>
      <c r="C189" s="50">
        <v>0.1</v>
      </c>
      <c r="D189" s="50" t="s">
        <v>432</v>
      </c>
      <c r="E189" s="50" t="s">
        <v>433</v>
      </c>
      <c r="F189" s="50"/>
      <c r="G189" s="50" t="s">
        <v>429</v>
      </c>
      <c r="H189" s="50" t="str">
        <f>ecoinventv310</f>
        <v>ecoinvent-3.10.1-cutoff</v>
      </c>
      <c r="I189" s="50" t="s">
        <v>988</v>
      </c>
    </row>
    <row r="192" spans="1:9" x14ac:dyDescent="0.25">
      <c r="A192" s="335" t="s">
        <v>413</v>
      </c>
      <c r="B192" s="335" t="s">
        <v>1003</v>
      </c>
      <c r="C192" s="336"/>
      <c r="D192" s="336"/>
      <c r="E192" s="336"/>
      <c r="F192" s="336"/>
      <c r="G192" s="336"/>
      <c r="H192" s="336"/>
      <c r="I192" s="336"/>
    </row>
    <row r="193" spans="1:10" x14ac:dyDescent="0.25">
      <c r="A193" t="s">
        <v>414</v>
      </c>
      <c r="B193">
        <v>1</v>
      </c>
    </row>
    <row r="194" spans="1:10" x14ac:dyDescent="0.25">
      <c r="A194" t="s">
        <v>415</v>
      </c>
      <c r="B194" t="s">
        <v>1004</v>
      </c>
    </row>
    <row r="195" spans="1:10" x14ac:dyDescent="0.25">
      <c r="A195" t="s">
        <v>416</v>
      </c>
      <c r="B195" t="s">
        <v>417</v>
      </c>
    </row>
    <row r="196" spans="1:10" x14ac:dyDescent="0.25">
      <c r="A196" t="s">
        <v>418</v>
      </c>
      <c r="B196" t="s">
        <v>432</v>
      </c>
    </row>
    <row r="197" spans="1:10" x14ac:dyDescent="0.25">
      <c r="A197" t="s">
        <v>420</v>
      </c>
      <c r="B197" t="s">
        <v>990</v>
      </c>
    </row>
    <row r="199" spans="1:10" x14ac:dyDescent="0.25">
      <c r="A199" s="9" t="s">
        <v>421</v>
      </c>
      <c r="B199" s="9"/>
      <c r="C199" s="9"/>
      <c r="D199" s="9"/>
      <c r="E199" s="9"/>
      <c r="F199" s="9"/>
      <c r="G199" s="9"/>
      <c r="H199" s="9"/>
      <c r="I199" s="9"/>
    </row>
    <row r="200" spans="1:10" x14ac:dyDescent="0.25">
      <c r="A200" s="9" t="s">
        <v>422</v>
      </c>
      <c r="B200" s="9" t="s">
        <v>415</v>
      </c>
      <c r="C200" s="9" t="s">
        <v>423</v>
      </c>
      <c r="D200" s="9" t="s">
        <v>418</v>
      </c>
      <c r="E200" s="9" t="s">
        <v>416</v>
      </c>
      <c r="F200" s="9" t="s">
        <v>424</v>
      </c>
      <c r="G200" s="9" t="s">
        <v>425</v>
      </c>
      <c r="H200" s="9" t="s">
        <v>439</v>
      </c>
      <c r="I200" s="9" t="s">
        <v>420</v>
      </c>
    </row>
    <row r="201" spans="1:10" x14ac:dyDescent="0.25">
      <c r="A201" s="65" t="str">
        <f>B192</f>
        <v>CO2 pumping, supercritical, into geothermal well, per meter</v>
      </c>
      <c r="B201" s="65" t="str">
        <f>B194</f>
        <v>CO2, supercritical, pumped into geothermal well, per meter</v>
      </c>
      <c r="C201" s="65">
        <v>1</v>
      </c>
      <c r="D201" s="65" t="s">
        <v>432</v>
      </c>
      <c r="E201" s="65" t="str">
        <f>B195</f>
        <v>kilogram</v>
      </c>
      <c r="F201" s="65"/>
      <c r="G201" s="65" t="s">
        <v>427</v>
      </c>
      <c r="H201" s="65" t="str">
        <f>db_co2</f>
        <v>co2_kva</v>
      </c>
    </row>
    <row r="202" spans="1:10" x14ac:dyDescent="0.25">
      <c r="A202" s="50" t="str">
        <f>A187</f>
        <v>CO2 production, supercritical, 90 bar, for pumping into geothermal well</v>
      </c>
      <c r="B202" s="50" t="str">
        <f>B187</f>
        <v>CO2, supercritical, 90 bar, for pumping into geothermal well</v>
      </c>
      <c r="C202" s="50">
        <f>C187</f>
        <v>1</v>
      </c>
      <c r="D202" s="50" t="str">
        <f>D187</f>
        <v>CH</v>
      </c>
      <c r="E202" s="50" t="str">
        <f>E187</f>
        <v>kilogram</v>
      </c>
      <c r="F202" s="50"/>
      <c r="G202" s="50" t="s">
        <v>429</v>
      </c>
      <c r="H202" s="50" t="str">
        <f>H187</f>
        <v>co2_kva</v>
      </c>
      <c r="I202" s="50" t="s">
        <v>989</v>
      </c>
    </row>
    <row r="203" spans="1:10" x14ac:dyDescent="0.25">
      <c r="A203" s="50" t="s">
        <v>506</v>
      </c>
      <c r="B203" s="50" t="s">
        <v>505</v>
      </c>
      <c r="C203" s="50">
        <v>0.1</v>
      </c>
      <c r="D203" s="50" t="s">
        <v>432</v>
      </c>
      <c r="E203" s="50" t="s">
        <v>433</v>
      </c>
      <c r="F203" s="50"/>
      <c r="G203" s="50" t="s">
        <v>429</v>
      </c>
      <c r="H203" s="50" t="str">
        <f>ecoinventv310</f>
        <v>ecoinvent-3.10.1-cutoff</v>
      </c>
      <c r="I203" s="50" t="s">
        <v>991</v>
      </c>
    </row>
    <row r="204" spans="1:10" x14ac:dyDescent="0.25">
      <c r="A204" s="350"/>
      <c r="B204" s="350"/>
      <c r="C204" s="350"/>
      <c r="D204" s="350"/>
      <c r="E204" s="350"/>
      <c r="F204" s="350"/>
      <c r="G204" s="350"/>
      <c r="H204" s="350"/>
      <c r="I204" s="350"/>
    </row>
    <row r="205" spans="1:10" x14ac:dyDescent="0.25">
      <c r="A205" s="350"/>
      <c r="B205" s="350"/>
      <c r="C205" s="350"/>
      <c r="D205" s="350"/>
      <c r="E205" s="350"/>
      <c r="F205" s="350"/>
      <c r="G205" s="350"/>
      <c r="H205" s="350"/>
      <c r="I205" s="350"/>
    </row>
    <row r="206" spans="1:10" x14ac:dyDescent="0.25">
      <c r="A206" s="357" t="s">
        <v>413</v>
      </c>
      <c r="B206" s="357" t="s">
        <v>1138</v>
      </c>
      <c r="C206" s="309"/>
      <c r="D206" s="309"/>
      <c r="E206" s="309"/>
      <c r="F206" s="309"/>
      <c r="G206" s="309"/>
      <c r="H206" s="309"/>
      <c r="I206" s="309"/>
      <c r="J206" s="309"/>
    </row>
    <row r="207" spans="1:10" x14ac:dyDescent="0.25">
      <c r="A207" t="s">
        <v>414</v>
      </c>
      <c r="B207">
        <f>literature_CO2_cond_transp!C173</f>
        <v>1</v>
      </c>
    </row>
    <row r="208" spans="1:10" x14ac:dyDescent="0.25">
      <c r="A208" t="s">
        <v>415</v>
      </c>
      <c r="B208" t="s">
        <v>1138</v>
      </c>
    </row>
    <row r="209" spans="1:9" x14ac:dyDescent="0.25">
      <c r="A209" t="s">
        <v>416</v>
      </c>
      <c r="B209" t="s">
        <v>417</v>
      </c>
    </row>
    <row r="210" spans="1:9" x14ac:dyDescent="0.25">
      <c r="A210" t="s">
        <v>418</v>
      </c>
      <c r="B210" t="str">
        <f>literature_CO2_cond_transp!C176</f>
        <v>CH</v>
      </c>
    </row>
    <row r="211" spans="1:9" x14ac:dyDescent="0.25">
      <c r="A211" t="s">
        <v>420</v>
      </c>
      <c r="B211" t="str">
        <f>literature_CO2_cond_transp!C177</f>
        <v>This capture unit uses a power-and-heat co-generation unit powered by natural gas to supply heat. Source: Burger et al. Environmental imacts of carbon capture, transport, and storage supply chains: Status and the way forward, https://doi.org/10.1016/j.ijggc.2023.104039</v>
      </c>
    </row>
    <row r="213" spans="1:9" x14ac:dyDescent="0.25">
      <c r="A213" s="9" t="s">
        <v>421</v>
      </c>
      <c r="B213" s="9"/>
      <c r="C213" s="9"/>
      <c r="D213" s="9"/>
      <c r="E213" s="9"/>
      <c r="F213" s="9"/>
      <c r="G213" s="9"/>
      <c r="H213" s="9"/>
      <c r="I213" s="9"/>
    </row>
    <row r="214" spans="1:9" x14ac:dyDescent="0.25">
      <c r="A214" s="9" t="s">
        <v>422</v>
      </c>
      <c r="B214" s="9" t="s">
        <v>415</v>
      </c>
      <c r="C214" s="9" t="s">
        <v>423</v>
      </c>
      <c r="D214" s="9" t="s">
        <v>418</v>
      </c>
      <c r="E214" s="9" t="s">
        <v>416</v>
      </c>
      <c r="F214" s="9" t="s">
        <v>424</v>
      </c>
      <c r="G214" s="9" t="s">
        <v>425</v>
      </c>
      <c r="H214" s="9" t="s">
        <v>439</v>
      </c>
      <c r="I214" s="9" t="s">
        <v>420</v>
      </c>
    </row>
    <row r="215" spans="1:9" x14ac:dyDescent="0.25">
      <c r="A215" s="65" t="str">
        <f>B206</f>
        <v>CO2 captured at capture unit, waste incineration plant, Linth, Switzerland, without CO2 input</v>
      </c>
      <c r="B215" s="65" t="str">
        <f>B208</f>
        <v>CO2 captured at capture unit, waste incineration plant, Linth, Switzerland, without CO2 input</v>
      </c>
      <c r="C215" s="65">
        <f>B86</f>
        <v>1</v>
      </c>
      <c r="D215" s="65" t="str">
        <f>B89</f>
        <v>CH</v>
      </c>
      <c r="E215" s="65" t="str">
        <f>B88</f>
        <v>kilogram</v>
      </c>
      <c r="F215" s="65"/>
      <c r="G215" s="65" t="s">
        <v>427</v>
      </c>
      <c r="H215" s="65" t="str">
        <f>db_co2</f>
        <v>co2_kva</v>
      </c>
    </row>
    <row r="216" spans="1:9" x14ac:dyDescent="0.25">
      <c r="A216" t="str">
        <f>A13</f>
        <v>2-amino-2-methyl-1-propanol (AMP) production</v>
      </c>
      <c r="B216" t="str">
        <f>B13</f>
        <v>2-amino-2-methyl-1-propanol (AMP)</v>
      </c>
      <c r="C216">
        <f>(literature_CO2_cond_transp!C181)/1000</f>
        <v>1.4999999999999999E-5</v>
      </c>
      <c r="D216" t="str">
        <f>D13</f>
        <v>RER</v>
      </c>
      <c r="E216" t="str">
        <f>E13</f>
        <v>kilogram</v>
      </c>
      <c r="G216" t="s">
        <v>429</v>
      </c>
      <c r="H216" t="str">
        <f>H13</f>
        <v>co2_kva</v>
      </c>
    </row>
    <row r="217" spans="1:9" x14ac:dyDescent="0.25">
      <c r="A217" t="s">
        <v>914</v>
      </c>
      <c r="B217" t="s">
        <v>486</v>
      </c>
      <c r="C217">
        <f>(literature_CO2_cond_transp!C182)/1000</f>
        <v>2.51E-5</v>
      </c>
      <c r="D217" t="str">
        <f>literature_CO2_cond_transp!E182</f>
        <v>CH</v>
      </c>
      <c r="E217" t="str">
        <f>literature_CO2_cond_transp!F182</f>
        <v>kilogram</v>
      </c>
      <c r="G217" t="s">
        <v>429</v>
      </c>
      <c r="H217" t="str">
        <f t="shared" ref="H217:H225" si="4">ecoinventv310</f>
        <v>ecoinvent-3.10.1-cutoff</v>
      </c>
    </row>
    <row r="218" spans="1:9" x14ac:dyDescent="0.25">
      <c r="A218" t="s">
        <v>963</v>
      </c>
      <c r="B218" t="s">
        <v>959</v>
      </c>
      <c r="C218">
        <f>piperazine_kva*literature_CO2_cond_transp!$J$346</f>
        <v>2.735E-3</v>
      </c>
      <c r="D218" t="s">
        <v>419</v>
      </c>
      <c r="E218" t="s">
        <v>417</v>
      </c>
      <c r="F218" s="9"/>
      <c r="G218" t="s">
        <v>429</v>
      </c>
      <c r="H218" t="str">
        <f t="shared" si="4"/>
        <v>ecoinvent-3.10.1-cutoff</v>
      </c>
      <c r="I218" s="65" t="s">
        <v>965</v>
      </c>
    </row>
    <row r="219" spans="1:9" x14ac:dyDescent="0.25">
      <c r="A219" t="s">
        <v>964</v>
      </c>
      <c r="B219" t="s">
        <v>957</v>
      </c>
      <c r="C219">
        <f>piperazine_kva*literature_CO2_cond_transp!$J$345</f>
        <v>2.735E-3</v>
      </c>
      <c r="D219" t="s">
        <v>419</v>
      </c>
      <c r="E219" t="s">
        <v>417</v>
      </c>
      <c r="F219" s="9"/>
      <c r="G219" t="s">
        <v>429</v>
      </c>
      <c r="H219" t="str">
        <f t="shared" si="4"/>
        <v>ecoinvent-3.10.1-cutoff</v>
      </c>
      <c r="I219" s="65" t="s">
        <v>965</v>
      </c>
    </row>
    <row r="220" spans="1:9" x14ac:dyDescent="0.25">
      <c r="A220" t="str">
        <f>literature_CO2_cond_transp!B184</f>
        <v>market for concrete, normal strength</v>
      </c>
      <c r="B220" t="str">
        <f>literature_CO2_cond_transp!D184</f>
        <v>concrete, normal strength</v>
      </c>
      <c r="C220">
        <f>(literature_CO2_cond_transp!C184)/1000</f>
        <v>2.7800000000000001E-8</v>
      </c>
      <c r="D220" t="str">
        <f>literature_CO2_cond_transp!E184</f>
        <v>CH</v>
      </c>
      <c r="E220" t="str">
        <f>literature_CO2_cond_transp!F184</f>
        <v>cubic meter</v>
      </c>
      <c r="G220" t="s">
        <v>429</v>
      </c>
      <c r="H220" t="str">
        <f t="shared" si="4"/>
        <v>ecoinvent-3.10.1-cutoff</v>
      </c>
    </row>
    <row r="221" spans="1:9" x14ac:dyDescent="0.25">
      <c r="A221" t="s">
        <v>460</v>
      </c>
      <c r="B221" t="s">
        <v>461</v>
      </c>
      <c r="C221">
        <f>(literature_CO2_cond_transp!C185)/1000</f>
        <v>1.1899999999999999E-4</v>
      </c>
      <c r="D221" t="str">
        <f>literature_CO2_cond_transp!E185</f>
        <v>GLO</v>
      </c>
      <c r="E221" t="str">
        <f>literature_CO2_cond_transp!F185</f>
        <v>kilogram</v>
      </c>
      <c r="G221" t="s">
        <v>429</v>
      </c>
      <c r="H221" t="str">
        <f t="shared" si="4"/>
        <v>ecoinvent-3.10.1-cutoff</v>
      </c>
    </row>
    <row r="222" spans="1:9" x14ac:dyDescent="0.25">
      <c r="A222" t="str">
        <f>literature_CO2_cond_transp!B186</f>
        <v>metal working, average for chromium steel product manufacturing</v>
      </c>
      <c r="B222" t="str">
        <f>literature_CO2_cond_transp!D186</f>
        <v>metal working, average for chromium steel product manufacturing</v>
      </c>
      <c r="C222">
        <f>(literature_CO2_cond_transp!C186)/1000</f>
        <v>1.1899999999999999E-4</v>
      </c>
      <c r="D222" t="str">
        <f>literature_CO2_cond_transp!E186</f>
        <v>RER</v>
      </c>
      <c r="E222" t="str">
        <f>literature_CO2_cond_transp!F186</f>
        <v>kilogram</v>
      </c>
      <c r="G222" t="s">
        <v>429</v>
      </c>
      <c r="H222" t="str">
        <f t="shared" si="4"/>
        <v>ecoinvent-3.10.1-cutoff</v>
      </c>
    </row>
    <row r="223" spans="1:9" x14ac:dyDescent="0.25">
      <c r="A223" t="str">
        <f>literature_CO2_cond_transp!B188</f>
        <v>market for scrap steel</v>
      </c>
      <c r="B223" t="str">
        <f>literature_CO2_cond_transp!D188</f>
        <v>scrap steel</v>
      </c>
      <c r="C223">
        <f>(literature_CO2_cond_transp!C188)/1000</f>
        <v>-1.1899999999999999E-4</v>
      </c>
      <c r="D223" t="str">
        <f>literature_CO2_cond_transp!E188</f>
        <v>CH</v>
      </c>
      <c r="E223" t="str">
        <f>literature_CO2_cond_transp!F188</f>
        <v>kilogram</v>
      </c>
      <c r="G223" t="s">
        <v>429</v>
      </c>
      <c r="H223" t="str">
        <f t="shared" si="4"/>
        <v>ecoinvent-3.10.1-cutoff</v>
      </c>
    </row>
    <row r="224" spans="1:9" x14ac:dyDescent="0.25">
      <c r="A224" t="str">
        <f>literature_CO2_cond_transp!B189</f>
        <v>market for spent solvent mixture</v>
      </c>
      <c r="B224" t="str">
        <f>literature_CO2_cond_transp!D189</f>
        <v>spent solvent mixture</v>
      </c>
      <c r="C224">
        <f>(literature_CO2_cond_transp!C189)/1000</f>
        <v>-4.5600000000000004E-5</v>
      </c>
      <c r="D224" t="str">
        <f>literature_CO2_cond_transp!E189</f>
        <v>CH</v>
      </c>
      <c r="E224" t="str">
        <f>literature_CO2_cond_transp!F189</f>
        <v>kilogram</v>
      </c>
      <c r="G224" t="s">
        <v>429</v>
      </c>
      <c r="H224" t="str">
        <f t="shared" si="4"/>
        <v>ecoinvent-3.10.1-cutoff</v>
      </c>
    </row>
    <row r="225" spans="1:9" x14ac:dyDescent="0.25">
      <c r="A225" t="str">
        <f>literature_CO2_cond_transp!B190</f>
        <v>market for waste concrete</v>
      </c>
      <c r="B225" t="str">
        <f>literature_CO2_cond_transp!D190</f>
        <v>waste concrete</v>
      </c>
      <c r="C225">
        <f>(literature_CO2_cond_transp!C190)/1000</f>
        <v>-6.6699999999999995E-5</v>
      </c>
      <c r="D225" t="str">
        <f>literature_CO2_cond_transp!E190</f>
        <v>CH</v>
      </c>
      <c r="E225" t="str">
        <f>literature_CO2_cond_transp!F190</f>
        <v>kilogram</v>
      </c>
      <c r="G225" t="s">
        <v>429</v>
      </c>
      <c r="H225" t="str">
        <f t="shared" si="4"/>
        <v>ecoinvent-3.10.1-cutoff</v>
      </c>
    </row>
    <row r="226" spans="1:9" x14ac:dyDescent="0.25">
      <c r="A226" t="s">
        <v>539</v>
      </c>
      <c r="C226">
        <f>(literature_CO2_cond_transp!C191)/1000</f>
        <v>1.0200000000000001E-5</v>
      </c>
      <c r="E226" t="s">
        <v>1076</v>
      </c>
      <c r="F226" t="s">
        <v>1077</v>
      </c>
      <c r="G226" t="s">
        <v>435</v>
      </c>
      <c r="H226" t="str">
        <f>biospherev310</f>
        <v>ecoinvent-3.10.1-biosphere</v>
      </c>
    </row>
    <row r="227" spans="1:9" x14ac:dyDescent="0.25">
      <c r="A227" t="str">
        <f>literature_CO2_cond_transp!B192</f>
        <v>Transformation, to industrial area</v>
      </c>
      <c r="C227">
        <f>(literature_CO2_cond_transp!C192)/1000</f>
        <v>5.0999999999999999E-7</v>
      </c>
      <c r="E227" t="str">
        <f>literature_CO2_cond_transp!F192</f>
        <v>square meter</v>
      </c>
      <c r="F227" t="s">
        <v>1077</v>
      </c>
      <c r="G227" t="s">
        <v>435</v>
      </c>
      <c r="H227" t="str">
        <f>biospherev310</f>
        <v>ecoinvent-3.10.1-biosphere</v>
      </c>
    </row>
    <row r="228" spans="1:9" x14ac:dyDescent="0.25">
      <c r="A228" s="63" t="s">
        <v>1078</v>
      </c>
      <c r="B228" s="63"/>
      <c r="C228">
        <f>C107</f>
        <v>5.0999999999999999E-7</v>
      </c>
      <c r="E228" s="63" t="s">
        <v>437</v>
      </c>
      <c r="F228" t="s">
        <v>1077</v>
      </c>
      <c r="G228" t="s">
        <v>435</v>
      </c>
      <c r="H228" t="str">
        <f>biospherev310</f>
        <v>ecoinvent-3.10.1-biosphere</v>
      </c>
    </row>
    <row r="229" spans="1:9" x14ac:dyDescent="0.25">
      <c r="A229" t="s">
        <v>577</v>
      </c>
      <c r="C229">
        <f>(literature_CO2_cond_transp!C193)/1000</f>
        <v>0.11111</v>
      </c>
      <c r="E229" t="str">
        <f>literature_CO2_cond_transp!F193</f>
        <v>kilogram</v>
      </c>
      <c r="F229" t="str">
        <f>literature_CO2_cond_transp!G193</f>
        <v>air</v>
      </c>
      <c r="G229" t="s">
        <v>435</v>
      </c>
      <c r="H229" t="str">
        <f>biospherev310</f>
        <v>ecoinvent-3.10.1-biosphere</v>
      </c>
    </row>
    <row r="232" spans="1:9" x14ac:dyDescent="0.25">
      <c r="A232" s="357" t="s">
        <v>413</v>
      </c>
      <c r="B232" s="357" t="s">
        <v>1139</v>
      </c>
      <c r="C232" s="309"/>
      <c r="D232" s="309"/>
      <c r="E232" s="309"/>
      <c r="F232" s="309"/>
      <c r="G232" s="309"/>
      <c r="H232" s="309"/>
      <c r="I232" s="309"/>
    </row>
    <row r="233" spans="1:9" x14ac:dyDescent="0.25">
      <c r="A233" t="s">
        <v>414</v>
      </c>
      <c r="B233">
        <v>1</v>
      </c>
    </row>
    <row r="234" spans="1:9" x14ac:dyDescent="0.25">
      <c r="A234" t="s">
        <v>415</v>
      </c>
      <c r="B234" t="s">
        <v>1140</v>
      </c>
    </row>
    <row r="235" spans="1:9" x14ac:dyDescent="0.25">
      <c r="A235" t="s">
        <v>416</v>
      </c>
      <c r="B235" t="s">
        <v>417</v>
      </c>
    </row>
    <row r="236" spans="1:9" x14ac:dyDescent="0.25">
      <c r="A236" t="s">
        <v>418</v>
      </c>
      <c r="B236" t="s">
        <v>432</v>
      </c>
    </row>
    <row r="237" spans="1:9" x14ac:dyDescent="0.25">
      <c r="A237" t="s">
        <v>420</v>
      </c>
      <c r="B237" t="s">
        <v>986</v>
      </c>
    </row>
    <row r="239" spans="1:9" x14ac:dyDescent="0.25">
      <c r="A239" s="9" t="s">
        <v>421</v>
      </c>
      <c r="B239" s="9"/>
      <c r="C239" s="9"/>
      <c r="D239" s="9"/>
      <c r="E239" s="9"/>
      <c r="F239" s="9"/>
      <c r="G239" s="9"/>
      <c r="H239" s="9"/>
      <c r="I239" s="9"/>
    </row>
    <row r="240" spans="1:9" x14ac:dyDescent="0.25">
      <c r="A240" s="9" t="s">
        <v>422</v>
      </c>
      <c r="B240" s="9" t="s">
        <v>415</v>
      </c>
      <c r="C240" s="9" t="s">
        <v>423</v>
      </c>
      <c r="D240" s="9" t="s">
        <v>418</v>
      </c>
      <c r="E240" s="9" t="s">
        <v>416</v>
      </c>
      <c r="F240" s="9" t="s">
        <v>424</v>
      </c>
      <c r="G240" s="9" t="s">
        <v>425</v>
      </c>
      <c r="H240" s="9" t="s">
        <v>439</v>
      </c>
      <c r="I240" s="9" t="s">
        <v>420</v>
      </c>
    </row>
    <row r="241" spans="1:8" x14ac:dyDescent="0.25">
      <c r="A241" s="65" t="str">
        <f>B232</f>
        <v>CO2 conditioning, at 15 bar, waste incineration plant, Linth, Switzerland, without CO2 input and electricity</v>
      </c>
      <c r="B241" s="65" t="str">
        <f>B234</f>
        <v>CO2, conditioned, at 15 bar, waste incineration plant, Linth, Switzerland, without CO2 input and electricity</v>
      </c>
      <c r="C241" s="65">
        <f>B113</f>
        <v>1</v>
      </c>
      <c r="D241" s="65" t="str">
        <f>B116</f>
        <v>CH</v>
      </c>
      <c r="E241" s="65" t="str">
        <f>B115</f>
        <v>kilogram</v>
      </c>
      <c r="F241" s="65"/>
      <c r="G241" s="65" t="s">
        <v>427</v>
      </c>
      <c r="H241" s="65" t="str">
        <f>db_co2</f>
        <v>co2_kva</v>
      </c>
    </row>
    <row r="242" spans="1:8" x14ac:dyDescent="0.25">
      <c r="A242" t="str">
        <f>literature_CO2_cond_transp!C89</f>
        <v>air compressor production, screw-type compressor, 300kW</v>
      </c>
      <c r="B242" t="str">
        <f>literature_CO2_cond_transp!B89</f>
        <v>air compressor, screw-type compressor, 300kW</v>
      </c>
      <c r="C242" s="70">
        <f>(literature_CO2_cond_transp!D89)/1000</f>
        <v>1.08E-9</v>
      </c>
      <c r="D242" t="str">
        <f>literature_CO2_cond_transp!F89</f>
        <v>RER</v>
      </c>
      <c r="E242" t="str">
        <f>literature_CO2_cond_transp!E89</f>
        <v>unit</v>
      </c>
      <c r="G242" t="s">
        <v>429</v>
      </c>
      <c r="H242" t="str">
        <f t="shared" ref="H242:H253" si="5">ecoinventv310</f>
        <v>ecoinvent-3.10.1-cutoff</v>
      </c>
    </row>
    <row r="243" spans="1:8" x14ac:dyDescent="0.25">
      <c r="A243" t="s">
        <v>985</v>
      </c>
      <c r="B243" t="s">
        <v>564</v>
      </c>
      <c r="C243" s="70">
        <f>(literature_CO2_cond_transp!D90)/1000</f>
        <v>3.0800000000000004E-8</v>
      </c>
      <c r="D243" t="str">
        <f>literature_CO2_cond_transp!F90</f>
        <v>GLO</v>
      </c>
      <c r="E243" t="str">
        <f>literature_CO2_cond_transp!E90</f>
        <v>unit</v>
      </c>
      <c r="G243" t="s">
        <v>429</v>
      </c>
      <c r="H243" t="str">
        <f t="shared" si="5"/>
        <v>ecoinvent-3.10.1-cutoff</v>
      </c>
    </row>
    <row r="244" spans="1:8" x14ac:dyDescent="0.25">
      <c r="A244" t="str">
        <f>literature_CO2_cond_transp!C91</f>
        <v>market for zeolite, powder</v>
      </c>
      <c r="B244" t="str">
        <f>literature_CO2_cond_transp!B91</f>
        <v>zeolite, powder</v>
      </c>
      <c r="C244" s="70">
        <f>(literature_CO2_cond_transp!D91)/1000</f>
        <v>1.4700000000000001E-7</v>
      </c>
      <c r="D244" t="str">
        <f>literature_CO2_cond_transp!F91</f>
        <v>GLO</v>
      </c>
      <c r="E244" t="str">
        <f>literature_CO2_cond_transp!E91</f>
        <v>kilogram</v>
      </c>
      <c r="G244" t="s">
        <v>429</v>
      </c>
      <c r="H244" t="str">
        <f t="shared" si="5"/>
        <v>ecoinvent-3.10.1-cutoff</v>
      </c>
    </row>
    <row r="245" spans="1:8" x14ac:dyDescent="0.25">
      <c r="A245" t="str">
        <f>literature_CO2_cond_transp!C92</f>
        <v>market for concrete, normal strength</v>
      </c>
      <c r="B245" t="str">
        <f>literature_CO2_cond_transp!B92</f>
        <v>concrete, normal strength</v>
      </c>
      <c r="C245" s="70">
        <f>(literature_CO2_cond_transp!D92)/1000</f>
        <v>1.2E-8</v>
      </c>
      <c r="D245" t="str">
        <f>literature_CO2_cond_transp!F92</f>
        <v>CH</v>
      </c>
      <c r="E245" t="str">
        <f>literature_CO2_cond_transp!E92</f>
        <v>cubic meter</v>
      </c>
      <c r="G245" t="s">
        <v>429</v>
      </c>
      <c r="H245" t="str">
        <f t="shared" si="5"/>
        <v>ecoinvent-3.10.1-cutoff</v>
      </c>
    </row>
    <row r="246" spans="1:8" x14ac:dyDescent="0.25">
      <c r="A246" t="str">
        <f>literature_CO2_cond_transp!C93</f>
        <v>market for steel, chromium steel 18/8</v>
      </c>
      <c r="B246" t="str">
        <f>literature_CO2_cond_transp!B93</f>
        <v>steel, chromium steel 18/8</v>
      </c>
      <c r="C246" s="70">
        <f>(literature_CO2_cond_transp!D93)/1000</f>
        <v>3.7299999999999999E-5</v>
      </c>
      <c r="D246" t="str">
        <f>literature_CO2_cond_transp!F93</f>
        <v>GLO</v>
      </c>
      <c r="E246" t="str">
        <f>literature_CO2_cond_transp!E93</f>
        <v>kilogram</v>
      </c>
      <c r="G246" t="s">
        <v>429</v>
      </c>
      <c r="H246" t="str">
        <f t="shared" si="5"/>
        <v>ecoinvent-3.10.1-cutoff</v>
      </c>
    </row>
    <row r="247" spans="1:8" x14ac:dyDescent="0.25">
      <c r="A247" t="str">
        <f>literature_CO2_cond_transp!C94</f>
        <v>market for ammonia, anhydrous, liquid</v>
      </c>
      <c r="B247" t="str">
        <f>literature_CO2_cond_transp!B94</f>
        <v>ammonia, anhydrous, liquid</v>
      </c>
      <c r="C247" s="70">
        <f>(literature_CO2_cond_transp!D94)/1000</f>
        <v>9.9799999999999994E-8</v>
      </c>
      <c r="D247" t="str">
        <f>literature_CO2_cond_transp!F94</f>
        <v>RER</v>
      </c>
      <c r="E247" t="str">
        <f>literature_CO2_cond_transp!E94</f>
        <v>kilogram</v>
      </c>
      <c r="G247" t="s">
        <v>429</v>
      </c>
      <c r="H247" t="str">
        <f t="shared" si="5"/>
        <v>ecoinvent-3.10.1-cutoff</v>
      </c>
    </row>
    <row r="248" spans="1:8" x14ac:dyDescent="0.25">
      <c r="A248" t="str">
        <f>literature_CO2_cond_transp!C96</f>
        <v>water cooling</v>
      </c>
      <c r="B248" t="str">
        <f>literature_CO2_cond_transp!B96</f>
        <v>Cooling (with water)</v>
      </c>
      <c r="C248">
        <f>(literature_CO2_cond_transp!D96)/1000</f>
        <v>0.7641</v>
      </c>
      <c r="D248" t="str">
        <f>literature_CO2_cond_transp!F96</f>
        <v>CH</v>
      </c>
      <c r="E248" t="str">
        <f>literature_CO2_cond_transp!E96</f>
        <v>megajoule</v>
      </c>
      <c r="G248" t="s">
        <v>429</v>
      </c>
      <c r="H248" t="str">
        <f t="shared" si="5"/>
        <v>ecoinvent-3.10.1-cutoff</v>
      </c>
    </row>
    <row r="249" spans="1:8" x14ac:dyDescent="0.25">
      <c r="A249" t="str">
        <f>literature_CO2_cond_transp!C97</f>
        <v>treatment of waste concrete, inert material landfill</v>
      </c>
      <c r="B249" t="str">
        <f>literature_CO2_cond_transp!B97</f>
        <v>waste concrete</v>
      </c>
      <c r="C249" s="70">
        <f>(literature_CO2_cond_transp!D97)/1000</f>
        <v>-2.87E-5</v>
      </c>
      <c r="D249" t="str">
        <f>literature_CO2_cond_transp!F97</f>
        <v>CH</v>
      </c>
      <c r="E249" t="str">
        <f>literature_CO2_cond_transp!E97</f>
        <v>kilogram</v>
      </c>
      <c r="G249" t="s">
        <v>429</v>
      </c>
      <c r="H249" t="str">
        <f t="shared" si="5"/>
        <v>ecoinvent-3.10.1-cutoff</v>
      </c>
    </row>
    <row r="250" spans="1:8" x14ac:dyDescent="0.25">
      <c r="A250" t="str">
        <f>literature_CO2_cond_transp!C98</f>
        <v>treatment of hazardous waste, hazardous waste incineration</v>
      </c>
      <c r="B250" t="str">
        <f>literature_CO2_cond_transp!B98</f>
        <v>hazardous waste, for incineration</v>
      </c>
      <c r="C250" s="70">
        <f>(literature_CO2_cond_transp!D98)/1000</f>
        <v>-1.3899999999999999E-7</v>
      </c>
      <c r="D250" t="str">
        <f>literature_CO2_cond_transp!F98</f>
        <v>CH</v>
      </c>
      <c r="E250" t="str">
        <f>literature_CO2_cond_transp!E98</f>
        <v>kilogram</v>
      </c>
      <c r="G250" t="s">
        <v>429</v>
      </c>
      <c r="H250" t="str">
        <f t="shared" si="5"/>
        <v>ecoinvent-3.10.1-cutoff</v>
      </c>
    </row>
    <row r="251" spans="1:8" x14ac:dyDescent="0.25">
      <c r="A251" t="str">
        <f>literature_CO2_cond_transp!C99</f>
        <v>market for waste zeolite</v>
      </c>
      <c r="B251" t="str">
        <f>literature_CO2_cond_transp!B99</f>
        <v>waste zeolite</v>
      </c>
      <c r="C251" s="70">
        <f>(literature_CO2_cond_transp!D99)/1000</f>
        <v>-1.4700000000000001E-7</v>
      </c>
      <c r="D251" t="str">
        <f>literature_CO2_cond_transp!F99</f>
        <v>CH</v>
      </c>
      <c r="E251" t="str">
        <f>literature_CO2_cond_transp!E99</f>
        <v>kilogram</v>
      </c>
      <c r="G251" t="s">
        <v>429</v>
      </c>
      <c r="H251" t="str">
        <f t="shared" si="5"/>
        <v>ecoinvent-3.10.1-cutoff</v>
      </c>
    </row>
    <row r="252" spans="1:8" x14ac:dyDescent="0.25">
      <c r="A252" t="str">
        <f>literature_CO2_cond_transp!C100</f>
        <v>market for scrap steel</v>
      </c>
      <c r="B252" t="str">
        <f>literature_CO2_cond_transp!B100</f>
        <v>scrap steel</v>
      </c>
      <c r="C252" s="70">
        <f>(literature_CO2_cond_transp!D100)/1000</f>
        <v>-3.7299999999999999E-5</v>
      </c>
      <c r="D252" t="str">
        <f>literature_CO2_cond_transp!F100</f>
        <v>CH</v>
      </c>
      <c r="E252" t="str">
        <f>literature_CO2_cond_transp!E100</f>
        <v>kilogram</v>
      </c>
      <c r="G252" t="s">
        <v>429</v>
      </c>
      <c r="H252" t="str">
        <f t="shared" si="5"/>
        <v>ecoinvent-3.10.1-cutoff</v>
      </c>
    </row>
    <row r="253" spans="1:8" x14ac:dyDescent="0.25">
      <c r="A253" t="str">
        <f>literature_CO2_cond_transp!C101</f>
        <v>market for wastewater, average</v>
      </c>
      <c r="B253" t="str">
        <f>literature_CO2_cond_transp!B101</f>
        <v>wastewater, average</v>
      </c>
      <c r="C253" s="70">
        <f>(literature_CO2_cond_transp!D101)/1000</f>
        <v>-8.2799999999999987E-6</v>
      </c>
      <c r="D253" t="str">
        <f>literature_CO2_cond_transp!F101</f>
        <v>CH</v>
      </c>
      <c r="E253" t="str">
        <f>literature_CO2_cond_transp!E101</f>
        <v>cubic meter</v>
      </c>
      <c r="G253" t="s">
        <v>429</v>
      </c>
      <c r="H253" t="str">
        <f t="shared" si="5"/>
        <v>ecoinvent-3.10.1-cutoff</v>
      </c>
    </row>
    <row r="254" spans="1:8" x14ac:dyDescent="0.25">
      <c r="A254" t="s">
        <v>539</v>
      </c>
      <c r="C254" s="70">
        <f>(literature_CO2_cond_transp!D105)/1000</f>
        <v>5.1100000000000002E-6</v>
      </c>
      <c r="E254" t="s">
        <v>1076</v>
      </c>
      <c r="F254" t="s">
        <v>1077</v>
      </c>
      <c r="G254" t="s">
        <v>435</v>
      </c>
      <c r="H254" t="str">
        <f>biospherev310</f>
        <v>ecoinvent-3.10.1-biosphere</v>
      </c>
    </row>
    <row r="255" spans="1:8" x14ac:dyDescent="0.25">
      <c r="A255" t="str">
        <f>literature_CO2_cond_transp!B106</f>
        <v>Transformation, to industrial area</v>
      </c>
      <c r="C255" s="70">
        <f>(literature_CO2_cond_transp!D106)/1000</f>
        <v>2.5599999999999996E-7</v>
      </c>
      <c r="E255" t="s">
        <v>437</v>
      </c>
      <c r="F255" t="s">
        <v>1077</v>
      </c>
      <c r="G255" t="s">
        <v>435</v>
      </c>
      <c r="H255" t="s">
        <v>910</v>
      </c>
    </row>
    <row r="256" spans="1:8" x14ac:dyDescent="0.25">
      <c r="A256" s="63" t="s">
        <v>1078</v>
      </c>
      <c r="B256" s="63"/>
      <c r="C256" s="70">
        <f>C137</f>
        <v>2.5599999999999996E-7</v>
      </c>
      <c r="E256" s="63" t="s">
        <v>437</v>
      </c>
      <c r="F256" t="s">
        <v>1077</v>
      </c>
      <c r="G256" t="s">
        <v>435</v>
      </c>
      <c r="H256" t="str">
        <f>biospherev310</f>
        <v>ecoinvent-3.10.1-biosphere</v>
      </c>
    </row>
    <row r="257" spans="1:9" x14ac:dyDescent="0.25">
      <c r="A257" t="str">
        <f>literature_CO2_cond_transp!B107</f>
        <v>Carbon dioxide, fossil</v>
      </c>
      <c r="C257">
        <f>(literature_CO2_cond_transp!D107)/1000</f>
        <v>3.2699999999999999E-3</v>
      </c>
      <c r="E257" t="str">
        <f>literature_CO2_cond_transp!E107</f>
        <v>kilogram</v>
      </c>
      <c r="F257" t="str">
        <f>literature_CO2_cond_transp!C107</f>
        <v>air</v>
      </c>
      <c r="G257" t="s">
        <v>435</v>
      </c>
      <c r="H257" t="str">
        <f>biospherev310</f>
        <v>ecoinvent-3.10.1-biosphere</v>
      </c>
    </row>
    <row r="258" spans="1:9" x14ac:dyDescent="0.25">
      <c r="A258" t="str">
        <f>literature_CO2_cond_transp!B108</f>
        <v>Ammonia</v>
      </c>
      <c r="C258" s="70">
        <f>(literature_CO2_cond_transp!D108)/1000</f>
        <v>9.9799999999999994E-8</v>
      </c>
      <c r="E258" t="str">
        <f>literature_CO2_cond_transp!E108</f>
        <v>kilogram</v>
      </c>
      <c r="F258" t="str">
        <f>literature_CO2_cond_transp!C108</f>
        <v>air</v>
      </c>
      <c r="G258" t="s">
        <v>435</v>
      </c>
      <c r="H258" t="str">
        <f>biospherev310</f>
        <v>ecoinvent-3.10.1-biosphere</v>
      </c>
    </row>
    <row r="259" spans="1:9" x14ac:dyDescent="0.25">
      <c r="C259" s="70"/>
    </row>
    <row r="260" spans="1:9" x14ac:dyDescent="0.25">
      <c r="C260" s="70"/>
    </row>
    <row r="261" spans="1:9" x14ac:dyDescent="0.25">
      <c r="A261" s="357" t="s">
        <v>413</v>
      </c>
      <c r="B261" s="357" t="s">
        <v>1125</v>
      </c>
      <c r="C261" s="309"/>
      <c r="D261" s="309"/>
      <c r="E261" s="309"/>
      <c r="F261" s="309"/>
      <c r="G261" s="309"/>
      <c r="H261" s="357"/>
      <c r="I261" s="357"/>
    </row>
    <row r="262" spans="1:9" x14ac:dyDescent="0.25">
      <c r="A262" t="s">
        <v>414</v>
      </c>
      <c r="B262">
        <f>literature_CO2_cond_transp!C198</f>
        <v>1</v>
      </c>
    </row>
    <row r="263" spans="1:9" x14ac:dyDescent="0.25">
      <c r="A263" t="s">
        <v>415</v>
      </c>
      <c r="B263" t="s">
        <v>1126</v>
      </c>
    </row>
    <row r="264" spans="1:9" x14ac:dyDescent="0.25">
      <c r="A264" t="s">
        <v>416</v>
      </c>
      <c r="B264" t="s">
        <v>417</v>
      </c>
    </row>
    <row r="265" spans="1:9" x14ac:dyDescent="0.25">
      <c r="A265" t="s">
        <v>418</v>
      </c>
      <c r="B265" t="str">
        <f>literature_CO2_cond_transp!C201</f>
        <v>CH</v>
      </c>
    </row>
    <row r="266" spans="1:9" x14ac:dyDescent="0.25">
      <c r="A266" t="s">
        <v>420</v>
      </c>
      <c r="B266" t="s">
        <v>967</v>
      </c>
    </row>
    <row r="268" spans="1:9" x14ac:dyDescent="0.25">
      <c r="A268" s="9" t="s">
        <v>421</v>
      </c>
      <c r="B268" s="9"/>
      <c r="C268" s="9"/>
      <c r="D268" s="9"/>
      <c r="E268" s="9"/>
      <c r="F268" s="9"/>
      <c r="G268" s="9"/>
      <c r="H268" s="9"/>
      <c r="I268" s="9"/>
    </row>
    <row r="269" spans="1:9" x14ac:dyDescent="0.25">
      <c r="A269" s="9" t="s">
        <v>422</v>
      </c>
      <c r="B269" s="9" t="s">
        <v>415</v>
      </c>
      <c r="C269" s="9" t="s">
        <v>423</v>
      </c>
      <c r="D269" s="9" t="s">
        <v>418</v>
      </c>
      <c r="E269" s="9" t="s">
        <v>416</v>
      </c>
      <c r="F269" s="9" t="s">
        <v>424</v>
      </c>
      <c r="G269" s="9" t="s">
        <v>425</v>
      </c>
      <c r="H269" s="9" t="s">
        <v>439</v>
      </c>
      <c r="I269" s="9" t="s">
        <v>420</v>
      </c>
    </row>
    <row r="270" spans="1:9" x14ac:dyDescent="0.25">
      <c r="A270" s="65" t="str">
        <f>B261</f>
        <v>CO2 storage, temporary, 5 days, 15 bar, waste incineration plant, Linth, Switzerland, without CO2 input</v>
      </c>
      <c r="B270" s="65" t="str">
        <f>B263</f>
        <v>CO2, stored, temporary, 5 days, 15 bar, waste incineration plant, Linth, Switzerland, without CO2 input</v>
      </c>
      <c r="C270" s="65">
        <f>B144</f>
        <v>1</v>
      </c>
      <c r="D270" s="65" t="str">
        <f>B147</f>
        <v>CH</v>
      </c>
      <c r="E270" s="65" t="str">
        <f>B146</f>
        <v>kilogram</v>
      </c>
      <c r="F270" s="65"/>
      <c r="G270" s="65" t="s">
        <v>427</v>
      </c>
      <c r="H270" s="65" t="str">
        <f>db_co2</f>
        <v>co2_kva</v>
      </c>
    </row>
    <row r="271" spans="1:9" x14ac:dyDescent="0.25">
      <c r="A271" s="358" t="str">
        <f>A121</f>
        <v>CO2 conditioning, at 15 bar, waste incineration plant, Linth, Switzerland</v>
      </c>
      <c r="B271" s="358" t="str">
        <f>B121</f>
        <v>CO2, conditioned, at 15 bar, waste incineration plant, Linth, Switzerland</v>
      </c>
      <c r="C271" s="358">
        <v>0</v>
      </c>
      <c r="D271" s="358" t="str">
        <f>D121</f>
        <v>CH</v>
      </c>
      <c r="E271" s="358" t="str">
        <f>E121</f>
        <v>kilogram</v>
      </c>
      <c r="F271" s="358"/>
      <c r="G271" s="50" t="s">
        <v>429</v>
      </c>
      <c r="H271" s="358" t="str">
        <f>H121</f>
        <v>co2_kva</v>
      </c>
      <c r="I271" s="50" t="s">
        <v>1124</v>
      </c>
    </row>
    <row r="272" spans="1:9" x14ac:dyDescent="0.25">
      <c r="A272" s="350" t="str">
        <f>A53</f>
        <v>water pump operation, electric, electricity from waste incineration</v>
      </c>
      <c r="B272" s="350" t="str">
        <f>B53</f>
        <v>water pump operation, electric, electricity from waste incineration</v>
      </c>
      <c r="C272" s="350">
        <f>(literature_CO2_cond_transp!D125)/1000</f>
        <v>7.1999999999999994E-4</v>
      </c>
      <c r="D272" s="350" t="str">
        <f>literature_CO2_cond_transp!G125</f>
        <v>CH</v>
      </c>
      <c r="E272" s="350" t="str">
        <f>literature_CO2_cond_transp!E125</f>
        <v>megajoule</v>
      </c>
      <c r="F272" s="350"/>
      <c r="G272" s="350" t="s">
        <v>429</v>
      </c>
      <c r="H272" s="350" t="str">
        <f t="shared" ref="H272:H277" si="6">ecoinventv310</f>
        <v>ecoinvent-3.10.1-cutoff</v>
      </c>
      <c r="I272" s="350"/>
    </row>
    <row r="273" spans="1:9" x14ac:dyDescent="0.25">
      <c r="A273" t="str">
        <f>literature_CO2_cond_transp!C122</f>
        <v>metal working, average for chromium steel product manufacturing</v>
      </c>
      <c r="B273" t="str">
        <f>literature_CO2_cond_transp!B122</f>
        <v>metal working, average for chromium steel product manufacturing</v>
      </c>
      <c r="C273">
        <f>(literature_CO2_cond_transp!D122)/1000</f>
        <v>8.8500000000000004E-4</v>
      </c>
      <c r="D273" t="str">
        <f>literature_CO2_cond_transp!G122</f>
        <v>RER</v>
      </c>
      <c r="E273" t="str">
        <f>literature_CO2_cond_transp!E122</f>
        <v>kilogram</v>
      </c>
      <c r="G273" t="s">
        <v>429</v>
      </c>
      <c r="H273" t="str">
        <f t="shared" si="6"/>
        <v>ecoinvent-3.10.1-cutoff</v>
      </c>
    </row>
    <row r="274" spans="1:9" x14ac:dyDescent="0.25">
      <c r="A274" t="str">
        <f>literature_CO2_cond_transp!C123</f>
        <v>steel production, electric, chromium steel 18/8</v>
      </c>
      <c r="B274" t="str">
        <f>literature_CO2_cond_transp!B123</f>
        <v>steel, chromium steel 18/8</v>
      </c>
      <c r="C274">
        <f>(literature_CO2_cond_transp!D123)/1000</f>
        <v>8.8500000000000004E-4</v>
      </c>
      <c r="D274" t="str">
        <f>literature_CO2_cond_transp!G123</f>
        <v>RER</v>
      </c>
      <c r="E274" t="str">
        <f>literature_CO2_cond_transp!E123</f>
        <v>kilogram</v>
      </c>
      <c r="G274" t="s">
        <v>429</v>
      </c>
      <c r="H274" t="str">
        <f t="shared" si="6"/>
        <v>ecoinvent-3.10.1-cutoff</v>
      </c>
    </row>
    <row r="275" spans="1:9" x14ac:dyDescent="0.25">
      <c r="A275" t="str">
        <f>literature_CO2_cond_transp!C124</f>
        <v>market for concrete, normal strength</v>
      </c>
      <c r="B275" t="str">
        <f>literature_CO2_cond_transp!B124</f>
        <v>concrete, normal strength</v>
      </c>
      <c r="C275">
        <f>(literature_CO2_cond_transp!D124)/1000</f>
        <v>2.1200000000000001E-8</v>
      </c>
      <c r="D275" t="str">
        <f>literature_CO2_cond_transp!G124</f>
        <v>CH</v>
      </c>
      <c r="E275" t="str">
        <f>literature_CO2_cond_transp!E124</f>
        <v>cubic meter</v>
      </c>
      <c r="G275" t="s">
        <v>429</v>
      </c>
      <c r="H275" t="str">
        <f t="shared" si="6"/>
        <v>ecoinvent-3.10.1-cutoff</v>
      </c>
    </row>
    <row r="276" spans="1:9" x14ac:dyDescent="0.25">
      <c r="A276" t="str">
        <f>literature_CO2_cond_transp!C126</f>
        <v>treatment of waste concrete, inert material landfill</v>
      </c>
      <c r="B276" t="str">
        <f>literature_CO2_cond_transp!B126</f>
        <v>waste concrete</v>
      </c>
      <c r="C276">
        <f>(literature_CO2_cond_transp!D126)/1000</f>
        <v>-5.1E-5</v>
      </c>
      <c r="D276" t="str">
        <f>literature_CO2_cond_transp!G126</f>
        <v>CH</v>
      </c>
      <c r="E276" t="str">
        <f>literature_CO2_cond_transp!E126</f>
        <v>kilogram</v>
      </c>
      <c r="G276" t="s">
        <v>429</v>
      </c>
      <c r="H276" t="str">
        <f t="shared" si="6"/>
        <v>ecoinvent-3.10.1-cutoff</v>
      </c>
    </row>
    <row r="277" spans="1:9" x14ac:dyDescent="0.25">
      <c r="A277" t="str">
        <f>literature_CO2_cond_transp!C127</f>
        <v>market for scrap steel</v>
      </c>
      <c r="B277" t="str">
        <f>literature_CO2_cond_transp!B127</f>
        <v>scrap steel</v>
      </c>
      <c r="C277">
        <f>(literature_CO2_cond_transp!D127)/1000</f>
        <v>-8.8500000000000004E-4</v>
      </c>
      <c r="D277" t="str">
        <f>literature_CO2_cond_transp!G127</f>
        <v>CH</v>
      </c>
      <c r="E277" t="str">
        <f>literature_CO2_cond_transp!E127</f>
        <v>kilogram</v>
      </c>
      <c r="G277" t="s">
        <v>429</v>
      </c>
      <c r="H277" t="str">
        <f t="shared" si="6"/>
        <v>ecoinvent-3.10.1-cutoff</v>
      </c>
    </row>
    <row r="280" spans="1:9" x14ac:dyDescent="0.25">
      <c r="A280" s="357" t="s">
        <v>413</v>
      </c>
      <c r="B280" s="357" t="s">
        <v>1127</v>
      </c>
      <c r="C280" s="309"/>
      <c r="D280" s="309"/>
      <c r="E280" s="309"/>
      <c r="F280" s="309"/>
      <c r="G280" s="309"/>
      <c r="H280" s="309"/>
      <c r="I280" s="309"/>
    </row>
    <row r="281" spans="1:9" x14ac:dyDescent="0.25">
      <c r="A281" t="s">
        <v>414</v>
      </c>
      <c r="B281">
        <v>1</v>
      </c>
    </row>
    <row r="282" spans="1:9" x14ac:dyDescent="0.25">
      <c r="A282" t="s">
        <v>415</v>
      </c>
      <c r="B282" t="s">
        <v>1129</v>
      </c>
    </row>
    <row r="283" spans="1:9" x14ac:dyDescent="0.25">
      <c r="A283" t="s">
        <v>416</v>
      </c>
      <c r="B283" t="s">
        <v>417</v>
      </c>
    </row>
    <row r="284" spans="1:9" x14ac:dyDescent="0.25">
      <c r="A284" t="s">
        <v>418</v>
      </c>
      <c r="B284" t="s">
        <v>432</v>
      </c>
    </row>
    <row r="285" spans="1:9" x14ac:dyDescent="0.25">
      <c r="A285" t="s">
        <v>420</v>
      </c>
      <c r="B285" t="str">
        <f>literature_CO2_cond_transp!B276</f>
        <v>4 wt.% of CO2 is assumed to remain in container. The model includes the transport of the full container on one way and the transport of the empty container on the way back. Trucks are modelled as common state of the art, heavy-duty lorries. Source: Burger et al. Environmental imacts of carbon capture, transport, and storage supply chains: Status and the way forward, https://doi.org/10.1016/j.ijggc.2023.104039</v>
      </c>
    </row>
    <row r="287" spans="1:9" x14ac:dyDescent="0.25">
      <c r="A287" s="9" t="s">
        <v>421</v>
      </c>
      <c r="B287" s="9"/>
      <c r="C287" s="9"/>
      <c r="D287" s="9"/>
      <c r="E287" s="9"/>
      <c r="F287" s="9"/>
      <c r="G287" s="9"/>
      <c r="H287" s="9"/>
      <c r="I287" s="9"/>
    </row>
    <row r="288" spans="1:9" x14ac:dyDescent="0.25">
      <c r="A288" s="9" t="s">
        <v>422</v>
      </c>
      <c r="B288" s="9" t="s">
        <v>415</v>
      </c>
      <c r="C288" s="9" t="s">
        <v>423</v>
      </c>
      <c r="D288" s="9" t="s">
        <v>418</v>
      </c>
      <c r="E288" s="9" t="s">
        <v>416</v>
      </c>
      <c r="F288" s="9" t="s">
        <v>424</v>
      </c>
      <c r="G288" s="9" t="s">
        <v>425</v>
      </c>
      <c r="H288" s="9" t="s">
        <v>439</v>
      </c>
      <c r="I288" s="9" t="s">
        <v>420</v>
      </c>
    </row>
    <row r="289" spans="1:9" x14ac:dyDescent="0.25">
      <c r="A289" s="65" t="str">
        <f>B280</f>
        <v>CO2 transport, liquid, 15 bar, from waste incineration plant, Linth, Switzerland, without CO2 input</v>
      </c>
      <c r="B289" s="65" t="str">
        <f>B282</f>
        <v>CO2 transported, liquid, 15 bar, from waste incineration plant, Linth, Switzerland, without CO2 input</v>
      </c>
      <c r="C289" s="65">
        <f>B163</f>
        <v>1</v>
      </c>
      <c r="D289" s="65" t="str">
        <f>B166</f>
        <v>CH</v>
      </c>
      <c r="E289" s="65" t="str">
        <f>B165</f>
        <v>kilogram</v>
      </c>
      <c r="F289" s="65"/>
      <c r="G289" s="65" t="s">
        <v>427</v>
      </c>
      <c r="H289" s="65" t="str">
        <f>db_co2</f>
        <v>co2_kva</v>
      </c>
    </row>
    <row r="290" spans="1:9" x14ac:dyDescent="0.25">
      <c r="A290" t="str">
        <f>A152</f>
        <v>CO2 storage, temporary, 5 days, 15 bar, waste incineration plant, Linth, Switzerland</v>
      </c>
      <c r="B290" t="str">
        <f>B152</f>
        <v>CO2, stored, temporary, 5 days, 15 bar, waste incineration plant, Linth, Switzerland</v>
      </c>
      <c r="C290">
        <v>0</v>
      </c>
      <c r="D290" t="str">
        <f>D152</f>
        <v>CH</v>
      </c>
      <c r="E290" t="str">
        <f>E152</f>
        <v>kilogram</v>
      </c>
      <c r="G290" t="s">
        <v>429</v>
      </c>
      <c r="H290" t="str">
        <f>H152</f>
        <v>co2_kva</v>
      </c>
    </row>
    <row r="291" spans="1:9" x14ac:dyDescent="0.25">
      <c r="A291" t="str">
        <f>literature_CO2_cond_transp!A282</f>
        <v>transport, freight, lorry &gt;32 metric ton, EURO6</v>
      </c>
      <c r="B291" t="str">
        <f>literature_CO2_cond_transp!C282</f>
        <v>transport, freight, lorry &gt;32 metric ton, EURO6</v>
      </c>
      <c r="C291">
        <f>((C171+C174)/1000)*distance_co2_transport+(literature_CO2_cond_transp!B285/1000+C174)/1000*distance_co2_transport</f>
        <v>0.12533119999999998</v>
      </c>
      <c r="D291" t="str">
        <f>literature_CO2_cond_transp!D282</f>
        <v>RER</v>
      </c>
      <c r="E291" t="str">
        <f>literature_CO2_cond_transp!E282</f>
        <v>ton kilometer</v>
      </c>
      <c r="G291" t="s">
        <v>429</v>
      </c>
      <c r="H291" t="str">
        <f>ecoinventv310</f>
        <v>ecoinvent-3.10.1-cutoff</v>
      </c>
      <c r="I291" t="s">
        <v>982</v>
      </c>
    </row>
    <row r="292" spans="1:9" x14ac:dyDescent="0.25">
      <c r="A292" t="str">
        <f>literature_CO2_cond_transp!A283</f>
        <v>market for steel, chromium steel 18/8</v>
      </c>
      <c r="B292" t="str">
        <f>literature_CO2_cond_transp!C283</f>
        <v>steel, chromium steel 18/8</v>
      </c>
      <c r="C292">
        <f>(literature_CO2_cond_transp!B283)/1000</f>
        <v>1.3799999999999999E-3</v>
      </c>
      <c r="D292" t="str">
        <f>literature_CO2_cond_transp!D283</f>
        <v>GLO</v>
      </c>
      <c r="E292" t="str">
        <f>literature_CO2_cond_transp!E283</f>
        <v>kilogram</v>
      </c>
      <c r="G292" t="s">
        <v>429</v>
      </c>
      <c r="H292" t="str">
        <f>ecoinventv310</f>
        <v>ecoinvent-3.10.1-cutoff</v>
      </c>
    </row>
    <row r="293" spans="1:9" x14ac:dyDescent="0.25">
      <c r="A293" t="str">
        <f>literature_CO2_cond_transp!A284</f>
        <v>market for metal working, average for chromium steel product manufacturing</v>
      </c>
      <c r="B293" t="str">
        <f>literature_CO2_cond_transp!C284</f>
        <v>metal working, average for chromium steel product manufacturing</v>
      </c>
      <c r="C293">
        <f>(literature_CO2_cond_transp!B284)/1000</f>
        <v>1.3799999999999999E-3</v>
      </c>
      <c r="D293" t="str">
        <f>literature_CO2_cond_transp!D284</f>
        <v>GLO</v>
      </c>
      <c r="E293" t="str">
        <f>literature_CO2_cond_transp!E284</f>
        <v>kilogram</v>
      </c>
      <c r="G293" t="s">
        <v>429</v>
      </c>
      <c r="H293" t="str">
        <f>ecoinventv310</f>
        <v>ecoinvent-3.10.1-cutoff</v>
      </c>
    </row>
    <row r="296" spans="1:9" x14ac:dyDescent="0.25">
      <c r="A296" s="357" t="s">
        <v>413</v>
      </c>
      <c r="B296" s="357" t="s">
        <v>1143</v>
      </c>
      <c r="C296" s="309"/>
      <c r="D296" s="309"/>
      <c r="E296" s="309"/>
      <c r="F296" s="309"/>
      <c r="G296" s="309"/>
      <c r="H296" s="309"/>
      <c r="I296" s="309"/>
    </row>
    <row r="297" spans="1:9" x14ac:dyDescent="0.25">
      <c r="A297" t="s">
        <v>414</v>
      </c>
      <c r="B297">
        <v>1</v>
      </c>
    </row>
    <row r="298" spans="1:9" x14ac:dyDescent="0.25">
      <c r="A298" t="s">
        <v>415</v>
      </c>
      <c r="B298" t="s">
        <v>1128</v>
      </c>
    </row>
    <row r="299" spans="1:9" x14ac:dyDescent="0.25">
      <c r="A299" t="s">
        <v>416</v>
      </c>
      <c r="B299" t="s">
        <v>417</v>
      </c>
    </row>
    <row r="300" spans="1:9" x14ac:dyDescent="0.25">
      <c r="A300" t="s">
        <v>418</v>
      </c>
      <c r="B300" t="s">
        <v>432</v>
      </c>
    </row>
    <row r="301" spans="1:9" x14ac:dyDescent="0.25">
      <c r="A301" t="s">
        <v>420</v>
      </c>
      <c r="B301" t="s">
        <v>1002</v>
      </c>
    </row>
    <row r="303" spans="1:9" x14ac:dyDescent="0.25">
      <c r="A303" s="9" t="s">
        <v>421</v>
      </c>
      <c r="B303" s="9"/>
      <c r="C303" s="9"/>
      <c r="D303" s="9"/>
      <c r="E303" s="9"/>
      <c r="F303" s="9"/>
      <c r="G303" s="9"/>
      <c r="H303" s="9"/>
      <c r="I303" s="9"/>
    </row>
    <row r="304" spans="1:9" x14ac:dyDescent="0.25">
      <c r="A304" s="9" t="s">
        <v>422</v>
      </c>
      <c r="B304" s="9" t="s">
        <v>415</v>
      </c>
      <c r="C304" s="9" t="s">
        <v>423</v>
      </c>
      <c r="D304" s="9" t="s">
        <v>418</v>
      </c>
      <c r="E304" s="9" t="s">
        <v>416</v>
      </c>
      <c r="F304" s="9" t="s">
        <v>424</v>
      </c>
      <c r="G304" s="9" t="s">
        <v>425</v>
      </c>
      <c r="H304" s="9" t="s">
        <v>439</v>
      </c>
      <c r="I304" s="9" t="s">
        <v>420</v>
      </c>
    </row>
    <row r="305" spans="1:9" x14ac:dyDescent="0.25">
      <c r="A305" s="65" t="str">
        <f>B296</f>
        <v>CO2 production, supercritical, 90 bar, for pumping into geothermal well, without CO2 input and electricity</v>
      </c>
      <c r="B305" s="65" t="str">
        <f>B298</f>
        <v>CO2, supercritical, 90 bar, for pumping into geothermal well, without CO2 input</v>
      </c>
      <c r="C305" s="65">
        <v>1</v>
      </c>
      <c r="D305" s="65" t="s">
        <v>432</v>
      </c>
      <c r="E305" s="65" t="str">
        <f>B181</f>
        <v>kilogram</v>
      </c>
      <c r="F305" s="65"/>
      <c r="G305" s="65" t="s">
        <v>427</v>
      </c>
      <c r="H305" s="65" t="str">
        <f>db_co2</f>
        <v>co2_kva</v>
      </c>
    </row>
    <row r="306" spans="1:9" x14ac:dyDescent="0.25">
      <c r="A306" t="str">
        <f>A171</f>
        <v>CO2 transport, liquid, 15 bar, from waste incineration plant, Linth, Switzerland</v>
      </c>
      <c r="B306" t="str">
        <f>B171</f>
        <v>CO2 transported, liquid, 15 bar, from waste incineration plant, Linth, Switzerland</v>
      </c>
      <c r="C306">
        <v>0</v>
      </c>
      <c r="D306" t="str">
        <f>D171</f>
        <v>CH</v>
      </c>
      <c r="E306" t="str">
        <f>E171</f>
        <v>kilogram</v>
      </c>
      <c r="G306" t="s">
        <v>429</v>
      </c>
      <c r="H306" t="str">
        <f>H171</f>
        <v>co2_kva</v>
      </c>
      <c r="I306" t="s">
        <v>989</v>
      </c>
    </row>
    <row r="307" spans="1:9" x14ac:dyDescent="0.25">
      <c r="A307" t="s">
        <v>506</v>
      </c>
      <c r="B307" t="s">
        <v>505</v>
      </c>
      <c r="C307">
        <v>0</v>
      </c>
      <c r="D307" t="s">
        <v>432</v>
      </c>
      <c r="E307" t="s">
        <v>433</v>
      </c>
      <c r="G307" t="s">
        <v>429</v>
      </c>
      <c r="H307" t="str">
        <f>ecoinventv310</f>
        <v>ecoinvent-3.10.1-cutoff</v>
      </c>
      <c r="I307" t="s">
        <v>988</v>
      </c>
    </row>
    <row r="310" spans="1:9" x14ac:dyDescent="0.25">
      <c r="A310" s="357" t="s">
        <v>413</v>
      </c>
      <c r="B310" s="357" t="s">
        <v>1144</v>
      </c>
      <c r="C310" s="309"/>
      <c r="D310" s="309"/>
      <c r="E310" s="309"/>
      <c r="F310" s="309"/>
      <c r="G310" s="309"/>
      <c r="H310" s="309"/>
      <c r="I310" s="309"/>
    </row>
    <row r="311" spans="1:9" x14ac:dyDescent="0.25">
      <c r="A311" t="s">
        <v>414</v>
      </c>
      <c r="B311">
        <v>1</v>
      </c>
    </row>
    <row r="312" spans="1:9" x14ac:dyDescent="0.25">
      <c r="A312" t="s">
        <v>415</v>
      </c>
      <c r="B312" t="s">
        <v>1145</v>
      </c>
    </row>
    <row r="313" spans="1:9" x14ac:dyDescent="0.25">
      <c r="A313" t="s">
        <v>416</v>
      </c>
      <c r="B313" t="s">
        <v>417</v>
      </c>
    </row>
    <row r="314" spans="1:9" x14ac:dyDescent="0.25">
      <c r="A314" t="s">
        <v>418</v>
      </c>
      <c r="B314" t="s">
        <v>432</v>
      </c>
    </row>
    <row r="315" spans="1:9" x14ac:dyDescent="0.25">
      <c r="A315" t="s">
        <v>420</v>
      </c>
      <c r="B315" t="s">
        <v>990</v>
      </c>
    </row>
    <row r="317" spans="1:9" x14ac:dyDescent="0.25">
      <c r="A317" s="9" t="s">
        <v>421</v>
      </c>
      <c r="B317" s="9"/>
      <c r="C317" s="9"/>
      <c r="D317" s="9"/>
      <c r="E317" s="9"/>
      <c r="F317" s="9"/>
      <c r="G317" s="9"/>
      <c r="H317" s="9"/>
      <c r="I317" s="9"/>
    </row>
    <row r="318" spans="1:9" x14ac:dyDescent="0.25">
      <c r="A318" s="9" t="s">
        <v>422</v>
      </c>
      <c r="B318" s="9" t="s">
        <v>415</v>
      </c>
      <c r="C318" s="9" t="s">
        <v>423</v>
      </c>
      <c r="D318" s="9" t="s">
        <v>418</v>
      </c>
      <c r="E318" s="9" t="s">
        <v>416</v>
      </c>
      <c r="F318" s="9" t="s">
        <v>424</v>
      </c>
      <c r="G318" s="9" t="s">
        <v>425</v>
      </c>
      <c r="H318" s="9" t="s">
        <v>439</v>
      </c>
      <c r="I318" s="9" t="s">
        <v>420</v>
      </c>
    </row>
    <row r="319" spans="1:9" x14ac:dyDescent="0.25">
      <c r="A319" s="65" t="str">
        <f>B310</f>
        <v>CO2 pumping, supercritical, into geothermal well, per meter, without CO2 input and electricity</v>
      </c>
      <c r="B319" s="65" t="str">
        <f>B312</f>
        <v>CO2, supercritical, pumped into geothermal well, per meter, without CO2 input and electricity</v>
      </c>
      <c r="C319" s="65">
        <v>1</v>
      </c>
      <c r="D319" s="65" t="s">
        <v>432</v>
      </c>
      <c r="E319" s="65" t="str">
        <f>B195</f>
        <v>kilogram</v>
      </c>
      <c r="F319" s="65"/>
      <c r="G319" s="65" t="s">
        <v>427</v>
      </c>
      <c r="H319" s="65" t="str">
        <f>db_co2</f>
        <v>co2_kva</v>
      </c>
    </row>
    <row r="320" spans="1:9" x14ac:dyDescent="0.25">
      <c r="A320" t="str">
        <f>A187</f>
        <v>CO2 production, supercritical, 90 bar, for pumping into geothermal well</v>
      </c>
      <c r="B320" t="str">
        <f>B187</f>
        <v>CO2, supercritical, 90 bar, for pumping into geothermal well</v>
      </c>
      <c r="C320">
        <v>0</v>
      </c>
      <c r="D320" t="str">
        <f>D187</f>
        <v>CH</v>
      </c>
      <c r="E320" t="str">
        <f>E187</f>
        <v>kilogram</v>
      </c>
      <c r="G320" t="s">
        <v>429</v>
      </c>
      <c r="H320" t="str">
        <f>H187</f>
        <v>co2_kva</v>
      </c>
      <c r="I320" t="s">
        <v>989</v>
      </c>
    </row>
    <row r="321" spans="1:9" x14ac:dyDescent="0.25">
      <c r="A321" t="s">
        <v>506</v>
      </c>
      <c r="B321" t="s">
        <v>505</v>
      </c>
      <c r="C321">
        <v>0</v>
      </c>
      <c r="D321" t="s">
        <v>432</v>
      </c>
      <c r="E321" t="s">
        <v>433</v>
      </c>
      <c r="G321" t="s">
        <v>429</v>
      </c>
      <c r="H321" t="str">
        <f>ecoinventv310</f>
        <v>ecoinvent-3.10.1-cutoff</v>
      </c>
      <c r="I321" t="s">
        <v>991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02766-D497-496F-810E-2B9270A5722E}">
  <sheetPr>
    <tabColor theme="5" tint="0.39997558519241921"/>
  </sheetPr>
  <dimension ref="A1:T396"/>
  <sheetViews>
    <sheetView workbookViewId="0"/>
  </sheetViews>
  <sheetFormatPr defaultRowHeight="15" x14ac:dyDescent="0.25"/>
  <cols>
    <col min="1" max="1" width="33.85546875" customWidth="1"/>
    <col min="2" max="2" width="25.140625" customWidth="1"/>
    <col min="3" max="3" width="10.5703125" customWidth="1"/>
    <col min="4" max="4" width="12" customWidth="1"/>
    <col min="5" max="5" width="21.85546875" bestFit="1" customWidth="1"/>
    <col min="6" max="6" width="18.85546875" customWidth="1"/>
    <col min="7" max="7" width="13.5703125" bestFit="1" customWidth="1"/>
    <col min="8" max="8" width="15.85546875" customWidth="1"/>
  </cols>
  <sheetData>
    <row r="1" spans="1:20" x14ac:dyDescent="0.25">
      <c r="A1" t="s">
        <v>55</v>
      </c>
    </row>
    <row r="2" spans="1:20" ht="18.75" x14ac:dyDescent="0.3">
      <c r="A2" s="67" t="s">
        <v>465</v>
      </c>
    </row>
    <row r="3" spans="1:20" ht="18.75" x14ac:dyDescent="0.3">
      <c r="A3" s="67"/>
    </row>
    <row r="4" spans="1:20" ht="18.75" x14ac:dyDescent="0.3">
      <c r="A4" s="333" t="s">
        <v>906</v>
      </c>
      <c r="B4" s="334"/>
      <c r="C4" s="334"/>
      <c r="D4" s="334"/>
      <c r="E4" s="334"/>
      <c r="F4" s="334"/>
      <c r="G4" s="334"/>
      <c r="H4" s="334"/>
      <c r="I4" s="334"/>
      <c r="J4" s="334"/>
      <c r="K4" s="334"/>
      <c r="L4" s="334"/>
      <c r="M4" s="334"/>
      <c r="N4" s="334"/>
      <c r="O4" s="334"/>
      <c r="P4" s="334"/>
      <c r="Q4" s="334"/>
      <c r="R4" s="334"/>
      <c r="S4" s="334"/>
      <c r="T4" s="334"/>
    </row>
    <row r="5" spans="1:20" x14ac:dyDescent="0.25">
      <c r="A5" s="15" t="s">
        <v>905</v>
      </c>
    </row>
    <row r="7" spans="1:20" x14ac:dyDescent="0.25">
      <c r="A7" t="s">
        <v>466</v>
      </c>
      <c r="B7" t="s">
        <v>467</v>
      </c>
      <c r="C7" s="68" t="s">
        <v>468</v>
      </c>
    </row>
    <row r="9" spans="1:20" x14ac:dyDescent="0.25">
      <c r="B9" s="9" t="s">
        <v>469</v>
      </c>
      <c r="C9" s="9" t="s">
        <v>470</v>
      </c>
      <c r="D9" s="9" t="s">
        <v>471</v>
      </c>
      <c r="E9" s="9" t="s">
        <v>472</v>
      </c>
      <c r="F9" s="9" t="s">
        <v>473</v>
      </c>
      <c r="G9" s="9" t="s">
        <v>474</v>
      </c>
      <c r="H9" s="9" t="s">
        <v>475</v>
      </c>
    </row>
    <row r="10" spans="1:20" x14ac:dyDescent="0.25">
      <c r="B10" s="69"/>
      <c r="C10" s="69" t="s">
        <v>476</v>
      </c>
      <c r="D10" s="69" t="s">
        <v>419</v>
      </c>
      <c r="E10" s="69">
        <v>1</v>
      </c>
      <c r="F10" s="69" t="s">
        <v>417</v>
      </c>
    </row>
    <row r="11" spans="1:20" x14ac:dyDescent="0.25">
      <c r="B11" t="s">
        <v>477</v>
      </c>
      <c r="C11" t="s">
        <v>478</v>
      </c>
      <c r="D11" t="s">
        <v>419</v>
      </c>
      <c r="E11">
        <v>7.7</v>
      </c>
      <c r="F11" t="s">
        <v>434</v>
      </c>
      <c r="G11" t="s">
        <v>479</v>
      </c>
    </row>
    <row r="12" spans="1:20" x14ac:dyDescent="0.25">
      <c r="B12" t="s">
        <v>480</v>
      </c>
      <c r="C12" t="s">
        <v>481</v>
      </c>
      <c r="D12" t="s">
        <v>419</v>
      </c>
      <c r="E12">
        <v>0.16667000000000001</v>
      </c>
      <c r="F12" t="s">
        <v>433</v>
      </c>
      <c r="G12" t="s">
        <v>479</v>
      </c>
    </row>
    <row r="13" spans="1:20" x14ac:dyDescent="0.25">
      <c r="B13" t="s">
        <v>482</v>
      </c>
      <c r="C13" t="s">
        <v>483</v>
      </c>
      <c r="D13" t="s">
        <v>419</v>
      </c>
      <c r="E13">
        <v>0.37</v>
      </c>
      <c r="F13" t="s">
        <v>417</v>
      </c>
      <c r="G13" t="s">
        <v>479</v>
      </c>
    </row>
    <row r="14" spans="1:20" x14ac:dyDescent="0.25">
      <c r="B14" t="s">
        <v>484</v>
      </c>
      <c r="C14" t="s">
        <v>485</v>
      </c>
      <c r="D14" t="s">
        <v>419</v>
      </c>
      <c r="E14">
        <v>7.0999999999999994E-2</v>
      </c>
      <c r="F14" t="s">
        <v>417</v>
      </c>
      <c r="G14" t="s">
        <v>479</v>
      </c>
    </row>
    <row r="15" spans="1:20" x14ac:dyDescent="0.25">
      <c r="B15" t="s">
        <v>486</v>
      </c>
      <c r="C15" t="s">
        <v>487</v>
      </c>
      <c r="D15" t="s">
        <v>459</v>
      </c>
      <c r="E15">
        <v>24</v>
      </c>
      <c r="F15" t="s">
        <v>417</v>
      </c>
      <c r="G15" t="s">
        <v>479</v>
      </c>
    </row>
    <row r="16" spans="1:20" x14ac:dyDescent="0.25">
      <c r="B16" t="s">
        <v>488</v>
      </c>
      <c r="C16" t="s">
        <v>489</v>
      </c>
      <c r="D16" t="s">
        <v>419</v>
      </c>
      <c r="E16">
        <v>3.66</v>
      </c>
      <c r="F16" t="s">
        <v>417</v>
      </c>
      <c r="G16" t="s">
        <v>479</v>
      </c>
    </row>
    <row r="17" spans="1:8" x14ac:dyDescent="0.25">
      <c r="B17" t="s">
        <v>490</v>
      </c>
      <c r="C17" t="s">
        <v>491</v>
      </c>
      <c r="D17" t="s">
        <v>492</v>
      </c>
      <c r="E17">
        <v>1.1000000000000001</v>
      </c>
      <c r="F17" t="s">
        <v>417</v>
      </c>
      <c r="G17" t="s">
        <v>493</v>
      </c>
    </row>
    <row r="18" spans="1:8" x14ac:dyDescent="0.25">
      <c r="B18" s="9" t="s">
        <v>494</v>
      </c>
      <c r="C18" s="9" t="s">
        <v>495</v>
      </c>
    </row>
    <row r="19" spans="1:8" x14ac:dyDescent="0.25">
      <c r="B19" t="s">
        <v>496</v>
      </c>
      <c r="C19" t="s">
        <v>443</v>
      </c>
      <c r="E19">
        <v>3.6000000000000002E-4</v>
      </c>
      <c r="F19" t="s">
        <v>417</v>
      </c>
      <c r="G19" t="s">
        <v>497</v>
      </c>
    </row>
    <row r="20" spans="1:8" x14ac:dyDescent="0.25">
      <c r="B20" t="s">
        <v>482</v>
      </c>
      <c r="C20" t="s">
        <v>443</v>
      </c>
      <c r="E20">
        <v>1.8699999999999999E-3</v>
      </c>
      <c r="F20" t="s">
        <v>417</v>
      </c>
      <c r="G20" t="s">
        <v>497</v>
      </c>
    </row>
    <row r="25" spans="1:8" x14ac:dyDescent="0.25">
      <c r="A25" t="s">
        <v>511</v>
      </c>
      <c r="B25" t="s">
        <v>467</v>
      </c>
      <c r="C25" t="s">
        <v>498</v>
      </c>
    </row>
    <row r="26" spans="1:8" x14ac:dyDescent="0.25">
      <c r="B26" s="9" t="s">
        <v>469</v>
      </c>
      <c r="C26" s="9" t="s">
        <v>470</v>
      </c>
      <c r="D26" s="9" t="s">
        <v>471</v>
      </c>
      <c r="E26" s="9" t="s">
        <v>472</v>
      </c>
      <c r="F26" s="9" t="s">
        <v>473</v>
      </c>
      <c r="G26" s="9" t="s">
        <v>474</v>
      </c>
      <c r="H26" s="9" t="s">
        <v>475</v>
      </c>
    </row>
    <row r="27" spans="1:8" x14ac:dyDescent="0.25">
      <c r="B27" t="s">
        <v>499</v>
      </c>
      <c r="C27" t="s">
        <v>500</v>
      </c>
      <c r="D27" t="s">
        <v>459</v>
      </c>
      <c r="E27">
        <v>0.159</v>
      </c>
      <c r="F27" t="s">
        <v>417</v>
      </c>
      <c r="G27" t="s">
        <v>479</v>
      </c>
    </row>
    <row r="28" spans="1:8" x14ac:dyDescent="0.25">
      <c r="B28" t="s">
        <v>501</v>
      </c>
      <c r="C28" t="s">
        <v>502</v>
      </c>
      <c r="D28" t="s">
        <v>419</v>
      </c>
      <c r="E28" s="70">
        <v>1.1800000000000001E-5</v>
      </c>
      <c r="F28" t="s">
        <v>417</v>
      </c>
      <c r="G28" t="s">
        <v>479</v>
      </c>
    </row>
    <row r="29" spans="1:8" x14ac:dyDescent="0.25">
      <c r="B29" t="s">
        <v>503</v>
      </c>
      <c r="C29" t="s">
        <v>504</v>
      </c>
      <c r="D29" t="s">
        <v>462</v>
      </c>
      <c r="E29" s="70">
        <v>1.8E-7</v>
      </c>
      <c r="F29" t="s">
        <v>416</v>
      </c>
      <c r="G29" t="s">
        <v>479</v>
      </c>
    </row>
    <row r="30" spans="1:8" x14ac:dyDescent="0.25">
      <c r="B30" t="s">
        <v>505</v>
      </c>
      <c r="C30" t="s">
        <v>506</v>
      </c>
      <c r="D30" t="s">
        <v>432</v>
      </c>
      <c r="E30" s="70">
        <v>6.3899999999999998E-3</v>
      </c>
      <c r="F30" t="s">
        <v>433</v>
      </c>
      <c r="G30" t="s">
        <v>479</v>
      </c>
    </row>
    <row r="31" spans="1:8" x14ac:dyDescent="0.25">
      <c r="B31" t="s">
        <v>507</v>
      </c>
      <c r="C31" t="s">
        <v>508</v>
      </c>
      <c r="D31" t="s">
        <v>432</v>
      </c>
      <c r="E31" s="70">
        <v>-1.1800000000000001E-5</v>
      </c>
      <c r="F31" t="s">
        <v>417</v>
      </c>
      <c r="G31" t="s">
        <v>479</v>
      </c>
      <c r="H31" t="s">
        <v>509</v>
      </c>
    </row>
    <row r="32" spans="1:8" x14ac:dyDescent="0.25">
      <c r="B32" s="71" t="s">
        <v>510</v>
      </c>
      <c r="C32" s="71" t="s">
        <v>511</v>
      </c>
      <c r="D32" s="71" t="s">
        <v>432</v>
      </c>
      <c r="E32" s="72">
        <v>1</v>
      </c>
      <c r="F32" s="71" t="s">
        <v>434</v>
      </c>
      <c r="G32" s="71"/>
      <c r="H32" s="71"/>
    </row>
    <row r="37" spans="2:7" x14ac:dyDescent="0.25">
      <c r="B37" t="s">
        <v>467</v>
      </c>
      <c r="C37" s="68" t="s">
        <v>512</v>
      </c>
    </row>
    <row r="38" spans="2:7" x14ac:dyDescent="0.25">
      <c r="B38" t="s">
        <v>513</v>
      </c>
      <c r="C38" t="s">
        <v>514</v>
      </c>
    </row>
    <row r="39" spans="2:7" x14ac:dyDescent="0.25">
      <c r="B39" s="73" t="s">
        <v>515</v>
      </c>
      <c r="C39" s="74" t="s">
        <v>516</v>
      </c>
      <c r="D39" s="74" t="s">
        <v>472</v>
      </c>
      <c r="E39" s="74" t="s">
        <v>473</v>
      </c>
      <c r="F39" s="75" t="s">
        <v>474</v>
      </c>
      <c r="G39" s="76" t="s">
        <v>471</v>
      </c>
    </row>
    <row r="40" spans="2:7" x14ac:dyDescent="0.25">
      <c r="B40" s="77" t="s">
        <v>517</v>
      </c>
      <c r="C40" s="78" t="s">
        <v>518</v>
      </c>
      <c r="D40" s="78">
        <v>1.4999999999999999E-2</v>
      </c>
      <c r="E40" s="78" t="s">
        <v>417</v>
      </c>
      <c r="F40" s="79" t="s">
        <v>519</v>
      </c>
      <c r="G40" s="80" t="s">
        <v>419</v>
      </c>
    </row>
    <row r="41" spans="2:7" x14ac:dyDescent="0.25">
      <c r="B41" s="77" t="s">
        <v>520</v>
      </c>
      <c r="C41" s="78" t="s">
        <v>521</v>
      </c>
      <c r="D41" s="78">
        <v>2.5100000000000001E-2</v>
      </c>
      <c r="E41" s="78" t="s">
        <v>417</v>
      </c>
      <c r="F41" s="79" t="s">
        <v>479</v>
      </c>
      <c r="G41" s="80" t="s">
        <v>432</v>
      </c>
    </row>
    <row r="42" spans="2:7" x14ac:dyDescent="0.25">
      <c r="B42" s="77" t="s">
        <v>522</v>
      </c>
      <c r="C42" s="78" t="s">
        <v>523</v>
      </c>
      <c r="D42" s="78">
        <v>5.47E-3</v>
      </c>
      <c r="E42" s="78" t="s">
        <v>417</v>
      </c>
      <c r="F42" s="79" t="s">
        <v>493</v>
      </c>
      <c r="G42" s="80" t="s">
        <v>432</v>
      </c>
    </row>
    <row r="43" spans="2:7" x14ac:dyDescent="0.25">
      <c r="B43" s="77" t="s">
        <v>524</v>
      </c>
      <c r="C43" s="78" t="s">
        <v>525</v>
      </c>
      <c r="D43" s="78">
        <v>2.7800000000000001E-5</v>
      </c>
      <c r="E43" s="81" t="s">
        <v>428</v>
      </c>
      <c r="F43" s="79" t="s">
        <v>479</v>
      </c>
      <c r="G43" s="80" t="s">
        <v>432</v>
      </c>
    </row>
    <row r="44" spans="2:7" x14ac:dyDescent="0.25">
      <c r="B44" s="77" t="s">
        <v>526</v>
      </c>
      <c r="C44" s="78" t="s">
        <v>527</v>
      </c>
      <c r="D44" s="78">
        <v>0.11899999999999999</v>
      </c>
      <c r="E44" s="78" t="s">
        <v>417</v>
      </c>
      <c r="F44" s="79" t="s">
        <v>479</v>
      </c>
      <c r="G44" s="80" t="s">
        <v>462</v>
      </c>
    </row>
    <row r="45" spans="2:7" x14ac:dyDescent="0.25">
      <c r="B45" s="77" t="s">
        <v>464</v>
      </c>
      <c r="C45" s="78" t="s">
        <v>464</v>
      </c>
      <c r="D45" s="78">
        <v>0.11899999999999999</v>
      </c>
      <c r="E45" s="78" t="s">
        <v>417</v>
      </c>
      <c r="F45" s="79" t="s">
        <v>479</v>
      </c>
      <c r="G45" s="80" t="s">
        <v>419</v>
      </c>
    </row>
    <row r="46" spans="2:7" x14ac:dyDescent="0.25">
      <c r="B46" s="77" t="s">
        <v>528</v>
      </c>
      <c r="C46" s="78" t="s">
        <v>529</v>
      </c>
      <c r="D46" s="78">
        <v>5.9700000000000003E-2</v>
      </c>
      <c r="E46" s="78" t="s">
        <v>530</v>
      </c>
      <c r="F46" s="79" t="s">
        <v>531</v>
      </c>
      <c r="G46" s="80" t="s">
        <v>432</v>
      </c>
    </row>
    <row r="47" spans="2:7" x14ac:dyDescent="0.25">
      <c r="B47" s="77" t="s">
        <v>532</v>
      </c>
      <c r="C47" s="78" t="s">
        <v>533</v>
      </c>
      <c r="D47" s="78">
        <v>-0.11899999999999999</v>
      </c>
      <c r="E47" s="78" t="s">
        <v>417</v>
      </c>
      <c r="F47" s="79" t="s">
        <v>479</v>
      </c>
      <c r="G47" s="80" t="s">
        <v>432</v>
      </c>
    </row>
    <row r="48" spans="2:7" x14ac:dyDescent="0.25">
      <c r="B48" s="77" t="s">
        <v>534</v>
      </c>
      <c r="C48" s="78" t="s">
        <v>535</v>
      </c>
      <c r="D48" s="78">
        <v>-4.5600000000000002E-2</v>
      </c>
      <c r="E48" s="78" t="s">
        <v>417</v>
      </c>
      <c r="F48" s="79" t="s">
        <v>479</v>
      </c>
      <c r="G48" s="80" t="s">
        <v>432</v>
      </c>
    </row>
    <row r="49" spans="2:8" x14ac:dyDescent="0.25">
      <c r="B49" s="82" t="s">
        <v>536</v>
      </c>
      <c r="C49" s="83" t="s">
        <v>537</v>
      </c>
      <c r="D49" s="83">
        <v>-6.6699999999999995E-2</v>
      </c>
      <c r="E49" s="83" t="s">
        <v>417</v>
      </c>
      <c r="F49" s="79" t="s">
        <v>479</v>
      </c>
      <c r="G49" s="80" t="s">
        <v>432</v>
      </c>
    </row>
    <row r="52" spans="2:8" x14ac:dyDescent="0.25">
      <c r="B52" s="73" t="s">
        <v>538</v>
      </c>
      <c r="C52" s="74" t="s">
        <v>495</v>
      </c>
      <c r="D52" s="74" t="s">
        <v>472</v>
      </c>
      <c r="E52" s="74" t="s">
        <v>473</v>
      </c>
      <c r="F52" s="75" t="s">
        <v>474</v>
      </c>
      <c r="G52" s="76" t="s">
        <v>471</v>
      </c>
    </row>
    <row r="53" spans="2:8" x14ac:dyDescent="0.25">
      <c r="B53" s="77" t="s">
        <v>539</v>
      </c>
      <c r="C53" s="78" t="s">
        <v>540</v>
      </c>
      <c r="D53" s="78">
        <v>1.0200000000000001E-2</v>
      </c>
      <c r="E53" s="81" t="s">
        <v>541</v>
      </c>
      <c r="F53" s="79"/>
      <c r="G53" s="80"/>
    </row>
    <row r="54" spans="2:8" x14ac:dyDescent="0.25">
      <c r="B54" s="77" t="s">
        <v>542</v>
      </c>
      <c r="C54" s="78" t="s">
        <v>540</v>
      </c>
      <c r="D54" s="78">
        <v>5.1000000000000004E-4</v>
      </c>
      <c r="E54" s="81" t="s">
        <v>437</v>
      </c>
      <c r="F54" s="79"/>
      <c r="G54" s="80"/>
    </row>
    <row r="55" spans="2:8" x14ac:dyDescent="0.25">
      <c r="B55" s="82" t="s">
        <v>543</v>
      </c>
      <c r="C55" s="83" t="s">
        <v>443</v>
      </c>
      <c r="D55" s="83">
        <v>111.11</v>
      </c>
      <c r="E55" s="83" t="s">
        <v>417</v>
      </c>
      <c r="F55" s="84"/>
      <c r="G55" s="85"/>
    </row>
    <row r="63" spans="2:8" x14ac:dyDescent="0.25">
      <c r="B63" s="77"/>
      <c r="C63" s="78"/>
      <c r="D63" s="78"/>
      <c r="E63" s="78"/>
      <c r="F63" s="78"/>
      <c r="G63" s="79"/>
      <c r="H63" s="80"/>
    </row>
    <row r="65" spans="1:7" x14ac:dyDescent="0.25">
      <c r="A65" t="s">
        <v>544</v>
      </c>
      <c r="B65" t="s">
        <v>467</v>
      </c>
      <c r="C65" s="68" t="s">
        <v>512</v>
      </c>
    </row>
    <row r="66" spans="1:7" x14ac:dyDescent="0.25">
      <c r="B66" t="s">
        <v>513</v>
      </c>
      <c r="C66" t="s">
        <v>545</v>
      </c>
    </row>
    <row r="67" spans="1:7" x14ac:dyDescent="0.25">
      <c r="B67" s="9" t="s">
        <v>515</v>
      </c>
      <c r="C67" s="9" t="s">
        <v>516</v>
      </c>
      <c r="D67" s="9" t="s">
        <v>472</v>
      </c>
      <c r="E67" s="9" t="s">
        <v>473</v>
      </c>
      <c r="F67" s="9" t="s">
        <v>474</v>
      </c>
      <c r="G67" s="9" t="s">
        <v>471</v>
      </c>
    </row>
    <row r="68" spans="1:7" x14ac:dyDescent="0.25">
      <c r="B68" t="s">
        <v>517</v>
      </c>
      <c r="C68" t="s">
        <v>518</v>
      </c>
      <c r="D68">
        <v>19.829999999999998</v>
      </c>
      <c r="E68" t="s">
        <v>417</v>
      </c>
      <c r="F68" t="s">
        <v>519</v>
      </c>
      <c r="G68" t="s">
        <v>419</v>
      </c>
    </row>
    <row r="69" spans="1:7" x14ac:dyDescent="0.25">
      <c r="B69" t="s">
        <v>522</v>
      </c>
      <c r="C69" t="s">
        <v>546</v>
      </c>
      <c r="D69">
        <v>6.33</v>
      </c>
      <c r="E69" t="s">
        <v>417</v>
      </c>
      <c r="F69" t="s">
        <v>493</v>
      </c>
      <c r="G69" t="s">
        <v>432</v>
      </c>
    </row>
    <row r="70" spans="1:7" x14ac:dyDescent="0.25">
      <c r="B70" t="s">
        <v>510</v>
      </c>
      <c r="C70" t="s">
        <v>547</v>
      </c>
      <c r="D70">
        <v>51969.43</v>
      </c>
      <c r="E70" t="s">
        <v>434</v>
      </c>
      <c r="F70" t="s">
        <v>548</v>
      </c>
      <c r="G70" t="s">
        <v>432</v>
      </c>
    </row>
    <row r="71" spans="1:7" x14ac:dyDescent="0.25">
      <c r="B71" t="s">
        <v>549</v>
      </c>
      <c r="C71" t="s">
        <v>550</v>
      </c>
      <c r="D71">
        <v>48616.57</v>
      </c>
      <c r="E71" t="s">
        <v>434</v>
      </c>
      <c r="F71" t="s">
        <v>479</v>
      </c>
      <c r="G71" t="s">
        <v>432</v>
      </c>
    </row>
    <row r="72" spans="1:7" x14ac:dyDescent="0.25">
      <c r="B72" t="s">
        <v>505</v>
      </c>
      <c r="C72" t="s">
        <v>506</v>
      </c>
      <c r="D72">
        <v>169.23</v>
      </c>
      <c r="E72" t="s">
        <v>433</v>
      </c>
      <c r="F72" t="s">
        <v>479</v>
      </c>
      <c r="G72" t="s">
        <v>432</v>
      </c>
    </row>
    <row r="73" spans="1:7" x14ac:dyDescent="0.25">
      <c r="B73" t="s">
        <v>551</v>
      </c>
      <c r="C73" t="s">
        <v>552</v>
      </c>
      <c r="D73">
        <v>-0.61399999999999999</v>
      </c>
      <c r="E73" t="s">
        <v>417</v>
      </c>
      <c r="F73" t="s">
        <v>479</v>
      </c>
      <c r="G73" t="s">
        <v>432</v>
      </c>
    </row>
    <row r="74" spans="1:7" x14ac:dyDescent="0.25">
      <c r="B74" t="s">
        <v>553</v>
      </c>
      <c r="C74" t="s">
        <v>554</v>
      </c>
      <c r="D74">
        <v>-0.54900000000000004</v>
      </c>
      <c r="E74" t="s">
        <v>428</v>
      </c>
      <c r="F74" t="s">
        <v>479</v>
      </c>
      <c r="G74" t="s">
        <v>432</v>
      </c>
    </row>
    <row r="77" spans="1:7" x14ac:dyDescent="0.25">
      <c r="B77" s="9" t="s">
        <v>538</v>
      </c>
      <c r="C77" s="9" t="s">
        <v>495</v>
      </c>
      <c r="D77" s="9" t="s">
        <v>472</v>
      </c>
      <c r="E77" s="9" t="s">
        <v>473</v>
      </c>
    </row>
    <row r="78" spans="1:7" x14ac:dyDescent="0.25">
      <c r="B78" t="s">
        <v>555</v>
      </c>
      <c r="C78" t="s">
        <v>443</v>
      </c>
      <c r="D78">
        <v>1.0900000000000001</v>
      </c>
      <c r="E78" t="s">
        <v>417</v>
      </c>
    </row>
    <row r="79" spans="1:7" x14ac:dyDescent="0.25">
      <c r="B79" t="s">
        <v>556</v>
      </c>
      <c r="C79" t="s">
        <v>443</v>
      </c>
      <c r="D79">
        <v>0.20499999999999999</v>
      </c>
      <c r="E79" t="s">
        <v>417</v>
      </c>
    </row>
    <row r="80" spans="1:7" x14ac:dyDescent="0.25">
      <c r="B80" t="s">
        <v>557</v>
      </c>
      <c r="C80" t="s">
        <v>443</v>
      </c>
      <c r="D80">
        <v>4.2999999999999997E-2</v>
      </c>
      <c r="E80" t="s">
        <v>417</v>
      </c>
    </row>
    <row r="81" spans="1:8" x14ac:dyDescent="0.25">
      <c r="B81" t="s">
        <v>558</v>
      </c>
      <c r="C81" t="s">
        <v>443</v>
      </c>
      <c r="D81">
        <v>6.4000000000000001E-2</v>
      </c>
      <c r="E81" t="s">
        <v>417</v>
      </c>
    </row>
    <row r="82" spans="1:8" x14ac:dyDescent="0.25">
      <c r="B82" t="s">
        <v>559</v>
      </c>
      <c r="C82" t="s">
        <v>443</v>
      </c>
      <c r="D82">
        <v>1.95</v>
      </c>
      <c r="E82" t="s">
        <v>417</v>
      </c>
    </row>
    <row r="86" spans="1:8" x14ac:dyDescent="0.25">
      <c r="A86" t="s">
        <v>560</v>
      </c>
      <c r="B86" t="s">
        <v>467</v>
      </c>
      <c r="C86" s="68" t="s">
        <v>512</v>
      </c>
    </row>
    <row r="87" spans="1:8" x14ac:dyDescent="0.25">
      <c r="B87" t="s">
        <v>513</v>
      </c>
      <c r="C87" t="s">
        <v>561</v>
      </c>
    </row>
    <row r="88" spans="1:8" x14ac:dyDescent="0.25">
      <c r="B88" s="9" t="s">
        <v>515</v>
      </c>
      <c r="C88" s="9" t="s">
        <v>516</v>
      </c>
      <c r="D88" s="9" t="s">
        <v>472</v>
      </c>
      <c r="E88" s="9" t="s">
        <v>473</v>
      </c>
      <c r="F88" s="9" t="s">
        <v>471</v>
      </c>
      <c r="G88" s="9" t="s">
        <v>474</v>
      </c>
      <c r="H88" s="9" t="s">
        <v>475</v>
      </c>
    </row>
    <row r="89" spans="1:8" x14ac:dyDescent="0.25">
      <c r="B89" t="s">
        <v>562</v>
      </c>
      <c r="C89" t="s">
        <v>563</v>
      </c>
      <c r="D89" s="70">
        <v>1.08E-6</v>
      </c>
      <c r="E89" t="s">
        <v>416</v>
      </c>
      <c r="F89" t="s">
        <v>419</v>
      </c>
      <c r="G89" t="s">
        <v>479</v>
      </c>
    </row>
    <row r="90" spans="1:8" x14ac:dyDescent="0.25">
      <c r="B90" t="s">
        <v>564</v>
      </c>
      <c r="C90" t="s">
        <v>565</v>
      </c>
      <c r="D90" s="70">
        <v>3.0800000000000003E-5</v>
      </c>
      <c r="E90" t="s">
        <v>416</v>
      </c>
      <c r="F90" t="s">
        <v>462</v>
      </c>
      <c r="G90" t="s">
        <v>479</v>
      </c>
      <c r="H90" t="s">
        <v>566</v>
      </c>
    </row>
    <row r="91" spans="1:8" x14ac:dyDescent="0.25">
      <c r="B91" t="s">
        <v>567</v>
      </c>
      <c r="C91" t="s">
        <v>568</v>
      </c>
      <c r="D91" s="70">
        <v>1.47E-4</v>
      </c>
      <c r="E91" t="s">
        <v>417</v>
      </c>
      <c r="F91" t="s">
        <v>462</v>
      </c>
      <c r="G91" t="s">
        <v>479</v>
      </c>
    </row>
    <row r="92" spans="1:8" x14ac:dyDescent="0.25">
      <c r="B92" t="s">
        <v>524</v>
      </c>
      <c r="C92" t="s">
        <v>525</v>
      </c>
      <c r="D92" s="70">
        <v>1.2E-5</v>
      </c>
      <c r="E92" t="s">
        <v>428</v>
      </c>
      <c r="F92" t="s">
        <v>432</v>
      </c>
      <c r="G92" t="s">
        <v>479</v>
      </c>
    </row>
    <row r="93" spans="1:8" x14ac:dyDescent="0.25">
      <c r="B93" t="s">
        <v>461</v>
      </c>
      <c r="C93" t="s">
        <v>460</v>
      </c>
      <c r="D93" s="70">
        <v>3.73E-2</v>
      </c>
      <c r="E93" t="s">
        <v>417</v>
      </c>
      <c r="F93" t="s">
        <v>462</v>
      </c>
      <c r="G93" t="s">
        <v>479</v>
      </c>
    </row>
    <row r="94" spans="1:8" x14ac:dyDescent="0.25">
      <c r="B94" t="s">
        <v>569</v>
      </c>
      <c r="C94" t="s">
        <v>570</v>
      </c>
      <c r="D94" s="70">
        <v>9.98E-5</v>
      </c>
      <c r="E94" t="s">
        <v>417</v>
      </c>
      <c r="F94" t="s">
        <v>419</v>
      </c>
      <c r="G94" t="s">
        <v>479</v>
      </c>
    </row>
    <row r="95" spans="1:8" x14ac:dyDescent="0.25">
      <c r="B95" t="s">
        <v>505</v>
      </c>
      <c r="C95" t="s">
        <v>506</v>
      </c>
      <c r="D95">
        <v>95.15</v>
      </c>
      <c r="E95" t="s">
        <v>433</v>
      </c>
      <c r="F95" t="s">
        <v>432</v>
      </c>
      <c r="G95" t="s">
        <v>479</v>
      </c>
    </row>
    <row r="96" spans="1:8" x14ac:dyDescent="0.25">
      <c r="B96" t="s">
        <v>510</v>
      </c>
      <c r="C96" t="s">
        <v>547</v>
      </c>
      <c r="D96">
        <v>764.1</v>
      </c>
      <c r="E96" t="s">
        <v>434</v>
      </c>
      <c r="F96" t="s">
        <v>432</v>
      </c>
      <c r="G96" t="s">
        <v>548</v>
      </c>
    </row>
    <row r="97" spans="2:7" x14ac:dyDescent="0.25">
      <c r="B97" t="s">
        <v>536</v>
      </c>
      <c r="C97" t="s">
        <v>571</v>
      </c>
      <c r="D97" s="70">
        <v>-2.87E-2</v>
      </c>
      <c r="E97" t="s">
        <v>417</v>
      </c>
      <c r="F97" t="s">
        <v>432</v>
      </c>
      <c r="G97" t="s">
        <v>479</v>
      </c>
    </row>
    <row r="98" spans="2:7" x14ac:dyDescent="0.25">
      <c r="B98" t="s">
        <v>572</v>
      </c>
      <c r="C98" t="s">
        <v>573</v>
      </c>
      <c r="D98" s="70">
        <v>-1.3899999999999999E-4</v>
      </c>
      <c r="E98" t="s">
        <v>417</v>
      </c>
      <c r="F98" t="s">
        <v>432</v>
      </c>
      <c r="G98" t="s">
        <v>479</v>
      </c>
    </row>
    <row r="99" spans="2:7" x14ac:dyDescent="0.25">
      <c r="B99" t="s">
        <v>574</v>
      </c>
      <c r="C99" t="s">
        <v>575</v>
      </c>
      <c r="D99" s="70">
        <v>-1.47E-4</v>
      </c>
      <c r="E99" t="s">
        <v>417</v>
      </c>
      <c r="F99" t="s">
        <v>432</v>
      </c>
      <c r="G99" t="s">
        <v>479</v>
      </c>
    </row>
    <row r="100" spans="2:7" x14ac:dyDescent="0.25">
      <c r="B100" t="s">
        <v>532</v>
      </c>
      <c r="C100" t="s">
        <v>533</v>
      </c>
      <c r="D100" s="70">
        <v>-3.73E-2</v>
      </c>
      <c r="E100" t="s">
        <v>417</v>
      </c>
      <c r="F100" t="s">
        <v>432</v>
      </c>
      <c r="G100" t="s">
        <v>479</v>
      </c>
    </row>
    <row r="101" spans="2:7" x14ac:dyDescent="0.25">
      <c r="B101" t="s">
        <v>553</v>
      </c>
      <c r="C101" t="s">
        <v>554</v>
      </c>
      <c r="D101" s="70">
        <v>-8.2799999999999992E-3</v>
      </c>
      <c r="E101" t="s">
        <v>428</v>
      </c>
      <c r="F101" t="s">
        <v>432</v>
      </c>
      <c r="G101" t="s">
        <v>479</v>
      </c>
    </row>
    <row r="104" spans="2:7" x14ac:dyDescent="0.25">
      <c r="B104" s="9" t="s">
        <v>538</v>
      </c>
      <c r="C104" s="9" t="s">
        <v>495</v>
      </c>
      <c r="D104" s="9" t="s">
        <v>472</v>
      </c>
      <c r="E104" s="9" t="s">
        <v>473</v>
      </c>
    </row>
    <row r="105" spans="2:7" x14ac:dyDescent="0.25">
      <c r="B105" t="s">
        <v>539</v>
      </c>
      <c r="C105" t="s">
        <v>540</v>
      </c>
      <c r="D105" s="70">
        <v>5.11E-3</v>
      </c>
      <c r="E105" t="s">
        <v>576</v>
      </c>
    </row>
    <row r="106" spans="2:7" x14ac:dyDescent="0.25">
      <c r="B106" t="s">
        <v>542</v>
      </c>
      <c r="C106" t="s">
        <v>540</v>
      </c>
      <c r="D106" s="70">
        <v>2.5599999999999999E-4</v>
      </c>
      <c r="E106" t="s">
        <v>437</v>
      </c>
    </row>
    <row r="107" spans="2:7" x14ac:dyDescent="0.25">
      <c r="B107" t="s">
        <v>577</v>
      </c>
      <c r="C107" t="s">
        <v>443</v>
      </c>
      <c r="D107">
        <v>3.27</v>
      </c>
      <c r="E107" t="s">
        <v>417</v>
      </c>
    </row>
    <row r="108" spans="2:7" x14ac:dyDescent="0.25">
      <c r="B108" t="s">
        <v>556</v>
      </c>
      <c r="C108" t="s">
        <v>443</v>
      </c>
      <c r="D108" s="70">
        <v>9.98E-5</v>
      </c>
      <c r="E108" t="s">
        <v>417</v>
      </c>
    </row>
    <row r="119" spans="1:8" x14ac:dyDescent="0.25">
      <c r="A119" t="s">
        <v>578</v>
      </c>
      <c r="B119" t="s">
        <v>467</v>
      </c>
      <c r="C119" s="68" t="s">
        <v>512</v>
      </c>
    </row>
    <row r="120" spans="1:8" x14ac:dyDescent="0.25">
      <c r="B120" t="s">
        <v>513</v>
      </c>
      <c r="C120" t="s">
        <v>579</v>
      </c>
    </row>
    <row r="121" spans="1:8" x14ac:dyDescent="0.25">
      <c r="B121" s="9" t="s">
        <v>515</v>
      </c>
      <c r="C121" s="9" t="s">
        <v>516</v>
      </c>
      <c r="D121" s="9" t="s">
        <v>472</v>
      </c>
      <c r="E121" s="9" t="s">
        <v>473</v>
      </c>
      <c r="F121" s="9" t="s">
        <v>474</v>
      </c>
      <c r="G121" s="9" t="s">
        <v>471</v>
      </c>
      <c r="H121" s="9" t="s">
        <v>475</v>
      </c>
    </row>
    <row r="122" spans="1:8" x14ac:dyDescent="0.25">
      <c r="B122" t="s">
        <v>464</v>
      </c>
      <c r="C122" t="s">
        <v>464</v>
      </c>
      <c r="D122">
        <v>0.88500000000000001</v>
      </c>
      <c r="E122" t="s">
        <v>417</v>
      </c>
      <c r="F122" t="s">
        <v>479</v>
      </c>
      <c r="G122" t="s">
        <v>419</v>
      </c>
    </row>
    <row r="123" spans="1:8" x14ac:dyDescent="0.25">
      <c r="B123" t="s">
        <v>461</v>
      </c>
      <c r="C123" t="s">
        <v>580</v>
      </c>
      <c r="D123">
        <v>0.88500000000000001</v>
      </c>
      <c r="E123" t="s">
        <v>417</v>
      </c>
      <c r="F123" t="s">
        <v>479</v>
      </c>
      <c r="G123" t="s">
        <v>419</v>
      </c>
    </row>
    <row r="124" spans="1:8" x14ac:dyDescent="0.25">
      <c r="B124" t="s">
        <v>524</v>
      </c>
      <c r="C124" t="s">
        <v>525</v>
      </c>
      <c r="D124">
        <v>2.12E-5</v>
      </c>
      <c r="E124" t="s">
        <v>428</v>
      </c>
      <c r="F124" t="s">
        <v>479</v>
      </c>
      <c r="G124" t="s">
        <v>432</v>
      </c>
    </row>
    <row r="125" spans="1:8" x14ac:dyDescent="0.25">
      <c r="B125" t="s">
        <v>581</v>
      </c>
      <c r="C125" t="s">
        <v>581</v>
      </c>
      <c r="D125">
        <v>0.72</v>
      </c>
      <c r="E125" t="s">
        <v>434</v>
      </c>
      <c r="F125" t="s">
        <v>479</v>
      </c>
      <c r="G125" t="s">
        <v>432</v>
      </c>
    </row>
    <row r="126" spans="1:8" x14ac:dyDescent="0.25">
      <c r="B126" t="s">
        <v>536</v>
      </c>
      <c r="C126" t="s">
        <v>571</v>
      </c>
      <c r="D126">
        <v>-5.0999999999999997E-2</v>
      </c>
      <c r="E126" t="s">
        <v>417</v>
      </c>
      <c r="F126" t="s">
        <v>479</v>
      </c>
      <c r="G126" t="s">
        <v>432</v>
      </c>
    </row>
    <row r="127" spans="1:8" x14ac:dyDescent="0.25">
      <c r="B127" t="s">
        <v>532</v>
      </c>
      <c r="C127" t="s">
        <v>533</v>
      </c>
      <c r="D127">
        <v>-0.88500000000000001</v>
      </c>
      <c r="E127" t="s">
        <v>417</v>
      </c>
      <c r="F127" t="s">
        <v>479</v>
      </c>
      <c r="G127" t="s">
        <v>432</v>
      </c>
    </row>
    <row r="132" spans="1:8" x14ac:dyDescent="0.25">
      <c r="A132" t="s">
        <v>582</v>
      </c>
      <c r="B132" t="s">
        <v>467</v>
      </c>
      <c r="C132" s="68" t="s">
        <v>512</v>
      </c>
    </row>
    <row r="133" spans="1:8" x14ac:dyDescent="0.25">
      <c r="B133" t="s">
        <v>513</v>
      </c>
      <c r="C133" t="s">
        <v>583</v>
      </c>
    </row>
    <row r="134" spans="1:8" x14ac:dyDescent="0.25">
      <c r="B134" s="9" t="s">
        <v>515</v>
      </c>
      <c r="C134" s="9" t="s">
        <v>516</v>
      </c>
      <c r="D134" s="9" t="s">
        <v>472</v>
      </c>
      <c r="E134" s="9" t="s">
        <v>473</v>
      </c>
      <c r="F134" s="9" t="s">
        <v>474</v>
      </c>
      <c r="G134" s="9" t="s">
        <v>471</v>
      </c>
      <c r="H134" s="9" t="s">
        <v>475</v>
      </c>
    </row>
    <row r="135" spans="1:8" x14ac:dyDescent="0.25">
      <c r="B135" t="s">
        <v>584</v>
      </c>
      <c r="C135" t="s">
        <v>585</v>
      </c>
      <c r="D135">
        <v>289</v>
      </c>
      <c r="E135" t="s">
        <v>586</v>
      </c>
      <c r="F135" t="s">
        <v>587</v>
      </c>
      <c r="G135" t="s">
        <v>419</v>
      </c>
    </row>
    <row r="136" spans="1:8" x14ac:dyDescent="0.25">
      <c r="B136" t="s">
        <v>588</v>
      </c>
      <c r="C136" t="s">
        <v>588</v>
      </c>
      <c r="D136">
        <v>1713</v>
      </c>
      <c r="E136" t="s">
        <v>586</v>
      </c>
      <c r="F136" t="s">
        <v>479</v>
      </c>
      <c r="G136" t="s">
        <v>419</v>
      </c>
    </row>
    <row r="137" spans="1:8" x14ac:dyDescent="0.25">
      <c r="B137" t="s">
        <v>589</v>
      </c>
      <c r="C137" t="s">
        <v>590</v>
      </c>
      <c r="D137">
        <v>1994</v>
      </c>
      <c r="E137" t="s">
        <v>586</v>
      </c>
      <c r="F137" t="s">
        <v>479</v>
      </c>
      <c r="G137" t="s">
        <v>462</v>
      </c>
    </row>
    <row r="138" spans="1:8" x14ac:dyDescent="0.25">
      <c r="B138" t="s">
        <v>584</v>
      </c>
      <c r="C138" t="s">
        <v>591</v>
      </c>
      <c r="D138">
        <v>102</v>
      </c>
      <c r="E138" t="s">
        <v>586</v>
      </c>
      <c r="F138" t="s">
        <v>587</v>
      </c>
      <c r="G138" t="s">
        <v>419</v>
      </c>
    </row>
    <row r="139" spans="1:8" x14ac:dyDescent="0.25">
      <c r="B139" t="s">
        <v>461</v>
      </c>
      <c r="C139" t="s">
        <v>460</v>
      </c>
      <c r="D139">
        <v>1.94</v>
      </c>
      <c r="E139" t="s">
        <v>417</v>
      </c>
      <c r="F139" t="s">
        <v>479</v>
      </c>
      <c r="G139" t="s">
        <v>462</v>
      </c>
    </row>
    <row r="140" spans="1:8" x14ac:dyDescent="0.25">
      <c r="B140" t="s">
        <v>464</v>
      </c>
      <c r="C140" t="s">
        <v>463</v>
      </c>
      <c r="D140">
        <v>1.94</v>
      </c>
      <c r="E140" t="s">
        <v>417</v>
      </c>
      <c r="F140" t="s">
        <v>479</v>
      </c>
      <c r="G140" t="s">
        <v>462</v>
      </c>
    </row>
    <row r="147" spans="1:19" x14ac:dyDescent="0.25">
      <c r="A147" s="334" t="s">
        <v>904</v>
      </c>
      <c r="B147" s="334"/>
      <c r="C147" s="334"/>
      <c r="D147" s="334"/>
      <c r="E147" s="334"/>
      <c r="F147" s="334"/>
      <c r="G147" s="334"/>
      <c r="H147" s="334"/>
      <c r="I147" s="334"/>
      <c r="J147" s="334"/>
      <c r="K147" s="334"/>
      <c r="L147" s="334"/>
      <c r="M147" s="334"/>
      <c r="N147" s="334"/>
      <c r="O147" s="334"/>
      <c r="P147" s="334"/>
      <c r="Q147" s="334"/>
      <c r="R147" s="334"/>
      <c r="S147" s="334"/>
    </row>
    <row r="150" spans="1:19" ht="15.75" x14ac:dyDescent="0.25">
      <c r="B150" s="86" t="s">
        <v>413</v>
      </c>
      <c r="C150" s="87" t="s">
        <v>476</v>
      </c>
      <c r="D150" s="88"/>
      <c r="E150" s="88"/>
      <c r="F150" s="88"/>
      <c r="G150" s="88"/>
      <c r="H150" s="88"/>
      <c r="I150" s="88"/>
      <c r="J150" s="89"/>
    </row>
    <row r="151" spans="1:19" x14ac:dyDescent="0.25">
      <c r="B151" s="90" t="s">
        <v>414</v>
      </c>
      <c r="C151">
        <v>1</v>
      </c>
      <c r="J151" s="80"/>
    </row>
    <row r="152" spans="1:19" ht="15.75" x14ac:dyDescent="0.25">
      <c r="B152" s="90" t="s">
        <v>415</v>
      </c>
      <c r="C152" s="91" t="s">
        <v>592</v>
      </c>
      <c r="J152" s="80"/>
    </row>
    <row r="153" spans="1:19" x14ac:dyDescent="0.25">
      <c r="B153" s="90" t="s">
        <v>416</v>
      </c>
      <c r="C153" t="s">
        <v>417</v>
      </c>
      <c r="J153" s="80"/>
    </row>
    <row r="154" spans="1:19" x14ac:dyDescent="0.25">
      <c r="B154" s="90" t="s">
        <v>418</v>
      </c>
      <c r="J154" s="80"/>
    </row>
    <row r="155" spans="1:19" x14ac:dyDescent="0.25">
      <c r="B155" s="90" t="s">
        <v>420</v>
      </c>
      <c r="C155" t="s">
        <v>634</v>
      </c>
      <c r="J155" s="80"/>
    </row>
    <row r="156" spans="1:19" x14ac:dyDescent="0.25">
      <c r="B156" s="90"/>
      <c r="J156" s="80"/>
    </row>
    <row r="157" spans="1:19" ht="15.75" x14ac:dyDescent="0.25">
      <c r="B157" s="92" t="s">
        <v>421</v>
      </c>
      <c r="J157" s="80"/>
    </row>
    <row r="158" spans="1:19" x14ac:dyDescent="0.25">
      <c r="B158" s="93" t="s">
        <v>422</v>
      </c>
      <c r="C158" s="9" t="s">
        <v>423</v>
      </c>
      <c r="D158" s="9" t="s">
        <v>415</v>
      </c>
      <c r="E158" s="9" t="s">
        <v>418</v>
      </c>
      <c r="F158" s="9" t="s">
        <v>416</v>
      </c>
      <c r="G158" s="9" t="s">
        <v>424</v>
      </c>
      <c r="H158" s="9" t="s">
        <v>425</v>
      </c>
      <c r="I158" s="9" t="s">
        <v>426</v>
      </c>
      <c r="J158" s="94" t="s">
        <v>420</v>
      </c>
    </row>
    <row r="159" spans="1:19" ht="15.75" x14ac:dyDescent="0.25">
      <c r="B159" s="90" t="s">
        <v>478</v>
      </c>
      <c r="C159">
        <f t="shared" ref="C159:C165" si="0">E11</f>
        <v>7.7</v>
      </c>
      <c r="D159" s="91" t="s">
        <v>477</v>
      </c>
      <c r="E159" t="s">
        <v>419</v>
      </c>
      <c r="F159" t="s">
        <v>434</v>
      </c>
      <c r="H159" t="s">
        <v>429</v>
      </c>
      <c r="I159" t="s">
        <v>430</v>
      </c>
      <c r="J159" s="80"/>
    </row>
    <row r="160" spans="1:19" ht="15.75" x14ac:dyDescent="0.25">
      <c r="B160" s="90" t="s">
        <v>481</v>
      </c>
      <c r="C160">
        <f t="shared" si="0"/>
        <v>0.16667000000000001</v>
      </c>
      <c r="D160" s="91" t="s">
        <v>480</v>
      </c>
      <c r="E160" t="s">
        <v>419</v>
      </c>
      <c r="F160" t="s">
        <v>433</v>
      </c>
      <c r="H160" t="s">
        <v>429</v>
      </c>
      <c r="I160" t="s">
        <v>430</v>
      </c>
      <c r="J160" s="80"/>
    </row>
    <row r="161" spans="2:10" ht="15.75" x14ac:dyDescent="0.25">
      <c r="B161" s="90" t="s">
        <v>483</v>
      </c>
      <c r="C161">
        <f t="shared" si="0"/>
        <v>0.37</v>
      </c>
      <c r="D161" s="91" t="s">
        <v>482</v>
      </c>
      <c r="E161" t="s">
        <v>419</v>
      </c>
      <c r="F161" t="s">
        <v>417</v>
      </c>
      <c r="H161" t="s">
        <v>429</v>
      </c>
      <c r="I161" t="s">
        <v>430</v>
      </c>
      <c r="J161" s="80"/>
    </row>
    <row r="162" spans="2:10" ht="15.75" x14ac:dyDescent="0.25">
      <c r="B162" s="90" t="s">
        <v>485</v>
      </c>
      <c r="C162">
        <f t="shared" si="0"/>
        <v>7.0999999999999994E-2</v>
      </c>
      <c r="D162" s="91" t="s">
        <v>484</v>
      </c>
      <c r="E162" t="s">
        <v>419</v>
      </c>
      <c r="F162" t="s">
        <v>417</v>
      </c>
      <c r="H162" t="s">
        <v>429</v>
      </c>
      <c r="I162" t="s">
        <v>430</v>
      </c>
      <c r="J162" s="80"/>
    </row>
    <row r="163" spans="2:10" ht="15.75" x14ac:dyDescent="0.25">
      <c r="B163" s="90" t="s">
        <v>487</v>
      </c>
      <c r="C163">
        <f t="shared" si="0"/>
        <v>24</v>
      </c>
      <c r="D163" s="91" t="s">
        <v>486</v>
      </c>
      <c r="E163" t="s">
        <v>459</v>
      </c>
      <c r="F163" t="s">
        <v>417</v>
      </c>
      <c r="H163" t="s">
        <v>429</v>
      </c>
      <c r="I163" t="s">
        <v>430</v>
      </c>
      <c r="J163" s="80"/>
    </row>
    <row r="164" spans="2:10" ht="15.75" x14ac:dyDescent="0.25">
      <c r="B164" s="90" t="s">
        <v>489</v>
      </c>
      <c r="C164">
        <f t="shared" si="0"/>
        <v>3.66</v>
      </c>
      <c r="D164" s="91" t="s">
        <v>488</v>
      </c>
      <c r="E164" t="s">
        <v>419</v>
      </c>
      <c r="F164" t="s">
        <v>417</v>
      </c>
      <c r="H164" t="s">
        <v>429</v>
      </c>
      <c r="I164" t="s">
        <v>430</v>
      </c>
      <c r="J164" s="80"/>
    </row>
    <row r="165" spans="2:10" ht="15.75" x14ac:dyDescent="0.25">
      <c r="B165" s="90" t="s">
        <v>491</v>
      </c>
      <c r="C165">
        <f t="shared" si="0"/>
        <v>1.1000000000000001</v>
      </c>
      <c r="D165" s="91" t="s">
        <v>490</v>
      </c>
      <c r="E165" t="s">
        <v>492</v>
      </c>
      <c r="F165" t="s">
        <v>417</v>
      </c>
      <c r="H165" t="s">
        <v>429</v>
      </c>
      <c r="I165" t="s">
        <v>493</v>
      </c>
      <c r="J165" s="80"/>
    </row>
    <row r="166" spans="2:10" x14ac:dyDescent="0.25">
      <c r="B166" s="90" t="s">
        <v>496</v>
      </c>
      <c r="C166">
        <f>E19</f>
        <v>3.6000000000000002E-4</v>
      </c>
      <c r="F166" t="s">
        <v>417</v>
      </c>
      <c r="G166" t="s">
        <v>443</v>
      </c>
      <c r="H166" t="s">
        <v>435</v>
      </c>
      <c r="I166" t="s">
        <v>436</v>
      </c>
      <c r="J166" s="80"/>
    </row>
    <row r="167" spans="2:10" x14ac:dyDescent="0.25">
      <c r="B167" s="95" t="s">
        <v>482</v>
      </c>
      <c r="C167">
        <f>E20</f>
        <v>1.8699999999999999E-3</v>
      </c>
      <c r="D167" s="96"/>
      <c r="E167" s="96"/>
      <c r="F167" s="96" t="s">
        <v>417</v>
      </c>
      <c r="G167" s="96" t="s">
        <v>443</v>
      </c>
      <c r="H167" s="96" t="s">
        <v>435</v>
      </c>
      <c r="I167" s="96" t="s">
        <v>436</v>
      </c>
      <c r="J167" s="85"/>
    </row>
    <row r="172" spans="2:10" ht="15.75" x14ac:dyDescent="0.25">
      <c r="B172" s="97" t="s">
        <v>413</v>
      </c>
      <c r="C172" s="98" t="s">
        <v>593</v>
      </c>
      <c r="D172" s="99"/>
      <c r="E172" s="99"/>
      <c r="F172" s="99"/>
      <c r="G172" s="99"/>
      <c r="H172" s="99"/>
      <c r="I172" s="99"/>
      <c r="J172" s="100"/>
    </row>
    <row r="173" spans="2:10" x14ac:dyDescent="0.25">
      <c r="B173" s="90" t="s">
        <v>414</v>
      </c>
      <c r="C173">
        <v>1</v>
      </c>
      <c r="J173" s="80"/>
    </row>
    <row r="174" spans="2:10" x14ac:dyDescent="0.25">
      <c r="B174" s="90" t="s">
        <v>415</v>
      </c>
      <c r="C174" t="s">
        <v>594</v>
      </c>
      <c r="J174" s="80"/>
    </row>
    <row r="175" spans="2:10" x14ac:dyDescent="0.25">
      <c r="B175" s="90" t="s">
        <v>416</v>
      </c>
      <c r="C175" t="s">
        <v>595</v>
      </c>
      <c r="J175" s="80"/>
    </row>
    <row r="176" spans="2:10" x14ac:dyDescent="0.25">
      <c r="B176" s="90" t="s">
        <v>418</v>
      </c>
      <c r="C176" t="s">
        <v>432</v>
      </c>
      <c r="J176" s="80"/>
    </row>
    <row r="177" spans="2:16" x14ac:dyDescent="0.25">
      <c r="B177" s="90" t="s">
        <v>420</v>
      </c>
      <c r="C177" t="s">
        <v>596</v>
      </c>
      <c r="J177" s="80"/>
    </row>
    <row r="178" spans="2:16" x14ac:dyDescent="0.25">
      <c r="B178" s="90"/>
      <c r="J178" s="80"/>
    </row>
    <row r="179" spans="2:16" ht="15.75" x14ac:dyDescent="0.25">
      <c r="B179" s="92" t="s">
        <v>421</v>
      </c>
      <c r="J179" s="80"/>
    </row>
    <row r="180" spans="2:16" x14ac:dyDescent="0.25">
      <c r="B180" s="93" t="s">
        <v>422</v>
      </c>
      <c r="C180" s="9" t="s">
        <v>423</v>
      </c>
      <c r="D180" s="9" t="s">
        <v>415</v>
      </c>
      <c r="E180" s="9" t="s">
        <v>418</v>
      </c>
      <c r="F180" s="9" t="s">
        <v>416</v>
      </c>
      <c r="G180" s="9" t="s">
        <v>424</v>
      </c>
      <c r="H180" s="9" t="s">
        <v>425</v>
      </c>
      <c r="I180" s="9" t="s">
        <v>426</v>
      </c>
      <c r="J180" s="94" t="s">
        <v>420</v>
      </c>
    </row>
    <row r="181" spans="2:16" x14ac:dyDescent="0.25">
      <c r="B181" s="101" t="str">
        <f>C172</f>
        <v>Capture, KVA Linth</v>
      </c>
      <c r="C181" s="24">
        <v>1.4999999999999999E-2</v>
      </c>
      <c r="D181" s="24" t="str">
        <f>C174</f>
        <v>captured CO2</v>
      </c>
      <c r="E181" s="24" t="s">
        <v>419</v>
      </c>
      <c r="F181" s="24" t="s">
        <v>417</v>
      </c>
      <c r="G181" s="24"/>
      <c r="H181" s="24" t="s">
        <v>429</v>
      </c>
      <c r="I181" s="24" t="e">
        <v>#NAME?</v>
      </c>
      <c r="J181" s="102"/>
    </row>
    <row r="182" spans="2:16" x14ac:dyDescent="0.25">
      <c r="B182" s="90" t="s">
        <v>521</v>
      </c>
      <c r="C182">
        <v>2.5100000000000001E-2</v>
      </c>
      <c r="D182" t="s">
        <v>520</v>
      </c>
      <c r="E182" t="s">
        <v>432</v>
      </c>
      <c r="F182" t="s">
        <v>417</v>
      </c>
      <c r="H182" t="s">
        <v>429</v>
      </c>
      <c r="I182" t="s">
        <v>430</v>
      </c>
      <c r="J182" s="80"/>
    </row>
    <row r="183" spans="2:16" x14ac:dyDescent="0.25">
      <c r="B183" s="90" t="s">
        <v>523</v>
      </c>
      <c r="C183">
        <v>5.47E-3</v>
      </c>
      <c r="D183" t="s">
        <v>522</v>
      </c>
      <c r="E183" t="s">
        <v>432</v>
      </c>
      <c r="F183" t="s">
        <v>417</v>
      </c>
      <c r="H183" t="s">
        <v>429</v>
      </c>
      <c r="I183" t="s">
        <v>493</v>
      </c>
      <c r="J183" s="80"/>
    </row>
    <row r="184" spans="2:16" x14ac:dyDescent="0.25">
      <c r="B184" s="90" t="s">
        <v>525</v>
      </c>
      <c r="C184">
        <v>2.7800000000000001E-5</v>
      </c>
      <c r="D184" t="s">
        <v>524</v>
      </c>
      <c r="E184" t="s">
        <v>432</v>
      </c>
      <c r="F184" t="s">
        <v>428</v>
      </c>
      <c r="H184" t="s">
        <v>429</v>
      </c>
      <c r="I184" t="s">
        <v>430</v>
      </c>
      <c r="J184" s="80"/>
    </row>
    <row r="185" spans="2:16" x14ac:dyDescent="0.25">
      <c r="B185" s="90" t="s">
        <v>527</v>
      </c>
      <c r="C185">
        <v>0.11899999999999999</v>
      </c>
      <c r="D185" t="s">
        <v>526</v>
      </c>
      <c r="E185" t="s">
        <v>462</v>
      </c>
      <c r="F185" t="s">
        <v>417</v>
      </c>
      <c r="H185" t="s">
        <v>429</v>
      </c>
      <c r="I185" t="s">
        <v>430</v>
      </c>
      <c r="J185" s="80"/>
    </row>
    <row r="186" spans="2:16" x14ac:dyDescent="0.25">
      <c r="B186" s="90" t="s">
        <v>464</v>
      </c>
      <c r="C186">
        <v>0.11899999999999999</v>
      </c>
      <c r="D186" t="s">
        <v>464</v>
      </c>
      <c r="E186" t="s">
        <v>419</v>
      </c>
      <c r="F186" t="s">
        <v>417</v>
      </c>
      <c r="H186" t="s">
        <v>429</v>
      </c>
      <c r="I186" t="s">
        <v>430</v>
      </c>
      <c r="J186" s="80"/>
    </row>
    <row r="187" spans="2:16" x14ac:dyDescent="0.25">
      <c r="B187" s="103" t="s">
        <v>529</v>
      </c>
      <c r="C187" s="50">
        <v>5.9700000000000003E-2</v>
      </c>
      <c r="D187" s="50" t="s">
        <v>528</v>
      </c>
      <c r="E187" s="50" t="s">
        <v>432</v>
      </c>
      <c r="F187" s="50" t="s">
        <v>530</v>
      </c>
      <c r="G187" s="50"/>
      <c r="H187" s="50" t="s">
        <v>429</v>
      </c>
      <c r="I187" s="50" t="e">
        <v>#NAME?</v>
      </c>
      <c r="J187" s="104"/>
      <c r="L187" t="s">
        <v>1134</v>
      </c>
      <c r="N187" t="s">
        <v>1132</v>
      </c>
      <c r="O187">
        <f>C173/C187</f>
        <v>16.75041876046901</v>
      </c>
    </row>
    <row r="188" spans="2:16" x14ac:dyDescent="0.25">
      <c r="B188" s="90" t="s">
        <v>533</v>
      </c>
      <c r="C188">
        <v>-0.11899999999999999</v>
      </c>
      <c r="D188" t="s">
        <v>532</v>
      </c>
      <c r="E188" t="s">
        <v>432</v>
      </c>
      <c r="F188" t="s">
        <v>417</v>
      </c>
      <c r="H188" t="s">
        <v>429</v>
      </c>
      <c r="I188" t="s">
        <v>430</v>
      </c>
      <c r="J188" s="80"/>
      <c r="L188" t="s">
        <v>1133</v>
      </c>
      <c r="O188">
        <v>25000</v>
      </c>
    </row>
    <row r="189" spans="2:16" x14ac:dyDescent="0.25">
      <c r="B189" s="90" t="s">
        <v>535</v>
      </c>
      <c r="C189">
        <v>-4.5600000000000002E-2</v>
      </c>
      <c r="D189" t="s">
        <v>534</v>
      </c>
      <c r="E189" t="s">
        <v>432</v>
      </c>
      <c r="F189" t="s">
        <v>417</v>
      </c>
      <c r="H189" t="s">
        <v>429</v>
      </c>
      <c r="I189" t="s">
        <v>430</v>
      </c>
      <c r="J189" s="80"/>
      <c r="L189" t="s">
        <v>1135</v>
      </c>
      <c r="O189">
        <f>O188/O187</f>
        <v>1492.5000000000002</v>
      </c>
    </row>
    <row r="190" spans="2:16" x14ac:dyDescent="0.25">
      <c r="B190" s="90" t="s">
        <v>537</v>
      </c>
      <c r="C190">
        <v>-6.6699999999999995E-2</v>
      </c>
      <c r="D190" t="s">
        <v>536</v>
      </c>
      <c r="E190" t="s">
        <v>432</v>
      </c>
      <c r="F190" t="s">
        <v>417</v>
      </c>
      <c r="H190" t="s">
        <v>429</v>
      </c>
      <c r="I190" t="s">
        <v>430</v>
      </c>
      <c r="J190" s="80"/>
      <c r="L190" t="s">
        <v>1136</v>
      </c>
      <c r="O190" s="359">
        <f>O189/8760</f>
        <v>0.17037671232876714</v>
      </c>
      <c r="P190" t="s">
        <v>1137</v>
      </c>
    </row>
    <row r="191" spans="2:16" x14ac:dyDescent="0.25">
      <c r="B191" s="90" t="s">
        <v>539</v>
      </c>
      <c r="C191">
        <v>1.0200000000000001E-2</v>
      </c>
      <c r="F191" t="s">
        <v>541</v>
      </c>
      <c r="G191" t="s">
        <v>540</v>
      </c>
      <c r="H191" t="s">
        <v>435</v>
      </c>
      <c r="I191" t="s">
        <v>436</v>
      </c>
      <c r="J191" s="80"/>
    </row>
    <row r="192" spans="2:16" x14ac:dyDescent="0.25">
      <c r="B192" s="90" t="s">
        <v>542</v>
      </c>
      <c r="C192">
        <v>5.1000000000000004E-4</v>
      </c>
      <c r="F192" t="s">
        <v>437</v>
      </c>
      <c r="G192" t="s">
        <v>540</v>
      </c>
      <c r="H192" t="s">
        <v>435</v>
      </c>
      <c r="I192" t="s">
        <v>436</v>
      </c>
      <c r="J192" s="80"/>
    </row>
    <row r="193" spans="2:10" x14ac:dyDescent="0.25">
      <c r="B193" s="95" t="s">
        <v>543</v>
      </c>
      <c r="C193" s="96">
        <v>111.11</v>
      </c>
      <c r="D193" s="96"/>
      <c r="E193" s="96"/>
      <c r="F193" s="96" t="s">
        <v>417</v>
      </c>
      <c r="G193" s="96" t="s">
        <v>443</v>
      </c>
      <c r="H193" s="96" t="s">
        <v>435</v>
      </c>
      <c r="I193" s="96" t="s">
        <v>436</v>
      </c>
      <c r="J193" s="85"/>
    </row>
    <row r="197" spans="2:10" ht="15.75" x14ac:dyDescent="0.25">
      <c r="B197" s="105" t="s">
        <v>413</v>
      </c>
      <c r="C197" s="106" t="s">
        <v>529</v>
      </c>
      <c r="D197" s="107"/>
      <c r="E197" s="107"/>
      <c r="F197" s="107"/>
      <c r="G197" s="107"/>
      <c r="H197" s="107"/>
      <c r="I197" s="107"/>
      <c r="J197" s="108"/>
    </row>
    <row r="198" spans="2:10" x14ac:dyDescent="0.25">
      <c r="B198" s="90" t="s">
        <v>414</v>
      </c>
      <c r="C198">
        <v>1</v>
      </c>
      <c r="J198" s="80"/>
    </row>
    <row r="199" spans="2:10" x14ac:dyDescent="0.25">
      <c r="B199" s="90" t="s">
        <v>415</v>
      </c>
      <c r="C199" t="s">
        <v>528</v>
      </c>
      <c r="J199" s="80"/>
    </row>
    <row r="200" spans="2:10" x14ac:dyDescent="0.25">
      <c r="B200" s="90" t="s">
        <v>416</v>
      </c>
      <c r="C200" t="s">
        <v>530</v>
      </c>
      <c r="J200" s="80"/>
    </row>
    <row r="201" spans="2:10" x14ac:dyDescent="0.25">
      <c r="B201" s="90" t="s">
        <v>418</v>
      </c>
      <c r="C201" t="s">
        <v>432</v>
      </c>
      <c r="J201" s="80"/>
    </row>
    <row r="202" spans="2:10" x14ac:dyDescent="0.25">
      <c r="B202" s="90" t="s">
        <v>420</v>
      </c>
      <c r="C202" t="s">
        <v>597</v>
      </c>
      <c r="J202" s="80"/>
    </row>
    <row r="203" spans="2:10" x14ac:dyDescent="0.25">
      <c r="B203" s="90"/>
      <c r="J203" s="80"/>
    </row>
    <row r="204" spans="2:10" ht="15.75" x14ac:dyDescent="0.25">
      <c r="B204" s="92" t="s">
        <v>421</v>
      </c>
      <c r="J204" s="80"/>
    </row>
    <row r="205" spans="2:10" x14ac:dyDescent="0.25">
      <c r="B205" s="93" t="s">
        <v>422</v>
      </c>
      <c r="C205" s="9" t="s">
        <v>423</v>
      </c>
      <c r="D205" s="9" t="s">
        <v>415</v>
      </c>
      <c r="E205" s="9" t="s">
        <v>418</v>
      </c>
      <c r="F205" s="9" t="s">
        <v>416</v>
      </c>
      <c r="G205" s="9" t="s">
        <v>424</v>
      </c>
      <c r="H205" s="9" t="s">
        <v>425</v>
      </c>
      <c r="I205" s="9" t="s">
        <v>426</v>
      </c>
      <c r="J205" s="94" t="s">
        <v>420</v>
      </c>
    </row>
    <row r="206" spans="2:10" x14ac:dyDescent="0.25">
      <c r="B206" s="101" t="e">
        <v>#REF!</v>
      </c>
      <c r="C206" s="24">
        <v>19.829999999999998</v>
      </c>
      <c r="D206" s="24" t="e">
        <v>#REF!</v>
      </c>
      <c r="E206" s="24" t="s">
        <v>419</v>
      </c>
      <c r="F206" s="24" t="s">
        <v>417</v>
      </c>
      <c r="G206" s="24"/>
      <c r="H206" s="24" t="s">
        <v>429</v>
      </c>
      <c r="I206" s="24" t="e">
        <v>#NAME?</v>
      </c>
      <c r="J206" s="102"/>
    </row>
    <row r="207" spans="2:10" x14ac:dyDescent="0.25">
      <c r="B207" s="90" t="s">
        <v>546</v>
      </c>
      <c r="C207">
        <v>6.33</v>
      </c>
      <c r="D207" t="s">
        <v>522</v>
      </c>
      <c r="E207" t="s">
        <v>432</v>
      </c>
      <c r="F207" t="s">
        <v>417</v>
      </c>
      <c r="H207" t="s">
        <v>429</v>
      </c>
      <c r="I207" t="s">
        <v>493</v>
      </c>
      <c r="J207" s="80"/>
    </row>
    <row r="208" spans="2:10" x14ac:dyDescent="0.25">
      <c r="B208" s="109" t="s">
        <v>511</v>
      </c>
      <c r="C208" s="110">
        <v>51969.43</v>
      </c>
      <c r="D208" s="110" t="s">
        <v>510</v>
      </c>
      <c r="E208" s="110" t="s">
        <v>432</v>
      </c>
      <c r="F208" s="110" t="s">
        <v>434</v>
      </c>
      <c r="G208" s="110"/>
      <c r="H208" s="110" t="s">
        <v>429</v>
      </c>
      <c r="I208" s="110" t="e">
        <v>#NAME?</v>
      </c>
      <c r="J208" s="111"/>
    </row>
    <row r="209" spans="1:10" x14ac:dyDescent="0.25">
      <c r="B209" s="90" t="s">
        <v>550</v>
      </c>
      <c r="C209">
        <v>48616.57</v>
      </c>
      <c r="D209" t="s">
        <v>549</v>
      </c>
      <c r="E209" t="s">
        <v>432</v>
      </c>
      <c r="F209" t="s">
        <v>434</v>
      </c>
      <c r="H209" t="s">
        <v>429</v>
      </c>
      <c r="I209" t="s">
        <v>430</v>
      </c>
      <c r="J209" s="80"/>
    </row>
    <row r="210" spans="1:10" x14ac:dyDescent="0.25">
      <c r="B210" s="90" t="s">
        <v>506</v>
      </c>
      <c r="C210">
        <v>169.23</v>
      </c>
      <c r="D210" t="s">
        <v>505</v>
      </c>
      <c r="E210" t="s">
        <v>432</v>
      </c>
      <c r="F210" t="s">
        <v>433</v>
      </c>
      <c r="H210" t="s">
        <v>429</v>
      </c>
      <c r="I210" t="s">
        <v>430</v>
      </c>
      <c r="J210" s="80"/>
    </row>
    <row r="211" spans="1:10" x14ac:dyDescent="0.25">
      <c r="B211" s="90" t="s">
        <v>552</v>
      </c>
      <c r="C211">
        <v>-0.61399999999999999</v>
      </c>
      <c r="D211" t="s">
        <v>551</v>
      </c>
      <c r="E211" t="s">
        <v>432</v>
      </c>
      <c r="F211" t="s">
        <v>417</v>
      </c>
      <c r="H211" t="s">
        <v>429</v>
      </c>
      <c r="I211" t="s">
        <v>430</v>
      </c>
      <c r="J211" s="80"/>
    </row>
    <row r="212" spans="1:10" x14ac:dyDescent="0.25">
      <c r="B212" s="90" t="s">
        <v>554</v>
      </c>
      <c r="C212">
        <v>-0.54900000000000004</v>
      </c>
      <c r="D212" t="s">
        <v>553</v>
      </c>
      <c r="E212" t="s">
        <v>432</v>
      </c>
      <c r="F212" t="s">
        <v>428</v>
      </c>
      <c r="H212" t="s">
        <v>429</v>
      </c>
      <c r="I212" t="s">
        <v>430</v>
      </c>
      <c r="J212" s="80"/>
    </row>
    <row r="213" spans="1:10" x14ac:dyDescent="0.25">
      <c r="B213" s="90" t="s">
        <v>555</v>
      </c>
      <c r="C213">
        <v>1.0900000000000001</v>
      </c>
      <c r="F213" t="s">
        <v>417</v>
      </c>
      <c r="G213" t="s">
        <v>443</v>
      </c>
      <c r="H213" t="s">
        <v>435</v>
      </c>
      <c r="I213" t="s">
        <v>436</v>
      </c>
      <c r="J213" s="80"/>
    </row>
    <row r="214" spans="1:10" x14ac:dyDescent="0.25">
      <c r="B214" s="90" t="s">
        <v>556</v>
      </c>
      <c r="C214">
        <v>0.20499999999999999</v>
      </c>
      <c r="F214" t="s">
        <v>417</v>
      </c>
      <c r="G214" t="s">
        <v>443</v>
      </c>
      <c r="H214" t="s">
        <v>435</v>
      </c>
      <c r="I214" t="s">
        <v>436</v>
      </c>
      <c r="J214" s="80"/>
    </row>
    <row r="215" spans="1:10" x14ac:dyDescent="0.25">
      <c r="B215" s="90" t="s">
        <v>557</v>
      </c>
      <c r="C215">
        <v>4.2999999999999997E-2</v>
      </c>
      <c r="F215" t="s">
        <v>417</v>
      </c>
      <c r="G215" t="s">
        <v>443</v>
      </c>
      <c r="H215" t="s">
        <v>435</v>
      </c>
      <c r="I215" t="s">
        <v>436</v>
      </c>
      <c r="J215" s="80"/>
    </row>
    <row r="216" spans="1:10" x14ac:dyDescent="0.25">
      <c r="B216" s="90" t="s">
        <v>558</v>
      </c>
      <c r="C216">
        <v>6.4000000000000001E-2</v>
      </c>
      <c r="F216" t="s">
        <v>417</v>
      </c>
      <c r="G216" t="s">
        <v>443</v>
      </c>
      <c r="H216" t="s">
        <v>435</v>
      </c>
      <c r="I216" t="s">
        <v>436</v>
      </c>
      <c r="J216" s="80"/>
    </row>
    <row r="217" spans="1:10" x14ac:dyDescent="0.25">
      <c r="B217" s="95" t="s">
        <v>559</v>
      </c>
      <c r="C217" s="96">
        <v>1.95</v>
      </c>
      <c r="D217" s="96"/>
      <c r="E217" s="96"/>
      <c r="F217" s="96" t="s">
        <v>417</v>
      </c>
      <c r="G217" s="96" t="s">
        <v>443</v>
      </c>
      <c r="H217" s="96" t="s">
        <v>435</v>
      </c>
      <c r="I217" s="96" t="s">
        <v>436</v>
      </c>
      <c r="J217" s="85"/>
    </row>
    <row r="223" spans="1:10" x14ac:dyDescent="0.25">
      <c r="A223" t="s">
        <v>598</v>
      </c>
      <c r="B223" s="112"/>
      <c r="C223" s="112" t="s">
        <v>599</v>
      </c>
      <c r="D223" s="112" t="s">
        <v>600</v>
      </c>
      <c r="E223" s="112" t="s">
        <v>601</v>
      </c>
    </row>
    <row r="224" spans="1:10" x14ac:dyDescent="0.25">
      <c r="B224" s="112" t="s">
        <v>155</v>
      </c>
      <c r="C224" s="112">
        <v>1101</v>
      </c>
      <c r="D224" s="112">
        <f xml:space="preserve"> 3.71746323529411+0.782536764705882</f>
        <v>4.499999999999992</v>
      </c>
      <c r="E224" s="112">
        <f>D224/C224</f>
        <v>4.0871934604904559E-3</v>
      </c>
    </row>
    <row r="225" spans="1:10" x14ac:dyDescent="0.25">
      <c r="B225" s="112" t="s">
        <v>602</v>
      </c>
      <c r="C225" s="112">
        <v>681.9</v>
      </c>
      <c r="D225" s="112">
        <f>C225*E225</f>
        <v>2.7870572207084416</v>
      </c>
      <c r="E225" s="112">
        <f>E224</f>
        <v>4.0871934604904559E-3</v>
      </c>
    </row>
    <row r="228" spans="1:10" ht="15.75" x14ac:dyDescent="0.25">
      <c r="A228" t="s">
        <v>603</v>
      </c>
      <c r="B228" s="97" t="s">
        <v>413</v>
      </c>
      <c r="C228" s="98" t="s">
        <v>604</v>
      </c>
      <c r="D228" s="99"/>
      <c r="E228" s="99"/>
      <c r="F228" s="99"/>
      <c r="G228" s="99"/>
      <c r="H228" s="99"/>
      <c r="I228" s="99"/>
      <c r="J228" s="100"/>
    </row>
    <row r="229" spans="1:10" x14ac:dyDescent="0.25">
      <c r="B229" s="90" t="s">
        <v>414</v>
      </c>
      <c r="C229">
        <v>1</v>
      </c>
      <c r="J229" s="80"/>
    </row>
    <row r="230" spans="1:10" x14ac:dyDescent="0.25">
      <c r="B230" s="90" t="s">
        <v>415</v>
      </c>
      <c r="C230" t="s">
        <v>605</v>
      </c>
      <c r="J230" s="80"/>
    </row>
    <row r="231" spans="1:10" x14ac:dyDescent="0.25">
      <c r="B231" s="90" t="s">
        <v>416</v>
      </c>
      <c r="C231" t="s">
        <v>595</v>
      </c>
      <c r="J231" s="80"/>
    </row>
    <row r="232" spans="1:10" x14ac:dyDescent="0.25">
      <c r="B232" s="90" t="s">
        <v>418</v>
      </c>
      <c r="C232" t="s">
        <v>432</v>
      </c>
      <c r="J232" s="80"/>
    </row>
    <row r="233" spans="1:10" x14ac:dyDescent="0.25">
      <c r="B233" s="90" t="s">
        <v>420</v>
      </c>
      <c r="C233" t="s">
        <v>929</v>
      </c>
      <c r="J233" s="80"/>
    </row>
    <row r="234" spans="1:10" x14ac:dyDescent="0.25">
      <c r="B234" s="90"/>
      <c r="J234" s="80"/>
    </row>
    <row r="235" spans="1:10" ht="15.75" x14ac:dyDescent="0.25">
      <c r="B235" s="92" t="s">
        <v>421</v>
      </c>
      <c r="J235" s="80"/>
    </row>
    <row r="236" spans="1:10" x14ac:dyDescent="0.25">
      <c r="B236" s="93" t="s">
        <v>422</v>
      </c>
      <c r="C236" s="9" t="s">
        <v>423</v>
      </c>
      <c r="D236" s="9" t="s">
        <v>415</v>
      </c>
      <c r="E236" s="9" t="s">
        <v>418</v>
      </c>
      <c r="F236" s="9" t="s">
        <v>416</v>
      </c>
      <c r="G236" s="9" t="s">
        <v>424</v>
      </c>
      <c r="H236" s="9" t="s">
        <v>425</v>
      </c>
      <c r="I236" s="9" t="s">
        <v>426</v>
      </c>
      <c r="J236" s="94" t="s">
        <v>420</v>
      </c>
    </row>
    <row r="237" spans="1:10" x14ac:dyDescent="0.25">
      <c r="B237" s="90" t="s">
        <v>585</v>
      </c>
      <c r="C237">
        <v>289</v>
      </c>
      <c r="D237" t="s">
        <v>584</v>
      </c>
      <c r="E237" t="s">
        <v>419</v>
      </c>
      <c r="F237" t="s">
        <v>586</v>
      </c>
      <c r="H237" t="s">
        <v>429</v>
      </c>
      <c r="I237" t="s">
        <v>606</v>
      </c>
      <c r="J237" s="80"/>
    </row>
    <row r="238" spans="1:10" x14ac:dyDescent="0.25">
      <c r="B238" s="90" t="s">
        <v>588</v>
      </c>
      <c r="C238">
        <v>1713</v>
      </c>
      <c r="D238" t="s">
        <v>588</v>
      </c>
      <c r="E238" t="s">
        <v>419</v>
      </c>
      <c r="F238" t="s">
        <v>586</v>
      </c>
      <c r="H238" t="s">
        <v>429</v>
      </c>
      <c r="I238" t="s">
        <v>430</v>
      </c>
      <c r="J238" s="80"/>
    </row>
    <row r="239" spans="1:10" x14ac:dyDescent="0.25">
      <c r="B239" s="90" t="s">
        <v>590</v>
      </c>
      <c r="C239">
        <v>1994</v>
      </c>
      <c r="D239" t="s">
        <v>589</v>
      </c>
      <c r="E239" t="s">
        <v>462</v>
      </c>
      <c r="F239" t="s">
        <v>586</v>
      </c>
      <c r="H239" t="s">
        <v>429</v>
      </c>
      <c r="I239" t="s">
        <v>430</v>
      </c>
      <c r="J239" s="80"/>
    </row>
    <row r="240" spans="1:10" x14ac:dyDescent="0.25">
      <c r="B240" s="90" t="s">
        <v>591</v>
      </c>
      <c r="C240">
        <v>102</v>
      </c>
      <c r="D240" t="s">
        <v>584</v>
      </c>
      <c r="E240" t="s">
        <v>419</v>
      </c>
      <c r="F240" t="s">
        <v>586</v>
      </c>
      <c r="H240" t="s">
        <v>429</v>
      </c>
      <c r="I240" t="s">
        <v>606</v>
      </c>
      <c r="J240" s="80"/>
    </row>
    <row r="241" spans="1:10" x14ac:dyDescent="0.25">
      <c r="B241" s="90" t="s">
        <v>460</v>
      </c>
      <c r="C241">
        <v>1.94</v>
      </c>
      <c r="D241" t="s">
        <v>461</v>
      </c>
      <c r="E241" t="s">
        <v>462</v>
      </c>
      <c r="F241" t="s">
        <v>417</v>
      </c>
      <c r="H241" t="s">
        <v>429</v>
      </c>
      <c r="I241" t="s">
        <v>430</v>
      </c>
      <c r="J241" s="80"/>
    </row>
    <row r="242" spans="1:10" x14ac:dyDescent="0.25">
      <c r="B242" s="95" t="s">
        <v>463</v>
      </c>
      <c r="C242" s="96">
        <v>1.94</v>
      </c>
      <c r="D242" s="96" t="s">
        <v>464</v>
      </c>
      <c r="E242" s="96" t="s">
        <v>462</v>
      </c>
      <c r="F242" s="96" t="s">
        <v>417</v>
      </c>
      <c r="G242" s="96"/>
      <c r="H242" s="96" t="s">
        <v>429</v>
      </c>
      <c r="I242" s="96" t="s">
        <v>430</v>
      </c>
      <c r="J242" s="85"/>
    </row>
    <row r="244" spans="1:10" x14ac:dyDescent="0.25">
      <c r="A244" t="s">
        <v>607</v>
      </c>
      <c r="B244" s="113"/>
      <c r="C244" s="114" t="s">
        <v>608</v>
      </c>
      <c r="D244" s="114" t="s">
        <v>609</v>
      </c>
      <c r="E244" s="115" t="s">
        <v>610</v>
      </c>
    </row>
    <row r="245" spans="1:10" x14ac:dyDescent="0.25">
      <c r="B245" s="116" t="s">
        <v>611</v>
      </c>
      <c r="C245" s="112">
        <v>997</v>
      </c>
      <c r="D245" s="112">
        <v>4.2</v>
      </c>
      <c r="E245" s="117">
        <v>18.015000000000001</v>
      </c>
    </row>
    <row r="246" spans="1:10" x14ac:dyDescent="0.25">
      <c r="B246" s="116" t="s">
        <v>612</v>
      </c>
      <c r="C246" s="112">
        <v>0.64800000000000002</v>
      </c>
      <c r="D246" s="112"/>
      <c r="E246" s="117">
        <v>16.04</v>
      </c>
    </row>
    <row r="247" spans="1:10" x14ac:dyDescent="0.25">
      <c r="B247" s="116" t="s">
        <v>155</v>
      </c>
      <c r="C247" s="112">
        <v>1.7749999999999999</v>
      </c>
      <c r="D247" s="112"/>
      <c r="E247" s="117">
        <v>44.01</v>
      </c>
    </row>
    <row r="248" spans="1:10" x14ac:dyDescent="0.25">
      <c r="B248" s="116" t="s">
        <v>613</v>
      </c>
      <c r="C248" s="112">
        <v>1.292</v>
      </c>
      <c r="D248" s="112"/>
      <c r="E248" s="117">
        <v>31.998999999999999</v>
      </c>
    </row>
    <row r="249" spans="1:10" x14ac:dyDescent="0.25">
      <c r="B249" s="116" t="s">
        <v>614</v>
      </c>
      <c r="C249" s="112">
        <v>2.3099999999999999E-2</v>
      </c>
      <c r="D249" s="112"/>
      <c r="E249" s="117">
        <v>18.015000000000001</v>
      </c>
    </row>
    <row r="250" spans="1:10" x14ac:dyDescent="0.25">
      <c r="B250" s="118" t="s">
        <v>615</v>
      </c>
      <c r="C250" s="119">
        <v>1.1299999999999999</v>
      </c>
      <c r="D250" s="119"/>
      <c r="E250" s="120">
        <v>28.013000000000002</v>
      </c>
    </row>
    <row r="252" spans="1:10" x14ac:dyDescent="0.25">
      <c r="A252" t="s">
        <v>616</v>
      </c>
      <c r="B252" s="113"/>
      <c r="C252" s="114"/>
      <c r="D252" s="114" t="s">
        <v>617</v>
      </c>
      <c r="E252" s="115" t="s">
        <v>618</v>
      </c>
    </row>
    <row r="253" spans="1:10" x14ac:dyDescent="0.25">
      <c r="B253" s="116" t="s">
        <v>619</v>
      </c>
      <c r="C253" s="112"/>
      <c r="D253" s="112">
        <v>4</v>
      </c>
      <c r="E253" s="117">
        <f>D253/100</f>
        <v>0.04</v>
      </c>
    </row>
    <row r="254" spans="1:10" x14ac:dyDescent="0.25">
      <c r="B254" s="116" t="s">
        <v>620</v>
      </c>
      <c r="C254" s="112" t="s">
        <v>621</v>
      </c>
      <c r="D254" s="112">
        <v>0.33</v>
      </c>
      <c r="E254" s="117">
        <f t="shared" ref="E254:E256" si="1">D254/100</f>
        <v>3.3E-3</v>
      </c>
    </row>
    <row r="255" spans="1:10" x14ac:dyDescent="0.25">
      <c r="B255" s="116"/>
      <c r="C255" s="112" t="s">
        <v>622</v>
      </c>
      <c r="D255" s="112">
        <f>(D254+D256)/2</f>
        <v>0.97000000000000008</v>
      </c>
      <c r="E255" s="117">
        <f t="shared" si="1"/>
        <v>9.7000000000000003E-3</v>
      </c>
    </row>
    <row r="256" spans="1:10" x14ac:dyDescent="0.25">
      <c r="B256" s="118"/>
      <c r="C256" s="119" t="s">
        <v>623</v>
      </c>
      <c r="D256" s="119">
        <v>1.61</v>
      </c>
      <c r="E256" s="120">
        <f t="shared" si="1"/>
        <v>1.61E-2</v>
      </c>
    </row>
    <row r="258" spans="1:6" x14ac:dyDescent="0.25">
      <c r="A258" t="s">
        <v>624</v>
      </c>
      <c r="B258" s="121"/>
      <c r="C258" s="99" t="s">
        <v>625</v>
      </c>
      <c r="D258" s="100" t="s">
        <v>626</v>
      </c>
    </row>
    <row r="259" spans="1:6" x14ac:dyDescent="0.25">
      <c r="B259" s="121" t="s">
        <v>627</v>
      </c>
      <c r="C259" s="337">
        <f>C260*(1+E255)</f>
        <v>1050.088</v>
      </c>
      <c r="D259" s="100"/>
    </row>
    <row r="260" spans="1:6" x14ac:dyDescent="0.25">
      <c r="B260" s="122" t="s">
        <v>930</v>
      </c>
      <c r="C260">
        <f>C261*(1+E253)</f>
        <v>1040</v>
      </c>
      <c r="D260" s="80">
        <f>C259*E255</f>
        <v>10.1858536</v>
      </c>
    </row>
    <row r="261" spans="1:6" x14ac:dyDescent="0.25">
      <c r="B261" s="123" t="s">
        <v>605</v>
      </c>
      <c r="C261" s="96">
        <v>1000</v>
      </c>
      <c r="D261" s="85">
        <f>C260*E253</f>
        <v>41.6</v>
      </c>
    </row>
    <row r="263" spans="1:6" x14ac:dyDescent="0.25">
      <c r="A263" t="s">
        <v>628</v>
      </c>
      <c r="B263" s="124"/>
      <c r="C263" s="125"/>
      <c r="D263" s="125" t="s">
        <v>629</v>
      </c>
      <c r="E263" s="125" t="s">
        <v>625</v>
      </c>
      <c r="F263" s="126" t="s">
        <v>630</v>
      </c>
    </row>
    <row r="264" spans="1:6" x14ac:dyDescent="0.25">
      <c r="B264" s="122" t="s">
        <v>631</v>
      </c>
      <c r="C264" t="s">
        <v>155</v>
      </c>
      <c r="D264">
        <v>1</v>
      </c>
      <c r="E264">
        <f>C259</f>
        <v>1050.088</v>
      </c>
      <c r="F264" s="80">
        <f>E264/$C$247</f>
        <v>591.59887323943667</v>
      </c>
    </row>
    <row r="265" spans="1:6" x14ac:dyDescent="0.25">
      <c r="B265" s="121" t="s">
        <v>632</v>
      </c>
      <c r="C265" s="127" t="s">
        <v>155</v>
      </c>
      <c r="D265" s="99">
        <v>0.99936954079644191</v>
      </c>
      <c r="E265" s="99">
        <f>E264</f>
        <v>1050.088</v>
      </c>
      <c r="F265" s="100">
        <f>E265/$C$247</f>
        <v>591.59887323943667</v>
      </c>
    </row>
    <row r="266" spans="1:6" x14ac:dyDescent="0.25">
      <c r="B266" s="122"/>
      <c r="C266" s="95" t="s">
        <v>612</v>
      </c>
      <c r="D266" s="96">
        <v>6.304592035580826E-4</v>
      </c>
      <c r="E266" s="96">
        <f>F266*C246</f>
        <v>0.24184283452339936</v>
      </c>
      <c r="F266" s="85">
        <f>F265/D265*D266</f>
        <v>0.37321425080771503</v>
      </c>
    </row>
    <row r="267" spans="1:6" x14ac:dyDescent="0.25">
      <c r="B267" s="123"/>
      <c r="C267" s="96" t="s">
        <v>633</v>
      </c>
      <c r="D267" s="96"/>
      <c r="E267" s="96">
        <f>SUM(E265:E266)</f>
        <v>1050.3298428345233</v>
      </c>
      <c r="F267" s="85">
        <f>SUM(F265:F266)</f>
        <v>591.97208749024435</v>
      </c>
    </row>
    <row r="271" spans="1:6" x14ac:dyDescent="0.25">
      <c r="A271" t="s">
        <v>413</v>
      </c>
      <c r="B271" t="s">
        <v>916</v>
      </c>
    </row>
    <row r="272" spans="1:6" x14ac:dyDescent="0.25">
      <c r="A272" t="s">
        <v>414</v>
      </c>
      <c r="B272">
        <v>1000</v>
      </c>
    </row>
    <row r="273" spans="1:9" x14ac:dyDescent="0.25">
      <c r="A273" t="s">
        <v>415</v>
      </c>
      <c r="B273" t="s">
        <v>917</v>
      </c>
    </row>
    <row r="274" spans="1:9" x14ac:dyDescent="0.25">
      <c r="A274" t="s">
        <v>416</v>
      </c>
      <c r="B274" t="s">
        <v>417</v>
      </c>
    </row>
    <row r="275" spans="1:9" x14ac:dyDescent="0.25">
      <c r="A275" t="s">
        <v>418</v>
      </c>
      <c r="B275" t="s">
        <v>459</v>
      </c>
    </row>
    <row r="276" spans="1:9" x14ac:dyDescent="0.25">
      <c r="A276" t="s">
        <v>420</v>
      </c>
      <c r="B276" t="s">
        <v>918</v>
      </c>
    </row>
    <row r="278" spans="1:9" x14ac:dyDescent="0.25">
      <c r="A278" t="s">
        <v>421</v>
      </c>
    </row>
    <row r="279" spans="1:9" x14ac:dyDescent="0.25">
      <c r="A279" t="s">
        <v>422</v>
      </c>
      <c r="B279" t="s">
        <v>423</v>
      </c>
      <c r="C279" t="s">
        <v>415</v>
      </c>
      <c r="D279" t="s">
        <v>418</v>
      </c>
      <c r="E279" t="s">
        <v>416</v>
      </c>
      <c r="F279" t="s">
        <v>424</v>
      </c>
      <c r="G279" t="s">
        <v>425</v>
      </c>
      <c r="H279" t="s">
        <v>426</v>
      </c>
      <c r="I279" t="s">
        <v>420</v>
      </c>
    </row>
    <row r="280" spans="1:9" x14ac:dyDescent="0.25">
      <c r="A280" t="s">
        <v>916</v>
      </c>
      <c r="B280">
        <v>1000</v>
      </c>
      <c r="C280" t="s">
        <v>917</v>
      </c>
      <c r="D280" t="s">
        <v>459</v>
      </c>
      <c r="E280" t="s">
        <v>417</v>
      </c>
      <c r="G280" t="s">
        <v>427</v>
      </c>
      <c r="H280" t="s">
        <v>919</v>
      </c>
    </row>
    <row r="281" spans="1:9" x14ac:dyDescent="0.25">
      <c r="A281" t="s">
        <v>920</v>
      </c>
      <c r="B281">
        <v>1041.6666666666699</v>
      </c>
      <c r="C281" t="s">
        <v>921</v>
      </c>
      <c r="D281" t="s">
        <v>419</v>
      </c>
      <c r="E281" t="s">
        <v>417</v>
      </c>
      <c r="G281" t="s">
        <v>429</v>
      </c>
      <c r="H281" t="s">
        <v>922</v>
      </c>
      <c r="I281" t="s">
        <v>923</v>
      </c>
    </row>
    <row r="282" spans="1:9" x14ac:dyDescent="0.25">
      <c r="A282" t="s">
        <v>924</v>
      </c>
      <c r="B282">
        <v>472</v>
      </c>
      <c r="C282" t="s">
        <v>924</v>
      </c>
      <c r="D282" t="s">
        <v>419</v>
      </c>
      <c r="E282" t="s">
        <v>925</v>
      </c>
      <c r="G282" t="s">
        <v>429</v>
      </c>
      <c r="H282" t="s">
        <v>430</v>
      </c>
      <c r="I282" t="s">
        <v>926</v>
      </c>
    </row>
    <row r="283" spans="1:9" x14ac:dyDescent="0.25">
      <c r="A283" t="s">
        <v>460</v>
      </c>
      <c r="B283">
        <v>1.38</v>
      </c>
      <c r="C283" t="s">
        <v>461</v>
      </c>
      <c r="D283" t="s">
        <v>462</v>
      </c>
      <c r="E283" t="s">
        <v>417</v>
      </c>
      <c r="G283" t="s">
        <v>429</v>
      </c>
      <c r="H283" t="s">
        <v>430</v>
      </c>
    </row>
    <row r="284" spans="1:9" x14ac:dyDescent="0.25">
      <c r="A284" t="s">
        <v>463</v>
      </c>
      <c r="B284">
        <v>1.38</v>
      </c>
      <c r="C284" t="s">
        <v>464</v>
      </c>
      <c r="D284" t="s">
        <v>462</v>
      </c>
      <c r="E284" t="s">
        <v>417</v>
      </c>
      <c r="G284" t="s">
        <v>429</v>
      </c>
      <c r="H284" t="s">
        <v>430</v>
      </c>
    </row>
    <row r="285" spans="1:9" x14ac:dyDescent="0.25">
      <c r="A285" t="s">
        <v>927</v>
      </c>
      <c r="B285">
        <v>41.666666666666664</v>
      </c>
      <c r="E285" t="s">
        <v>417</v>
      </c>
      <c r="F285" t="s">
        <v>443</v>
      </c>
      <c r="G285" t="s">
        <v>435</v>
      </c>
      <c r="H285" t="s">
        <v>436</v>
      </c>
      <c r="I285" t="s">
        <v>928</v>
      </c>
    </row>
    <row r="291" spans="1:16" x14ac:dyDescent="0.25">
      <c r="A291" s="338" t="s">
        <v>931</v>
      </c>
      <c r="B291" s="338"/>
      <c r="C291" s="338"/>
      <c r="D291" s="338"/>
      <c r="E291" s="338"/>
      <c r="F291" s="338"/>
      <c r="G291" s="338"/>
      <c r="H291" s="338"/>
      <c r="I291" s="338"/>
      <c r="J291" s="338"/>
      <c r="K291" s="338"/>
      <c r="L291" s="338"/>
      <c r="M291" s="338"/>
      <c r="N291" s="338"/>
      <c r="O291" s="338"/>
      <c r="P291" s="338"/>
    </row>
    <row r="293" spans="1:16" x14ac:dyDescent="0.25">
      <c r="A293" t="s">
        <v>932</v>
      </c>
    </row>
    <row r="295" spans="1:16" x14ac:dyDescent="0.25">
      <c r="F295" t="s">
        <v>935</v>
      </c>
    </row>
    <row r="296" spans="1:16" x14ac:dyDescent="0.25">
      <c r="F296" s="9" t="s">
        <v>933</v>
      </c>
      <c r="G296" s="9" t="s">
        <v>939</v>
      </c>
      <c r="H296" t="s">
        <v>944</v>
      </c>
    </row>
    <row r="297" spans="1:16" x14ac:dyDescent="0.25">
      <c r="F297" t="s">
        <v>934</v>
      </c>
      <c r="G297" t="s">
        <v>938</v>
      </c>
      <c r="H297">
        <f>3*H300+8*H299</f>
        <v>44</v>
      </c>
    </row>
    <row r="298" spans="1:16" x14ac:dyDescent="0.25">
      <c r="F298" t="s">
        <v>936</v>
      </c>
      <c r="G298" t="s">
        <v>937</v>
      </c>
      <c r="H298">
        <f>H299+H301+3*H302</f>
        <v>63</v>
      </c>
    </row>
    <row r="299" spans="1:16" x14ac:dyDescent="0.25">
      <c r="G299" t="s">
        <v>940</v>
      </c>
      <c r="H299">
        <v>1</v>
      </c>
    </row>
    <row r="300" spans="1:16" x14ac:dyDescent="0.25">
      <c r="G300" t="s">
        <v>941</v>
      </c>
      <c r="H300">
        <v>12</v>
      </c>
    </row>
    <row r="301" spans="1:16" x14ac:dyDescent="0.25">
      <c r="G301" t="s">
        <v>942</v>
      </c>
      <c r="H301">
        <v>14</v>
      </c>
    </row>
    <row r="302" spans="1:16" x14ac:dyDescent="0.25">
      <c r="G302" t="s">
        <v>943</v>
      </c>
      <c r="H302">
        <v>16</v>
      </c>
    </row>
    <row r="305" spans="6:8" x14ac:dyDescent="0.25">
      <c r="F305" t="s">
        <v>945</v>
      </c>
    </row>
    <row r="306" spans="6:8" x14ac:dyDescent="0.25">
      <c r="F306" t="s">
        <v>934</v>
      </c>
      <c r="G306">
        <v>1.1000000000000001</v>
      </c>
      <c r="H306" t="s">
        <v>442</v>
      </c>
    </row>
    <row r="307" spans="6:8" x14ac:dyDescent="0.25">
      <c r="F307" t="s">
        <v>936</v>
      </c>
      <c r="G307">
        <v>1.5</v>
      </c>
      <c r="H307" t="s">
        <v>442</v>
      </c>
    </row>
    <row r="308" spans="6:8" x14ac:dyDescent="0.25">
      <c r="F308" t="s">
        <v>353</v>
      </c>
      <c r="G308">
        <v>3</v>
      </c>
      <c r="H308" t="s">
        <v>345</v>
      </c>
    </row>
    <row r="332" spans="1:15" x14ac:dyDescent="0.25">
      <c r="A332" s="338" t="s">
        <v>953</v>
      </c>
      <c r="B332" s="338"/>
      <c r="C332" s="338"/>
      <c r="D332" s="338"/>
      <c r="E332" s="338"/>
      <c r="F332" s="338"/>
      <c r="G332" s="338"/>
      <c r="H332" s="338"/>
      <c r="I332" s="338"/>
      <c r="J332" s="338"/>
      <c r="K332" s="338"/>
      <c r="L332" s="338"/>
      <c r="M332" s="338"/>
      <c r="N332" s="338"/>
      <c r="O332" s="338"/>
    </row>
    <row r="335" spans="1:15" x14ac:dyDescent="0.25">
      <c r="A335" t="s">
        <v>954</v>
      </c>
    </row>
    <row r="341" spans="7:11" x14ac:dyDescent="0.25">
      <c r="G341" t="s">
        <v>955</v>
      </c>
    </row>
    <row r="343" spans="7:11" x14ac:dyDescent="0.25">
      <c r="G343" t="s">
        <v>956</v>
      </c>
    </row>
    <row r="344" spans="7:11" x14ac:dyDescent="0.25">
      <c r="J344" t="s">
        <v>962</v>
      </c>
    </row>
    <row r="345" spans="7:11" x14ac:dyDescent="0.25">
      <c r="G345" t="s">
        <v>957</v>
      </c>
      <c r="H345" t="s">
        <v>958</v>
      </c>
      <c r="I345">
        <v>1</v>
      </c>
      <c r="J345">
        <v>0.5</v>
      </c>
      <c r="K345" t="s">
        <v>442</v>
      </c>
    </row>
    <row r="346" spans="7:11" x14ac:dyDescent="0.25">
      <c r="G346" t="s">
        <v>959</v>
      </c>
      <c r="H346" t="s">
        <v>960</v>
      </c>
      <c r="I346">
        <v>1</v>
      </c>
      <c r="J346">
        <v>0.5</v>
      </c>
      <c r="K346" t="s">
        <v>442</v>
      </c>
    </row>
    <row r="347" spans="7:11" x14ac:dyDescent="0.25">
      <c r="G347" t="s">
        <v>961</v>
      </c>
      <c r="I347" s="340">
        <v>1</v>
      </c>
    </row>
    <row r="383" spans="1:11" x14ac:dyDescent="0.25">
      <c r="A383" s="338" t="s">
        <v>968</v>
      </c>
      <c r="B383" s="338"/>
      <c r="C383" s="338"/>
      <c r="D383" s="338"/>
      <c r="E383" s="338"/>
      <c r="F383" s="338"/>
      <c r="G383" s="338"/>
      <c r="H383" s="338"/>
      <c r="I383" s="338"/>
      <c r="J383" s="338"/>
      <c r="K383" s="338"/>
    </row>
    <row r="384" spans="1:11" x14ac:dyDescent="0.25">
      <c r="A384" s="341" t="s">
        <v>971</v>
      </c>
      <c r="B384" t="s">
        <v>972</v>
      </c>
    </row>
    <row r="386" spans="1:3" x14ac:dyDescent="0.25">
      <c r="A386" t="s">
        <v>978</v>
      </c>
      <c r="B386" t="s">
        <v>969</v>
      </c>
    </row>
    <row r="387" spans="1:3" x14ac:dyDescent="0.25">
      <c r="A387" t="s">
        <v>970</v>
      </c>
      <c r="B387" s="9">
        <v>244.44</v>
      </c>
    </row>
    <row r="388" spans="1:3" x14ac:dyDescent="0.25">
      <c r="A388" t="s">
        <v>973</v>
      </c>
      <c r="B388">
        <v>59.08</v>
      </c>
    </row>
    <row r="389" spans="1:3" x14ac:dyDescent="0.25">
      <c r="A389" t="s">
        <v>974</v>
      </c>
      <c r="B389">
        <v>121.47</v>
      </c>
    </row>
    <row r="390" spans="1:3" x14ac:dyDescent="0.25">
      <c r="A390" t="s">
        <v>975</v>
      </c>
      <c r="B390">
        <v>117.31</v>
      </c>
    </row>
    <row r="391" spans="1:3" x14ac:dyDescent="0.25">
      <c r="A391" t="s">
        <v>976</v>
      </c>
      <c r="B391">
        <v>143.85</v>
      </c>
    </row>
    <row r="392" spans="1:3" x14ac:dyDescent="0.25">
      <c r="A392" t="s">
        <v>977</v>
      </c>
      <c r="B392">
        <v>144.16</v>
      </c>
    </row>
    <row r="393" spans="1:3" x14ac:dyDescent="0.25">
      <c r="A393" t="s">
        <v>980</v>
      </c>
      <c r="B393">
        <v>168</v>
      </c>
    </row>
    <row r="396" spans="1:3" x14ac:dyDescent="0.25">
      <c r="A396" t="s">
        <v>979</v>
      </c>
      <c r="B396">
        <v>120</v>
      </c>
      <c r="C396" t="s">
        <v>981</v>
      </c>
    </row>
  </sheetData>
  <hyperlinks>
    <hyperlink ref="C7" r:id="rId1" display="https://doi.org/10.1016/j.ijggc.2023.104039" xr:uid="{6521BBB9-6FB7-4A5F-BC0A-688794DD3880}"/>
    <hyperlink ref="C37" r:id="rId2" display="https://doi.org/10.1016/j.ijggc.2023.104039" xr:uid="{2B210E0A-99B8-4B4B-9F1A-5EF0403D98BB}"/>
    <hyperlink ref="C65" r:id="rId3" display="https://doi.org/10.1016/j.ijggc.2023.104039" xr:uid="{CABF2C6F-6AEF-4A4F-9927-9D5F64D7142A}"/>
    <hyperlink ref="C86" r:id="rId4" display="https://doi.org/10.1016/j.ijggc.2023.104039" xr:uid="{1120701A-3302-4D18-BF9C-68090BA443DF}"/>
    <hyperlink ref="C119" r:id="rId5" display="https://doi.org/10.1016/j.ijggc.2023.104039" xr:uid="{6CCAE90E-BF27-4D61-8699-FA99AE1F2B87}"/>
    <hyperlink ref="C132" r:id="rId6" display="https://doi.org/10.1016/j.ijggc.2023.104039" xr:uid="{7E92B0A0-5809-449A-BF70-BC39D3596986}"/>
    <hyperlink ref="A384" r:id="rId7" xr:uid="{EF1C20E3-ABAC-446C-B6FB-5CA20E90E626}"/>
  </hyperlinks>
  <pageMargins left="0.7" right="0.7" top="0.75" bottom="0.75" header="0.3" footer="0.3"/>
  <pageSetup orientation="portrait" r:id="rId8"/>
  <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82080-8CC1-4369-974F-FE24B16C6B8D}">
  <sheetPr>
    <tabColor theme="5" tint="0.39997558519241921"/>
  </sheetPr>
  <dimension ref="A3:W82"/>
  <sheetViews>
    <sheetView workbookViewId="0">
      <selection activeCell="A23" sqref="A23"/>
    </sheetView>
  </sheetViews>
  <sheetFormatPr defaultRowHeight="15" x14ac:dyDescent="0.25"/>
  <cols>
    <col min="2" max="2" width="36.5703125" bestFit="1" customWidth="1"/>
    <col min="3" max="3" width="11" bestFit="1" customWidth="1"/>
  </cols>
  <sheetData>
    <row r="3" spans="2:9" x14ac:dyDescent="0.25">
      <c r="B3" s="9" t="s">
        <v>635</v>
      </c>
      <c r="H3">
        <v>1</v>
      </c>
      <c r="I3" t="s">
        <v>2083</v>
      </c>
    </row>
    <row r="4" spans="2:9" x14ac:dyDescent="0.25">
      <c r="H4">
        <v>1000000</v>
      </c>
      <c r="I4" t="s">
        <v>637</v>
      </c>
    </row>
    <row r="5" spans="2:9" x14ac:dyDescent="0.25">
      <c r="H5">
        <v>544</v>
      </c>
      <c r="I5" t="s">
        <v>2084</v>
      </c>
    </row>
    <row r="6" spans="2:9" x14ac:dyDescent="0.25">
      <c r="B6" t="s">
        <v>636</v>
      </c>
      <c r="C6">
        <v>25000</v>
      </c>
      <c r="D6" t="s">
        <v>637</v>
      </c>
      <c r="H6">
        <f>H5*1000</f>
        <v>544000</v>
      </c>
      <c r="I6" t="s">
        <v>2085</v>
      </c>
    </row>
    <row r="7" spans="2:9" x14ac:dyDescent="0.25">
      <c r="B7" t="s">
        <v>638</v>
      </c>
      <c r="C7">
        <v>100000</v>
      </c>
      <c r="D7" t="s">
        <v>637</v>
      </c>
    </row>
    <row r="10" spans="2:9" x14ac:dyDescent="0.25">
      <c r="B10" t="s">
        <v>445</v>
      </c>
      <c r="C10" s="53"/>
    </row>
    <row r="11" spans="2:9" x14ac:dyDescent="0.25">
      <c r="C11">
        <v>1.98</v>
      </c>
      <c r="D11" t="s">
        <v>393</v>
      </c>
      <c r="E11" t="s">
        <v>446</v>
      </c>
      <c r="F11" t="s">
        <v>447</v>
      </c>
    </row>
    <row r="12" spans="2:9" x14ac:dyDescent="0.25">
      <c r="C12">
        <v>1.8</v>
      </c>
      <c r="E12" t="s">
        <v>639</v>
      </c>
    </row>
    <row r="13" spans="2:9" x14ac:dyDescent="0.25">
      <c r="C13">
        <v>818.88</v>
      </c>
      <c r="E13" t="s">
        <v>640</v>
      </c>
    </row>
    <row r="14" spans="2:9" x14ac:dyDescent="0.25">
      <c r="C14">
        <v>164</v>
      </c>
      <c r="D14" t="s">
        <v>393</v>
      </c>
      <c r="E14" t="s">
        <v>641</v>
      </c>
    </row>
    <row r="15" spans="2:9" x14ac:dyDescent="0.25">
      <c r="C15">
        <v>941</v>
      </c>
      <c r="D15" t="s">
        <v>393</v>
      </c>
      <c r="E15" t="s">
        <v>642</v>
      </c>
    </row>
    <row r="16" spans="2:9" x14ac:dyDescent="0.25">
      <c r="B16" s="329" t="s">
        <v>903</v>
      </c>
      <c r="C16" s="329">
        <v>450</v>
      </c>
      <c r="D16" s="329" t="s">
        <v>393</v>
      </c>
      <c r="E16" s="329" t="s">
        <v>896</v>
      </c>
      <c r="F16" s="329"/>
      <c r="H16" t="s">
        <v>897</v>
      </c>
    </row>
    <row r="18" spans="1:6" x14ac:dyDescent="0.25">
      <c r="A18" t="s">
        <v>348</v>
      </c>
      <c r="B18" s="329" t="s">
        <v>1417</v>
      </c>
      <c r="C18" s="330">
        <f>'Drilling - energy_material_6km'!AA47+'Drilling - energy_material_6km'!W48</f>
        <v>1051.1646653877592</v>
      </c>
      <c r="D18" s="329" t="s">
        <v>444</v>
      </c>
      <c r="E18" s="331" t="s">
        <v>895</v>
      </c>
    </row>
    <row r="19" spans="1:6" x14ac:dyDescent="0.25">
      <c r="B19" s="329" t="s">
        <v>1412</v>
      </c>
      <c r="C19" s="330">
        <f>'Drilling - energy_material_4_5'!AA47+'Drilling - energy_material_4_5'!W48</f>
        <v>1013.161604455447</v>
      </c>
      <c r="D19" s="329" t="s">
        <v>444</v>
      </c>
      <c r="E19" s="331"/>
    </row>
    <row r="20" spans="1:6" x14ac:dyDescent="0.25">
      <c r="B20" s="329" t="s">
        <v>1413</v>
      </c>
      <c r="C20" s="330">
        <f>'Drilling - energy_material_8'!AA47+'Drilling - energy_material_8'!W48</f>
        <v>1740.2868369603561</v>
      </c>
      <c r="D20" s="329" t="s">
        <v>444</v>
      </c>
      <c r="E20" s="331"/>
    </row>
    <row r="23" spans="1:6" x14ac:dyDescent="0.25">
      <c r="B23" t="str">
        <f>E14</f>
        <v>Supercritical, 350 K, 8 Mpa</v>
      </c>
      <c r="C23" s="53">
        <f>C18*C14</f>
        <v>172391.00512359251</v>
      </c>
      <c r="D23" t="s">
        <v>442</v>
      </c>
    </row>
    <row r="24" spans="1:6" x14ac:dyDescent="0.25">
      <c r="C24" s="128">
        <f>C23/1000</f>
        <v>172.39100512359249</v>
      </c>
      <c r="D24" s="9" t="s">
        <v>449</v>
      </c>
      <c r="F24" t="s">
        <v>901</v>
      </c>
    </row>
    <row r="25" spans="1:6" x14ac:dyDescent="0.25">
      <c r="B25" t="str">
        <f>E15</f>
        <v>Supercritical, 305 K, 30 Mpa</v>
      </c>
      <c r="C25">
        <f>C18*C15</f>
        <v>989145.95012988138</v>
      </c>
      <c r="D25" t="s">
        <v>442</v>
      </c>
    </row>
    <row r="26" spans="1:6" x14ac:dyDescent="0.25">
      <c r="C26" s="128">
        <f>C25/1000</f>
        <v>989.14595012988138</v>
      </c>
      <c r="D26" t="s">
        <v>449</v>
      </c>
    </row>
    <row r="27" spans="1:6" x14ac:dyDescent="0.25">
      <c r="B27" s="329" t="s">
        <v>898</v>
      </c>
      <c r="C27" s="329">
        <f>C18*$C$16</f>
        <v>473024.09942449164</v>
      </c>
      <c r="D27" s="329" t="s">
        <v>442</v>
      </c>
      <c r="E27" s="329"/>
      <c r="F27" s="329"/>
    </row>
    <row r="28" spans="1:6" x14ac:dyDescent="0.25">
      <c r="A28" s="9" t="s">
        <v>1426</v>
      </c>
      <c r="B28" s="329" t="s">
        <v>1411</v>
      </c>
      <c r="C28" s="422">
        <f>C27/1000</f>
        <v>473.02409942449162</v>
      </c>
      <c r="D28" s="329" t="s">
        <v>449</v>
      </c>
      <c r="E28" s="329"/>
      <c r="F28" s="329"/>
    </row>
    <row r="29" spans="1:6" x14ac:dyDescent="0.25">
      <c r="B29" s="329" t="s">
        <v>1412</v>
      </c>
      <c r="C29" s="422">
        <f>C19*$C$16/1000</f>
        <v>455.92272200495114</v>
      </c>
      <c r="D29" s="329"/>
      <c r="E29" s="329"/>
      <c r="F29" s="329"/>
    </row>
    <row r="30" spans="1:6" x14ac:dyDescent="0.25">
      <c r="B30" s="329" t="s">
        <v>1413</v>
      </c>
      <c r="C30" s="422">
        <f>C20*$C$16/1000</f>
        <v>783.12907663216026</v>
      </c>
      <c r="D30" s="329"/>
      <c r="E30" s="329"/>
      <c r="F30" s="329"/>
    </row>
    <row r="31" spans="1:6" x14ac:dyDescent="0.25">
      <c r="C31" s="128"/>
    </row>
    <row r="32" spans="1:6" x14ac:dyDescent="0.25">
      <c r="B32" t="s">
        <v>899</v>
      </c>
      <c r="C32" s="421">
        <v>0.15</v>
      </c>
    </row>
    <row r="33" spans="1:6" x14ac:dyDescent="0.25">
      <c r="A33" s="420" t="s">
        <v>900</v>
      </c>
      <c r="B33" s="329" t="s">
        <v>1411</v>
      </c>
      <c r="C33" s="332">
        <f>co2_tons_6km*$C$32+co2_tons_6km</f>
        <v>543.97771433816536</v>
      </c>
      <c r="D33" s="329" t="s">
        <v>449</v>
      </c>
      <c r="E33" s="329"/>
      <c r="F33" s="329"/>
    </row>
    <row r="34" spans="1:6" x14ac:dyDescent="0.25">
      <c r="B34" s="329" t="s">
        <v>1412</v>
      </c>
      <c r="C34" s="332">
        <f>co2_tons_4_5km*$C$32+co2_tons_4_5km</f>
        <v>524.31113030569384</v>
      </c>
      <c r="D34" s="329"/>
      <c r="E34" s="329"/>
      <c r="F34" s="329"/>
    </row>
    <row r="35" spans="1:6" x14ac:dyDescent="0.25">
      <c r="B35" s="329" t="s">
        <v>1413</v>
      </c>
      <c r="C35" s="332">
        <f>co2_tons_8km*$C$32+co2_tons_8km</f>
        <v>900.59843812698432</v>
      </c>
      <c r="D35" s="329"/>
      <c r="E35" s="329"/>
      <c r="F35" s="329"/>
    </row>
    <row r="37" spans="1:6" x14ac:dyDescent="0.25">
      <c r="B37" t="s">
        <v>643</v>
      </c>
      <c r="C37" s="53">
        <f>SUM('AGS CO2 PPGD'!I2:I129)</f>
        <v>7182.2243342470283</v>
      </c>
    </row>
    <row r="38" spans="1:6" x14ac:dyDescent="0.25">
      <c r="B38" t="s">
        <v>644</v>
      </c>
      <c r="C38" s="53">
        <f>C37*C33</f>
        <v>3906969.97720765</v>
      </c>
      <c r="D38" t="s">
        <v>637</v>
      </c>
      <c r="E38" s="53">
        <f>C38/C7</f>
        <v>39.069699772076497</v>
      </c>
      <c r="F38" t="s">
        <v>645</v>
      </c>
    </row>
    <row r="41" spans="1:6" x14ac:dyDescent="0.25">
      <c r="B41" t="s">
        <v>902</v>
      </c>
      <c r="C41">
        <v>600</v>
      </c>
      <c r="D41" t="s">
        <v>393</v>
      </c>
      <c r="E41" t="s">
        <v>987</v>
      </c>
    </row>
    <row r="79" spans="1:23" x14ac:dyDescent="0.25">
      <c r="A79" s="334"/>
      <c r="B79" s="338" t="s">
        <v>992</v>
      </c>
      <c r="C79" s="334"/>
      <c r="D79" s="334"/>
      <c r="E79" s="334"/>
      <c r="F79" s="334"/>
      <c r="G79" s="334"/>
      <c r="H79" s="334"/>
      <c r="I79" s="334"/>
      <c r="J79" s="334"/>
      <c r="K79" s="334"/>
      <c r="L79" s="334"/>
      <c r="M79" s="334"/>
      <c r="N79" s="334"/>
      <c r="O79" s="334"/>
      <c r="P79" s="334"/>
      <c r="Q79" s="334"/>
      <c r="R79" s="334"/>
      <c r="S79" s="334"/>
      <c r="T79" s="334"/>
      <c r="U79" s="334"/>
      <c r="V79" s="334"/>
      <c r="W79" s="334"/>
    </row>
    <row r="82" spans="2:4" x14ac:dyDescent="0.25">
      <c r="B82" t="s">
        <v>993</v>
      </c>
      <c r="D82" t="s">
        <v>994</v>
      </c>
    </row>
  </sheetData>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C97B8-17B7-4468-AEC2-5107EA6744FB}">
  <sheetPr>
    <tabColor theme="7" tint="-0.249977111117893"/>
  </sheetPr>
  <dimension ref="B3:X23"/>
  <sheetViews>
    <sheetView topLeftCell="B3" workbookViewId="0">
      <selection activeCell="Y29" sqref="Y29"/>
    </sheetView>
  </sheetViews>
  <sheetFormatPr defaultRowHeight="15" x14ac:dyDescent="0.25"/>
  <cols>
    <col min="12" max="12" width="12.85546875" customWidth="1"/>
    <col min="15" max="15" width="16.42578125" customWidth="1"/>
    <col min="22" max="22" width="12" bestFit="1" customWidth="1"/>
  </cols>
  <sheetData>
    <row r="3" spans="2:24" x14ac:dyDescent="0.25">
      <c r="C3" s="9"/>
      <c r="E3" s="9"/>
      <c r="F3" s="9"/>
      <c r="G3" s="9"/>
      <c r="H3" s="9"/>
      <c r="I3" s="9"/>
      <c r="J3" s="9"/>
      <c r="K3" s="9"/>
      <c r="L3" s="9"/>
      <c r="M3" s="9"/>
      <c r="N3" s="9"/>
      <c r="O3" s="9"/>
      <c r="P3" s="9"/>
      <c r="Q3" s="9"/>
      <c r="R3" s="9"/>
      <c r="S3" s="9"/>
      <c r="T3" s="9"/>
    </row>
    <row r="4" spans="2:24" x14ac:dyDescent="0.25">
      <c r="B4" s="9" t="s">
        <v>1576</v>
      </c>
      <c r="C4" s="9"/>
      <c r="D4" s="9" t="s">
        <v>25</v>
      </c>
      <c r="E4" s="9" t="s">
        <v>1577</v>
      </c>
      <c r="F4" s="9" t="s">
        <v>1578</v>
      </c>
      <c r="G4" s="9" t="s">
        <v>1579</v>
      </c>
      <c r="H4" s="9" t="s">
        <v>1584</v>
      </c>
      <c r="I4" s="9"/>
      <c r="J4" s="9" t="s">
        <v>1580</v>
      </c>
      <c r="K4" s="9"/>
      <c r="L4" s="9"/>
      <c r="M4" s="9"/>
      <c r="N4" s="9"/>
      <c r="O4" s="9"/>
      <c r="P4" s="9" t="s">
        <v>1581</v>
      </c>
      <c r="Q4" s="9"/>
      <c r="R4" s="9" t="s">
        <v>1102</v>
      </c>
      <c r="S4" s="9"/>
      <c r="T4" s="9" t="s">
        <v>1475</v>
      </c>
    </row>
    <row r="5" spans="2:24" ht="45" x14ac:dyDescent="0.25">
      <c r="B5" s="9"/>
      <c r="C5" s="9"/>
      <c r="D5" s="9"/>
      <c r="E5" s="9"/>
      <c r="F5" s="9"/>
      <c r="G5" s="9" t="s">
        <v>54</v>
      </c>
      <c r="H5" s="9" t="s">
        <v>1585</v>
      </c>
      <c r="I5" s="9" t="s">
        <v>1588</v>
      </c>
      <c r="J5" s="486" t="s">
        <v>1582</v>
      </c>
      <c r="K5" s="486" t="s">
        <v>371</v>
      </c>
      <c r="L5" s="486" t="s">
        <v>1589</v>
      </c>
      <c r="M5" s="486" t="s">
        <v>1583</v>
      </c>
      <c r="N5" s="486" t="s">
        <v>2087</v>
      </c>
      <c r="O5" s="486" t="s">
        <v>1589</v>
      </c>
      <c r="P5" s="9" t="s">
        <v>397</v>
      </c>
      <c r="Q5" s="9" t="s">
        <v>1587</v>
      </c>
      <c r="R5" s="9" t="s">
        <v>397</v>
      </c>
      <c r="S5" s="9" t="s">
        <v>1587</v>
      </c>
      <c r="T5" s="9" t="s">
        <v>397</v>
      </c>
      <c r="U5" s="9" t="s">
        <v>1587</v>
      </c>
    </row>
    <row r="6" spans="2:24" x14ac:dyDescent="0.25">
      <c r="B6" s="487">
        <f>SUM('Drilling - well design'!T17:T20)</f>
        <v>6000</v>
      </c>
      <c r="C6" s="487" t="s">
        <v>981</v>
      </c>
      <c r="D6" s="549" t="str">
        <f>'Drilling - well design'!G17</f>
        <v>vertical 
(injection/production)</v>
      </c>
      <c r="E6" s="487" t="str">
        <f>'Drilling - well design'!I17</f>
        <v>Surface Conductor</v>
      </c>
      <c r="F6" s="487" t="str">
        <f>'Drilling - well design'!H17</f>
        <v>S1</v>
      </c>
      <c r="G6" s="487">
        <f>'Drilling - well design'!T17</f>
        <v>250</v>
      </c>
      <c r="H6" s="488">
        <f>'Drilling - energy_material_6km'!W40</f>
        <v>72.965876990039675</v>
      </c>
      <c r="I6" s="487"/>
      <c r="J6" s="488">
        <f t="shared" ref="J6:J11" si="0">kWh_per_m_rotary</f>
        <v>1845.7382716049387</v>
      </c>
      <c r="K6" s="488"/>
      <c r="L6" s="488"/>
      <c r="M6" s="488">
        <f t="shared" ref="M6:M11" si="1">kWh_per_m_ppgd</f>
        <v>191.29382716049381</v>
      </c>
      <c r="N6" s="488"/>
      <c r="O6" s="488"/>
      <c r="P6" s="488">
        <f>'Drilling - energy_material_6km'!AJ40</f>
        <v>112.74241409919321</v>
      </c>
      <c r="Q6" s="488"/>
      <c r="R6" s="488">
        <f>'Drilling - energy_material_6km'!AK40</f>
        <v>45.096965639677286</v>
      </c>
      <c r="S6" s="488"/>
      <c r="T6" s="488">
        <f>'Drilling - energy_material_6km'!AL40</f>
        <v>80.03444632344987</v>
      </c>
      <c r="U6" s="487"/>
    </row>
    <row r="7" spans="2:24" x14ac:dyDescent="0.25">
      <c r="B7" s="487"/>
      <c r="C7" s="487"/>
      <c r="D7" s="549"/>
      <c r="E7" s="487" t="str">
        <f>'Drilling - well design'!I18</f>
        <v>Surface casing</v>
      </c>
      <c r="F7" s="487" t="str">
        <f>'Drilling - well design'!H18</f>
        <v>S2</v>
      </c>
      <c r="G7" s="487">
        <f>'Drilling - well design'!T18</f>
        <v>1750</v>
      </c>
      <c r="H7" s="488">
        <f>'Drilling - energy_material_6km'!W41</f>
        <v>271.56353957881521</v>
      </c>
      <c r="I7" s="487"/>
      <c r="J7" s="488">
        <f t="shared" si="0"/>
        <v>1845.7382716049387</v>
      </c>
      <c r="K7" s="488"/>
      <c r="L7" s="488"/>
      <c r="M7" s="488">
        <f t="shared" si="1"/>
        <v>191.29382716049381</v>
      </c>
      <c r="N7" s="488"/>
      <c r="O7" s="488"/>
      <c r="P7" s="488">
        <f>'Drilling - energy_material_6km'!AJ41</f>
        <v>84.330149460977225</v>
      </c>
      <c r="Q7" s="488"/>
      <c r="R7" s="488">
        <f>'Drilling - energy_material_6km'!AK41</f>
        <v>33.732059784390891</v>
      </c>
      <c r="S7" s="488"/>
      <c r="T7" s="488">
        <f>'Drilling - energy_material_6km'!AL41</f>
        <v>0</v>
      </c>
      <c r="U7" s="487"/>
    </row>
    <row r="8" spans="2:24" x14ac:dyDescent="0.25">
      <c r="B8" s="487"/>
      <c r="C8" s="487"/>
      <c r="D8" s="549"/>
      <c r="E8" s="487" t="str">
        <f>'Drilling - well design'!I19</f>
        <v>Intermediate casing</v>
      </c>
      <c r="F8" s="487" t="str">
        <f>'Drilling - well design'!H19</f>
        <v>S3</v>
      </c>
      <c r="G8" s="487">
        <f>'Drilling - well design'!T19</f>
        <v>2000</v>
      </c>
      <c r="H8" s="488">
        <f>'Drilling - energy_material_6km'!W42</f>
        <v>152.07558216413653</v>
      </c>
      <c r="I8" s="487"/>
      <c r="J8" s="488">
        <f t="shared" si="0"/>
        <v>1845.7382716049387</v>
      </c>
      <c r="K8" s="488"/>
      <c r="L8" s="488"/>
      <c r="M8" s="488">
        <f t="shared" si="1"/>
        <v>191.29382716049381</v>
      </c>
      <c r="N8" s="488"/>
      <c r="O8" s="488"/>
      <c r="P8" s="488">
        <f>'Drilling - energy_material_6km'!AJ42</f>
        <v>36.166228223888261</v>
      </c>
      <c r="Q8" s="488"/>
      <c r="R8" s="488">
        <f>'Drilling - energy_material_6km'!AK42</f>
        <v>14.466491289555304</v>
      </c>
      <c r="S8" s="488"/>
      <c r="T8" s="488">
        <f>'Drilling - energy_material_6km'!AL42</f>
        <v>0</v>
      </c>
      <c r="U8" s="487"/>
    </row>
    <row r="9" spans="2:24" x14ac:dyDescent="0.25">
      <c r="B9" s="487"/>
      <c r="C9" s="487"/>
      <c r="D9" s="549"/>
      <c r="E9" s="487" t="str">
        <f>'Drilling - well design'!I20</f>
        <v>production casing</v>
      </c>
      <c r="F9" s="487" t="str">
        <f>'Drilling - well design'!H20</f>
        <v>S4</v>
      </c>
      <c r="G9" s="487">
        <f>'Drilling - well design'!T20</f>
        <v>2000</v>
      </c>
      <c r="H9" s="488">
        <f>'Drilling - energy_material_6km'!W43</f>
        <v>73.219230729588432</v>
      </c>
      <c r="I9" s="487"/>
      <c r="J9" s="488">
        <f t="shared" si="0"/>
        <v>1845.7382716049387</v>
      </c>
      <c r="K9" s="488"/>
      <c r="L9" s="488"/>
      <c r="M9" s="488">
        <f t="shared" si="1"/>
        <v>191.29382716049381</v>
      </c>
      <c r="N9" s="488"/>
      <c r="O9" s="488"/>
      <c r="P9" s="488">
        <f>'Drilling - energy_material_6km'!AJ43</f>
        <v>13.682248542270854</v>
      </c>
      <c r="Q9" s="488"/>
      <c r="R9" s="488">
        <f>'Drilling - energy_material_6km'!AK43</f>
        <v>5.4728994169083416</v>
      </c>
      <c r="S9" s="488"/>
      <c r="T9" s="488">
        <f>'Drilling - energy_material_6km'!AL43</f>
        <v>0</v>
      </c>
      <c r="U9" s="487"/>
    </row>
    <row r="10" spans="2:24" x14ac:dyDescent="0.25">
      <c r="B10" s="487"/>
      <c r="C10" s="487"/>
      <c r="D10" s="487" t="str">
        <f>'Drilling - well design'!G21</f>
        <v>horizontal</v>
      </c>
      <c r="E10" s="487" t="str">
        <f>'Drilling - well design'!I21</f>
        <v>horizontal section</v>
      </c>
      <c r="F10" s="487" t="str">
        <f>'Drilling - well design'!H21</f>
        <v>S5</v>
      </c>
      <c r="G10" s="487">
        <f>'Drilling - well design'!T21</f>
        <v>42000</v>
      </c>
      <c r="H10" s="488">
        <f>'Drilling - energy_material_6km'!W44</f>
        <v>899.15242165850998</v>
      </c>
      <c r="I10" s="487"/>
      <c r="J10" s="488">
        <f t="shared" si="0"/>
        <v>1845.7382716049387</v>
      </c>
      <c r="K10" s="488"/>
      <c r="L10" s="488"/>
      <c r="M10" s="488">
        <f t="shared" si="1"/>
        <v>191.29382716049381</v>
      </c>
      <c r="N10" s="488"/>
      <c r="O10" s="488"/>
      <c r="P10" s="488">
        <f>'Drilling - energy_material_6km'!AJ44</f>
        <v>0</v>
      </c>
      <c r="Q10" s="488">
        <f>P11*SUM(G6:G9)/1000</f>
        <v>423.60430659593089</v>
      </c>
      <c r="R10" s="488">
        <f>'Drilling - energy_material_6km'!AK44</f>
        <v>0</v>
      </c>
      <c r="S10" s="488"/>
      <c r="T10" s="488">
        <f>'Drilling - energy_material_6km'!AL44</f>
        <v>0</v>
      </c>
      <c r="U10" s="487"/>
      <c r="W10" t="s">
        <v>366</v>
      </c>
      <c r="X10" t="s">
        <v>1081</v>
      </c>
    </row>
    <row r="11" spans="2:24" x14ac:dyDescent="0.25">
      <c r="B11" s="96"/>
      <c r="C11" s="96"/>
      <c r="D11" s="96" t="s">
        <v>1586</v>
      </c>
      <c r="E11" s="96"/>
      <c r="F11" s="96"/>
      <c r="G11" s="96">
        <f>'Drilling - energy_material_6km'!O47</f>
        <v>54000</v>
      </c>
      <c r="H11" s="489">
        <f>'Drilling - energy_material_6km'!W49</f>
        <v>2038.8008805836698</v>
      </c>
      <c r="I11" s="489">
        <f>'CO2'!C18</f>
        <v>1051.1646653877592</v>
      </c>
      <c r="J11" s="489">
        <f t="shared" si="0"/>
        <v>1845.7382716049387</v>
      </c>
      <c r="K11" s="489">
        <f>'Drilling - energy_material_6km'!AD46+'Drilling - energy_material_6km'!O72*2</f>
        <v>10017073.066666668</v>
      </c>
      <c r="L11" s="490">
        <f>'Drilling - energy_material_6km'!AD50</f>
        <v>1.1228363873884265E-2</v>
      </c>
      <c r="M11" s="489">
        <f t="shared" si="1"/>
        <v>191.29382716049381</v>
      </c>
      <c r="N11" s="489">
        <f>M11*G11/1000000</f>
        <v>10.329866666666666</v>
      </c>
      <c r="O11" s="489"/>
      <c r="P11" s="489">
        <f>'Drilling - energy_material_6km'!AJ50</f>
        <v>70.600717765988477</v>
      </c>
      <c r="Q11" s="489">
        <f>'Drilling - energy_material_6km'!AJ48/1000</f>
        <v>423.60430659593084</v>
      </c>
      <c r="R11" s="489">
        <f>'Drilling - energy_material_6km'!AK50</f>
        <v>28.240287106395392</v>
      </c>
      <c r="S11" s="489">
        <f>'Drilling - energy_material_6km'!AK48/1000</f>
        <v>169.44172263837237</v>
      </c>
      <c r="T11" s="489">
        <f>'Drilling - energy_material_6km'!AL50</f>
        <v>66.863406067743341</v>
      </c>
      <c r="U11" s="489">
        <f>'Drilling - energy_material_6km'!AL48/1000</f>
        <v>401.18043640646005</v>
      </c>
      <c r="V11" t="s">
        <v>2113</v>
      </c>
      <c r="W11">
        <v>0.56999999999999995</v>
      </c>
      <c r="X11">
        <v>4273</v>
      </c>
    </row>
    <row r="12" spans="2:24" x14ac:dyDescent="0.25">
      <c r="B12" s="487">
        <f>SUM('Drilling - well design'!U17:U20)</f>
        <v>4500</v>
      </c>
      <c r="C12" s="487" t="str">
        <f>C6</f>
        <v>km</v>
      </c>
      <c r="D12" s="549" t="str">
        <f>D6</f>
        <v>vertical 
(injection/production)</v>
      </c>
      <c r="E12" s="487" t="str">
        <f>E6</f>
        <v>Surface Conductor</v>
      </c>
      <c r="F12" s="487" t="str">
        <f t="shared" ref="F12:F16" si="2">F6</f>
        <v>S1</v>
      </c>
      <c r="G12" s="487">
        <f>'Drilling - well design'!U17</f>
        <v>250</v>
      </c>
      <c r="H12" s="488">
        <f>'Drilling - energy_material_4_5'!W40</f>
        <v>72.965876990039675</v>
      </c>
      <c r="I12" s="487"/>
      <c r="J12" s="488"/>
      <c r="K12" s="488"/>
      <c r="L12" s="488"/>
      <c r="M12" s="488">
        <f>'Drilling - energy_material_4_5'!$N$76</f>
        <v>202.54640522875815</v>
      </c>
      <c r="N12" s="488"/>
      <c r="O12" s="488"/>
      <c r="P12" s="487"/>
      <c r="Q12" s="487"/>
      <c r="R12" s="487"/>
      <c r="S12" s="487"/>
      <c r="T12" s="487"/>
      <c r="U12" s="487"/>
      <c r="W12">
        <v>1</v>
      </c>
      <c r="X12">
        <f>X11/W11*5</f>
        <v>37482.456140350885</v>
      </c>
    </row>
    <row r="13" spans="2:24" x14ac:dyDescent="0.25">
      <c r="B13" s="487"/>
      <c r="C13" s="487"/>
      <c r="D13" s="549"/>
      <c r="E13" s="487" t="str">
        <f t="shared" ref="E13" si="3">E7</f>
        <v>Surface casing</v>
      </c>
      <c r="F13" s="487" t="str">
        <f t="shared" si="2"/>
        <v>S2</v>
      </c>
      <c r="G13" s="487">
        <f>'Drilling - well design'!U18</f>
        <v>1750</v>
      </c>
      <c r="H13" s="488">
        <f>'Drilling - energy_material_4_5'!W41</f>
        <v>271.56353957881521</v>
      </c>
      <c r="I13" s="487"/>
      <c r="J13" s="487"/>
      <c r="K13" s="487"/>
      <c r="L13" s="487"/>
      <c r="M13" s="488">
        <f>'Drilling - energy_material_4_5'!$N$76</f>
        <v>202.54640522875815</v>
      </c>
      <c r="N13" s="487"/>
      <c r="O13" s="487"/>
      <c r="P13" s="487"/>
      <c r="Q13" s="487"/>
      <c r="R13" s="487"/>
      <c r="S13" s="487"/>
      <c r="T13" s="487"/>
      <c r="U13" s="487"/>
    </row>
    <row r="14" spans="2:24" x14ac:dyDescent="0.25">
      <c r="B14" s="487"/>
      <c r="C14" s="487"/>
      <c r="D14" s="549"/>
      <c r="E14" s="487" t="str">
        <f t="shared" ref="E14" si="4">E8</f>
        <v>Intermediate casing</v>
      </c>
      <c r="F14" s="487" t="str">
        <f t="shared" si="2"/>
        <v>S3</v>
      </c>
      <c r="G14" s="487">
        <f>'Drilling - well design'!U19</f>
        <v>1000</v>
      </c>
      <c r="H14" s="488">
        <f>'Drilling - energy_material_4_5'!W42</f>
        <v>76.037791082068267</v>
      </c>
      <c r="I14" s="487"/>
      <c r="J14" s="487"/>
      <c r="K14" s="487"/>
      <c r="L14" s="487"/>
      <c r="M14" s="488">
        <f>'Drilling - energy_material_4_5'!$N$76</f>
        <v>202.54640522875815</v>
      </c>
      <c r="N14" s="487"/>
      <c r="O14" s="487"/>
      <c r="P14" s="487"/>
      <c r="Q14" s="487"/>
      <c r="R14" s="487"/>
      <c r="S14" s="487"/>
      <c r="T14" s="487"/>
      <c r="U14" s="487"/>
    </row>
    <row r="15" spans="2:24" x14ac:dyDescent="0.25">
      <c r="B15" s="487"/>
      <c r="C15" s="487"/>
      <c r="D15" s="549"/>
      <c r="E15" s="487" t="str">
        <f t="shared" ref="E15" si="5">E9</f>
        <v>production casing</v>
      </c>
      <c r="F15" s="487" t="str">
        <f t="shared" si="2"/>
        <v>S4</v>
      </c>
      <c r="G15" s="487">
        <f>'Drilling - well design'!U20</f>
        <v>1500</v>
      </c>
      <c r="H15" s="488">
        <f>'Drilling - energy_material_4_5'!W43</f>
        <v>54.91442304719132</v>
      </c>
      <c r="I15" s="487"/>
      <c r="J15" s="487"/>
      <c r="K15" s="487"/>
      <c r="L15" s="487"/>
      <c r="M15" s="488">
        <f>'Drilling - energy_material_4_5'!$N$76</f>
        <v>202.54640522875815</v>
      </c>
      <c r="N15" s="487"/>
      <c r="O15" s="487"/>
      <c r="P15" s="487"/>
      <c r="Q15" s="487"/>
      <c r="R15" s="487"/>
      <c r="S15" s="487"/>
      <c r="T15" s="487"/>
      <c r="U15" s="487"/>
      <c r="V15" t="s">
        <v>2114</v>
      </c>
      <c r="W15">
        <v>4.5</v>
      </c>
      <c r="X15">
        <v>314</v>
      </c>
    </row>
    <row r="16" spans="2:24" x14ac:dyDescent="0.25">
      <c r="B16" s="487"/>
      <c r="C16" s="487"/>
      <c r="D16" s="487" t="str">
        <f>D10</f>
        <v>horizontal</v>
      </c>
      <c r="E16" s="487" t="str">
        <f t="shared" ref="E16" si="6">E10</f>
        <v>horizontal section</v>
      </c>
      <c r="F16" s="487" t="str">
        <f t="shared" si="2"/>
        <v>S5</v>
      </c>
      <c r="G16" s="487">
        <f>'Drilling - well design'!U21</f>
        <v>42000</v>
      </c>
      <c r="H16" s="488">
        <f>'Drilling - energy_material_4_5'!W44</f>
        <v>899.15242165850998</v>
      </c>
      <c r="I16" s="487"/>
      <c r="J16" s="487"/>
      <c r="K16" s="487"/>
      <c r="L16" s="487"/>
      <c r="M16" s="488">
        <f>'Drilling - energy_material_4_5'!$N$76</f>
        <v>202.54640522875815</v>
      </c>
      <c r="N16" s="487"/>
      <c r="O16" s="487"/>
      <c r="P16" s="487"/>
      <c r="Q16" s="487"/>
      <c r="R16" s="487"/>
      <c r="S16" s="487"/>
      <c r="T16" s="487"/>
      <c r="U16" s="487"/>
      <c r="W16">
        <v>1</v>
      </c>
      <c r="X16">
        <f>X15/W15</f>
        <v>69.777777777777771</v>
      </c>
    </row>
    <row r="17" spans="2:21" x14ac:dyDescent="0.25">
      <c r="B17" s="96"/>
      <c r="C17" s="96"/>
      <c r="D17" s="96" t="str">
        <f>D11</f>
        <v>Well, complete, injection+production+horizontal</v>
      </c>
      <c r="E17" s="96"/>
      <c r="F17" s="96"/>
      <c r="G17" s="96">
        <f>'Drilling - energy_material_4_5'!O47</f>
        <v>51000</v>
      </c>
      <c r="H17" s="489">
        <f>'Drilling - energy_material_4_5'!W49</f>
        <v>3648.420526371759</v>
      </c>
      <c r="I17" s="489">
        <f>'CO2'!C19</f>
        <v>1013.161604455447</v>
      </c>
      <c r="J17" s="96"/>
      <c r="K17" s="96"/>
      <c r="L17" s="96"/>
      <c r="M17" s="488">
        <f>'Drilling - energy_material_4_5'!$N$76</f>
        <v>202.54640522875815</v>
      </c>
      <c r="N17" s="96"/>
      <c r="O17" s="96"/>
      <c r="P17" s="96"/>
      <c r="Q17" s="96"/>
      <c r="R17" s="96"/>
      <c r="S17" s="96"/>
      <c r="T17" s="96"/>
      <c r="U17" s="96"/>
    </row>
    <row r="18" spans="2:21" x14ac:dyDescent="0.25">
      <c r="B18">
        <f>SUM('Drilling - well design'!AB17:AB20)</f>
        <v>8000</v>
      </c>
      <c r="C18" t="str">
        <f>C12</f>
        <v>km</v>
      </c>
      <c r="D18" s="550" t="str">
        <f>D12</f>
        <v>vertical 
(injection/production)</v>
      </c>
      <c r="E18" t="str">
        <f>E12</f>
        <v>Surface Conductor</v>
      </c>
      <c r="F18" t="str">
        <f>F12</f>
        <v>S1</v>
      </c>
      <c r="G18">
        <f>'Drilling - well design'!AB17</f>
        <v>250</v>
      </c>
      <c r="H18" s="53">
        <f>'Drilling - energy_material_8'!W40</f>
        <v>164.17322322758926</v>
      </c>
      <c r="M18" s="53">
        <f>'Drilling - energy_material_8'!$N$76</f>
        <v>178.10114942528733</v>
      </c>
      <c r="N18" s="53"/>
      <c r="O18" s="53"/>
    </row>
    <row r="19" spans="2:21" x14ac:dyDescent="0.25">
      <c r="D19" s="550"/>
      <c r="E19" t="str">
        <f t="shared" ref="E19:F22" si="7">E13</f>
        <v>Surface casing</v>
      </c>
      <c r="F19" t="str">
        <f t="shared" si="7"/>
        <v>S2</v>
      </c>
      <c r="G19">
        <f>'Drilling - well design'!AB18</f>
        <v>1750</v>
      </c>
      <c r="H19" s="53">
        <f>'Drilling - energy_material_8'!W41</f>
        <v>599.43494777234002</v>
      </c>
      <c r="M19" s="53">
        <f>'Drilling - energy_material_8'!$N$76</f>
        <v>178.10114942528733</v>
      </c>
    </row>
    <row r="20" spans="2:21" x14ac:dyDescent="0.25">
      <c r="D20" s="550"/>
      <c r="E20" t="str">
        <f t="shared" si="7"/>
        <v>Intermediate casing</v>
      </c>
      <c r="F20" t="str">
        <f t="shared" si="7"/>
        <v>S3</v>
      </c>
      <c r="G20">
        <f>'Drilling - well design'!AB19</f>
        <v>2000</v>
      </c>
      <c r="H20" s="53">
        <f>'Drilling - energy_material_8'!W42</f>
        <v>310.35833094721738</v>
      </c>
      <c r="M20" s="53">
        <f>'Drilling - energy_material_8'!$N$76</f>
        <v>178.10114942528733</v>
      </c>
    </row>
    <row r="21" spans="2:21" x14ac:dyDescent="0.25">
      <c r="D21" s="550"/>
      <c r="E21" t="str">
        <f t="shared" si="7"/>
        <v>production casing</v>
      </c>
      <c r="F21" t="str">
        <f t="shared" si="7"/>
        <v>S4</v>
      </c>
      <c r="G21">
        <f>'Drilling - well design'!AB20</f>
        <v>4000</v>
      </c>
      <c r="H21" s="53">
        <f>'Drilling - energy_material_8'!W43</f>
        <v>304.15116432827307</v>
      </c>
      <c r="M21" s="53">
        <f>'Drilling - energy_material_8'!$N$76</f>
        <v>178.10114942528733</v>
      </c>
    </row>
    <row r="22" spans="2:21" x14ac:dyDescent="0.25">
      <c r="D22" t="str">
        <f>D10</f>
        <v>horizontal</v>
      </c>
      <c r="E22" t="str">
        <f t="shared" si="7"/>
        <v>horizontal section</v>
      </c>
      <c r="F22" t="str">
        <f t="shared" si="7"/>
        <v>S5</v>
      </c>
      <c r="G22">
        <f>'Drilling - well design'!AB21</f>
        <v>42000</v>
      </c>
      <c r="H22" s="53">
        <f>'Drilling - energy_material_8'!W44</f>
        <v>1537.6038453213571</v>
      </c>
      <c r="M22" s="53">
        <f>'Drilling - energy_material_8'!$N$76</f>
        <v>178.10114942528733</v>
      </c>
    </row>
    <row r="23" spans="2:21" x14ac:dyDescent="0.25">
      <c r="D23" t="str">
        <f>D11</f>
        <v>Well, complete, injection+production+horizontal</v>
      </c>
      <c r="G23">
        <f>'Drilling - energy_material_8'!O47</f>
        <v>58000</v>
      </c>
      <c r="H23" s="53">
        <f>'Drilling - energy_material_8'!W49</f>
        <v>7369.0468685149108</v>
      </c>
      <c r="I23" s="53">
        <f>'CO2'!C20</f>
        <v>1740.2868369603561</v>
      </c>
      <c r="M23" s="53">
        <f>'Drilling - energy_material_8'!$N$76</f>
        <v>178.10114942528733</v>
      </c>
    </row>
  </sheetData>
  <mergeCells count="3">
    <mergeCell ref="D6:D9"/>
    <mergeCell ref="D12:D15"/>
    <mergeCell ref="D18:D21"/>
  </mergeCell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EA0EB-28BF-4903-B092-CC246EE5B139}">
  <sheetPr>
    <tabColor theme="7" tint="-0.249977111117893"/>
  </sheetPr>
  <dimension ref="A1:AH66"/>
  <sheetViews>
    <sheetView workbookViewId="0"/>
  </sheetViews>
  <sheetFormatPr defaultRowHeight="15" x14ac:dyDescent="0.25"/>
  <cols>
    <col min="19" max="19" width="12" bestFit="1" customWidth="1"/>
    <col min="20" max="20" width="24.140625" customWidth="1"/>
    <col min="23" max="23" width="11" bestFit="1" customWidth="1"/>
  </cols>
  <sheetData>
    <row r="1" spans="1:34" x14ac:dyDescent="0.25">
      <c r="A1" t="s">
        <v>55</v>
      </c>
    </row>
    <row r="2" spans="1:34" ht="15.75" x14ac:dyDescent="0.25">
      <c r="B2" s="9" t="s">
        <v>56</v>
      </c>
      <c r="T2" s="427" t="s">
        <v>1389</v>
      </c>
      <c r="U2" s="50"/>
      <c r="V2" s="50"/>
      <c r="W2" s="50"/>
      <c r="X2" s="50"/>
      <c r="Y2" s="50"/>
      <c r="Z2" s="50"/>
      <c r="AA2" s="50"/>
      <c r="AB2" s="50"/>
      <c r="AC2" s="50"/>
      <c r="AD2" s="50"/>
      <c r="AE2" s="50"/>
      <c r="AF2" s="50"/>
      <c r="AG2" s="50"/>
      <c r="AH2" s="50"/>
    </row>
    <row r="3" spans="1:34" ht="15.75" x14ac:dyDescent="0.25">
      <c r="B3" s="15" t="s">
        <v>89</v>
      </c>
      <c r="T3" s="427"/>
      <c r="U3" s="50"/>
      <c r="V3" s="50"/>
      <c r="W3" s="50"/>
      <c r="X3" s="50"/>
      <c r="Y3" s="50"/>
      <c r="Z3" s="50"/>
      <c r="AA3" s="50"/>
      <c r="AB3" s="50"/>
      <c r="AC3" s="50"/>
      <c r="AD3" s="50"/>
      <c r="AE3" s="50"/>
      <c r="AF3" s="50"/>
      <c r="AG3" s="50"/>
      <c r="AH3" s="50"/>
    </row>
    <row r="4" spans="1:34" x14ac:dyDescent="0.25">
      <c r="T4" s="351"/>
      <c r="U4" s="50" t="s">
        <v>1468</v>
      </c>
      <c r="V4" s="50"/>
      <c r="W4" s="50"/>
      <c r="X4" s="50"/>
      <c r="Y4" s="50"/>
      <c r="Z4" s="50"/>
      <c r="AA4" s="50"/>
      <c r="AB4" s="50"/>
      <c r="AC4" s="50"/>
      <c r="AD4" s="50"/>
      <c r="AE4" s="50"/>
      <c r="AF4" s="50"/>
      <c r="AG4" s="50"/>
      <c r="AH4" s="50"/>
    </row>
    <row r="5" spans="1:34" x14ac:dyDescent="0.25">
      <c r="B5" s="10" t="s">
        <v>57</v>
      </c>
      <c r="N5" s="10" t="s">
        <v>86</v>
      </c>
      <c r="T5" s="50" t="s">
        <v>1080</v>
      </c>
      <c r="U5" s="50">
        <f>100*50</f>
        <v>5000</v>
      </c>
      <c r="V5" s="50" t="s">
        <v>1081</v>
      </c>
      <c r="W5" s="50" t="s">
        <v>1344</v>
      </c>
      <c r="X5" s="50"/>
      <c r="Y5" s="428" t="s">
        <v>1388</v>
      </c>
      <c r="Z5" s="50"/>
      <c r="AA5" s="50"/>
      <c r="AB5" s="50"/>
      <c r="AC5" s="50"/>
      <c r="AD5" s="50"/>
      <c r="AE5" s="50"/>
      <c r="AF5" s="50"/>
      <c r="AG5" s="50"/>
      <c r="AH5" s="50"/>
    </row>
    <row r="6" spans="1:34" x14ac:dyDescent="0.25">
      <c r="B6" s="11" t="s">
        <v>58</v>
      </c>
      <c r="N6" s="11" t="s">
        <v>70</v>
      </c>
      <c r="T6" s="50" t="s">
        <v>1443</v>
      </c>
      <c r="U6" s="50">
        <v>0.5</v>
      </c>
      <c r="V6" s="50" t="s">
        <v>54</v>
      </c>
      <c r="W6" s="50"/>
      <c r="X6" s="50" t="s">
        <v>1340</v>
      </c>
      <c r="Y6" s="50"/>
      <c r="Z6" s="50"/>
      <c r="AA6" s="50"/>
      <c r="AB6" s="50"/>
      <c r="AC6" s="50"/>
      <c r="AD6" s="50"/>
      <c r="AE6" s="50"/>
      <c r="AF6" s="50"/>
      <c r="AG6" s="50"/>
      <c r="AH6" s="50"/>
    </row>
    <row r="7" spans="1:34" x14ac:dyDescent="0.25">
      <c r="B7" s="11" t="s">
        <v>59</v>
      </c>
      <c r="N7" s="11" t="s">
        <v>71</v>
      </c>
      <c r="T7" s="351" t="s">
        <v>1084</v>
      </c>
      <c r="U7" s="351">
        <f>U5*U6</f>
        <v>2500</v>
      </c>
      <c r="V7" s="351" t="s">
        <v>444</v>
      </c>
      <c r="W7" s="50"/>
      <c r="X7" s="50"/>
      <c r="Y7" s="50"/>
      <c r="Z7" s="50"/>
      <c r="AA7" s="50"/>
      <c r="AB7" s="50"/>
      <c r="AC7" s="50"/>
      <c r="AD7" s="50"/>
      <c r="AE7" s="50"/>
      <c r="AF7" s="50"/>
      <c r="AG7" s="50"/>
      <c r="AH7" s="50"/>
    </row>
    <row r="8" spans="1:34" x14ac:dyDescent="0.25">
      <c r="B8" s="11" t="s">
        <v>60</v>
      </c>
      <c r="N8" s="11" t="s">
        <v>72</v>
      </c>
      <c r="T8" s="50"/>
      <c r="U8" s="50"/>
      <c r="V8" s="50"/>
      <c r="W8" s="50"/>
      <c r="X8" s="50"/>
      <c r="Y8" s="50"/>
      <c r="Z8" s="50"/>
      <c r="AA8" s="50"/>
      <c r="AB8" s="50"/>
      <c r="AC8" s="50"/>
      <c r="AD8" s="50"/>
      <c r="AE8" s="50"/>
      <c r="AF8" s="50"/>
      <c r="AG8" s="50"/>
      <c r="AH8" s="50"/>
    </row>
    <row r="9" spans="1:34" x14ac:dyDescent="0.25">
      <c r="B9" s="11" t="s">
        <v>61</v>
      </c>
      <c r="N9" s="11" t="s">
        <v>73</v>
      </c>
      <c r="T9" s="351" t="s">
        <v>1082</v>
      </c>
      <c r="U9" s="351">
        <v>500</v>
      </c>
      <c r="V9" s="351" t="s">
        <v>1083</v>
      </c>
      <c r="W9" s="50" t="s">
        <v>1349</v>
      </c>
      <c r="X9" s="50"/>
      <c r="Y9" s="50"/>
      <c r="Z9" s="50" t="s">
        <v>1345</v>
      </c>
      <c r="AA9" s="429" t="s">
        <v>1346</v>
      </c>
      <c r="AB9" s="50"/>
      <c r="AC9" s="50"/>
      <c r="AD9" s="50"/>
      <c r="AE9" s="50"/>
      <c r="AF9" s="50"/>
      <c r="AG9" s="50"/>
      <c r="AH9" s="50"/>
    </row>
    <row r="10" spans="1:34" x14ac:dyDescent="0.25">
      <c r="B10" s="11" t="s">
        <v>62</v>
      </c>
      <c r="N10" s="11" t="s">
        <v>74</v>
      </c>
      <c r="T10" s="50"/>
      <c r="U10" s="50"/>
      <c r="V10" s="50"/>
      <c r="W10" s="50"/>
      <c r="X10" s="50"/>
      <c r="Y10" s="50"/>
      <c r="Z10" s="50"/>
      <c r="AA10" s="50"/>
      <c r="AB10" s="50"/>
      <c r="AC10" s="50"/>
      <c r="AD10" s="50"/>
      <c r="AE10" s="50"/>
      <c r="AF10" s="50"/>
      <c r="AG10" s="50"/>
      <c r="AH10" s="50"/>
    </row>
    <row r="11" spans="1:34" x14ac:dyDescent="0.25">
      <c r="B11" s="11" t="s">
        <v>63</v>
      </c>
      <c r="N11" s="11" t="s">
        <v>75</v>
      </c>
      <c r="T11" s="351" t="s">
        <v>1098</v>
      </c>
      <c r="U11" s="351">
        <v>1</v>
      </c>
      <c r="V11" s="351" t="s">
        <v>444</v>
      </c>
      <c r="W11" s="50"/>
      <c r="X11" s="50"/>
      <c r="Y11" s="50" t="s">
        <v>1445</v>
      </c>
      <c r="Z11" s="50"/>
      <c r="AA11" s="50"/>
      <c r="AB11" s="50"/>
      <c r="AC11" s="50"/>
      <c r="AD11" s="50"/>
      <c r="AE11" s="50"/>
      <c r="AF11" s="50"/>
      <c r="AG11" s="50"/>
      <c r="AH11" s="50"/>
    </row>
    <row r="12" spans="1:34" x14ac:dyDescent="0.25">
      <c r="B12" s="11" t="s">
        <v>64</v>
      </c>
      <c r="H12" t="s">
        <v>1350</v>
      </c>
      <c r="N12" s="11" t="s">
        <v>76</v>
      </c>
      <c r="S12" s="476">
        <f>W12/$W$16</f>
        <v>0.14764338444065872</v>
      </c>
      <c r="T12" s="50" t="s">
        <v>1099</v>
      </c>
      <c r="U12" s="50">
        <v>400</v>
      </c>
      <c r="V12" s="50" t="s">
        <v>442</v>
      </c>
      <c r="W12" s="50">
        <f>U12/'Drilling - energy_material_6km'!AI58</f>
        <v>0.21052631578947367</v>
      </c>
      <c r="X12" s="50" t="s">
        <v>444</v>
      </c>
      <c r="Y12" s="50" t="s">
        <v>1100</v>
      </c>
      <c r="Z12" s="50"/>
      <c r="AA12" s="50"/>
      <c r="AB12" s="50"/>
      <c r="AC12" s="50"/>
      <c r="AD12" s="50"/>
      <c r="AE12" s="50"/>
      <c r="AF12" s="50"/>
      <c r="AG12" s="50"/>
      <c r="AH12" s="50"/>
    </row>
    <row r="13" spans="1:34" x14ac:dyDescent="0.25">
      <c r="B13" s="11" t="s">
        <v>65</v>
      </c>
      <c r="H13" t="s">
        <v>1347</v>
      </c>
      <c r="N13" s="11" t="s">
        <v>77</v>
      </c>
      <c r="S13" s="476">
        <f t="shared" ref="S13:S15" si="0">W13/$W$16</f>
        <v>1.07893242475866E-2</v>
      </c>
      <c r="T13" s="50" t="s">
        <v>1101</v>
      </c>
      <c r="U13" s="50">
        <v>120</v>
      </c>
      <c r="V13" s="50" t="s">
        <v>442</v>
      </c>
      <c r="W13" s="50">
        <f>U13/'Drilling - energy_material_6km'!AI57</f>
        <v>1.5384615384615385E-2</v>
      </c>
      <c r="X13" s="50" t="s">
        <v>444</v>
      </c>
      <c r="Y13" s="50" t="s">
        <v>1444</v>
      </c>
      <c r="Z13" s="50"/>
      <c r="AA13" s="50"/>
      <c r="AB13" s="50"/>
      <c r="AC13" s="50"/>
      <c r="AD13" s="50"/>
      <c r="AE13" s="50"/>
      <c r="AF13" s="50"/>
      <c r="AG13" s="50"/>
      <c r="AH13" s="50"/>
    </row>
    <row r="14" spans="1:34" x14ac:dyDescent="0.25">
      <c r="B14" s="11" t="s">
        <v>66</v>
      </c>
      <c r="H14" t="s">
        <v>1351</v>
      </c>
      <c r="N14" s="11" t="s">
        <v>78</v>
      </c>
      <c r="S14" s="476">
        <f t="shared" si="0"/>
        <v>0.14026121521862581</v>
      </c>
      <c r="T14" s="50" t="s">
        <v>1102</v>
      </c>
      <c r="U14" s="50">
        <v>200</v>
      </c>
      <c r="V14" s="50" t="s">
        <v>442</v>
      </c>
      <c r="W14" s="50">
        <f>U14/1000</f>
        <v>0.2</v>
      </c>
      <c r="X14" s="50" t="s">
        <v>444</v>
      </c>
      <c r="Y14" s="50"/>
      <c r="Z14" s="50"/>
      <c r="AA14" s="50"/>
      <c r="AB14" s="50"/>
      <c r="AC14" s="50"/>
      <c r="AD14" s="50"/>
      <c r="AE14" s="50"/>
      <c r="AF14" s="50"/>
      <c r="AG14" s="50"/>
      <c r="AH14" s="50"/>
    </row>
    <row r="15" spans="1:34" x14ac:dyDescent="0.25">
      <c r="B15" s="11" t="s">
        <v>67</v>
      </c>
      <c r="H15" t="s">
        <v>1348</v>
      </c>
      <c r="N15" s="11" t="s">
        <v>79</v>
      </c>
      <c r="S15" s="476">
        <f t="shared" si="0"/>
        <v>0.701306076093129</v>
      </c>
      <c r="T15" s="50" t="s">
        <v>857</v>
      </c>
      <c r="U15" s="50">
        <v>1800</v>
      </c>
      <c r="V15" s="50" t="s">
        <v>442</v>
      </c>
      <c r="W15" s="50">
        <f>U15/'Drilling - energy_material_6km'!AI65</f>
        <v>1</v>
      </c>
      <c r="X15" s="50" t="s">
        <v>444</v>
      </c>
      <c r="Y15" s="50"/>
      <c r="Z15" s="50"/>
      <c r="AA15" s="50"/>
      <c r="AB15" s="50"/>
      <c r="AC15" s="50"/>
      <c r="AD15" s="50"/>
      <c r="AE15" s="50"/>
      <c r="AF15" s="50"/>
      <c r="AG15" s="50"/>
      <c r="AH15" s="50"/>
    </row>
    <row r="16" spans="1:34" x14ac:dyDescent="0.25">
      <c r="B16" s="11" t="s">
        <v>68</v>
      </c>
      <c r="N16" s="11" t="s">
        <v>80</v>
      </c>
      <c r="T16" s="50"/>
      <c r="U16" s="351">
        <f>SUM(U12:U15)</f>
        <v>2520</v>
      </c>
      <c r="V16" s="351" t="s">
        <v>393</v>
      </c>
      <c r="W16" s="351">
        <f>SUM(W12:W15)</f>
        <v>1.425910931174089</v>
      </c>
      <c r="X16" s="351" t="s">
        <v>444</v>
      </c>
      <c r="Y16" s="50" t="s">
        <v>1446</v>
      </c>
      <c r="Z16" s="50"/>
      <c r="AA16" s="50"/>
      <c r="AB16" s="50"/>
      <c r="AC16" s="50"/>
      <c r="AD16" s="50"/>
      <c r="AE16" s="50"/>
      <c r="AF16" s="50"/>
      <c r="AG16" s="50"/>
      <c r="AH16" s="50"/>
    </row>
    <row r="17" spans="2:34" x14ac:dyDescent="0.25">
      <c r="B17" s="11" t="s">
        <v>69</v>
      </c>
      <c r="N17" s="11" t="s">
        <v>81</v>
      </c>
      <c r="T17" s="50" t="s">
        <v>1341</v>
      </c>
      <c r="U17" s="50"/>
      <c r="V17" s="50"/>
      <c r="W17" s="50"/>
      <c r="X17" s="50"/>
      <c r="Y17" s="50"/>
      <c r="Z17" s="50"/>
      <c r="AA17" s="50"/>
      <c r="AB17" s="50"/>
      <c r="AC17" s="50"/>
      <c r="AD17" s="50"/>
      <c r="AE17" s="50"/>
      <c r="AF17" s="50"/>
      <c r="AG17" s="50"/>
      <c r="AH17" s="50"/>
    </row>
    <row r="18" spans="2:34" ht="15.75" x14ac:dyDescent="0.25">
      <c r="B18" s="12"/>
      <c r="N18" s="11" t="s">
        <v>82</v>
      </c>
      <c r="T18" s="50" t="s">
        <v>1342</v>
      </c>
      <c r="U18" s="50"/>
      <c r="V18" s="50"/>
      <c r="W18" s="50"/>
      <c r="X18" s="50"/>
      <c r="Y18" s="50"/>
      <c r="Z18" s="50"/>
      <c r="AA18" s="50"/>
      <c r="AB18" s="50"/>
      <c r="AC18" s="50"/>
      <c r="AD18" s="50"/>
      <c r="AE18" s="50"/>
      <c r="AF18" s="50"/>
      <c r="AG18" s="50"/>
      <c r="AH18" s="50"/>
    </row>
    <row r="19" spans="2:34" ht="15.75" x14ac:dyDescent="0.25">
      <c r="B19" s="12" t="s">
        <v>1441</v>
      </c>
      <c r="H19">
        <v>50</v>
      </c>
      <c r="I19" t="s">
        <v>637</v>
      </c>
      <c r="J19" t="s">
        <v>1442</v>
      </c>
      <c r="N19" s="11" t="s">
        <v>83</v>
      </c>
      <c r="T19" s="50" t="s">
        <v>1343</v>
      </c>
      <c r="U19" s="50"/>
      <c r="V19" s="50"/>
      <c r="W19" s="50"/>
      <c r="X19" s="50"/>
      <c r="Y19" s="50"/>
      <c r="Z19" s="50"/>
      <c r="AA19" s="50"/>
      <c r="AB19" s="50"/>
      <c r="AC19" s="50"/>
      <c r="AD19" s="50"/>
      <c r="AE19" s="50"/>
      <c r="AF19" s="50"/>
      <c r="AG19" s="50"/>
      <c r="AH19" s="50"/>
    </row>
    <row r="20" spans="2:34" x14ac:dyDescent="0.25">
      <c r="N20" s="11" t="s">
        <v>84</v>
      </c>
    </row>
    <row r="21" spans="2:34" x14ac:dyDescent="0.25">
      <c r="N21" s="11" t="s">
        <v>85</v>
      </c>
      <c r="V21" t="s">
        <v>1463</v>
      </c>
      <c r="AA21" s="9" t="s">
        <v>1467</v>
      </c>
    </row>
    <row r="22" spans="2:34" ht="15.75" x14ac:dyDescent="0.25">
      <c r="N22" s="12"/>
      <c r="V22" t="s">
        <v>1464</v>
      </c>
      <c r="W22" t="s">
        <v>1465</v>
      </c>
      <c r="Y22" t="s">
        <v>1466</v>
      </c>
    </row>
    <row r="23" spans="2:34" x14ac:dyDescent="0.25">
      <c r="V23">
        <v>200</v>
      </c>
      <c r="W23" t="s">
        <v>637</v>
      </c>
      <c r="Y23" t="s">
        <v>1469</v>
      </c>
      <c r="AA23" t="s">
        <v>1471</v>
      </c>
      <c r="AB23">
        <v>20</v>
      </c>
      <c r="AC23">
        <v>40</v>
      </c>
      <c r="AD23" t="s">
        <v>645</v>
      </c>
    </row>
    <row r="24" spans="2:34" x14ac:dyDescent="0.25">
      <c r="V24" s="9">
        <v>500</v>
      </c>
      <c r="W24" s="9" t="s">
        <v>637</v>
      </c>
      <c r="AA24" t="s">
        <v>1472</v>
      </c>
      <c r="AB24">
        <v>2</v>
      </c>
    </row>
    <row r="25" spans="2:34" x14ac:dyDescent="0.25">
      <c r="AA25" t="s">
        <v>1473</v>
      </c>
      <c r="AB25" s="340">
        <v>0.1</v>
      </c>
    </row>
    <row r="26" spans="2:34" x14ac:dyDescent="0.25">
      <c r="AA26" t="s">
        <v>1491</v>
      </c>
      <c r="AB26">
        <v>50</v>
      </c>
    </row>
    <row r="27" spans="2:34" x14ac:dyDescent="0.25">
      <c r="AA27" s="9" t="s">
        <v>1474</v>
      </c>
    </row>
    <row r="28" spans="2:34" x14ac:dyDescent="0.25">
      <c r="AA28" t="s">
        <v>1475</v>
      </c>
      <c r="AB28">
        <v>0.7</v>
      </c>
    </row>
    <row r="29" spans="2:34" x14ac:dyDescent="0.25">
      <c r="AA29" t="s">
        <v>1492</v>
      </c>
      <c r="AB29">
        <v>0.3</v>
      </c>
      <c r="AC29" t="s">
        <v>1476</v>
      </c>
    </row>
    <row r="45" spans="15:15" x14ac:dyDescent="0.25">
      <c r="O45" s="13" t="s">
        <v>87</v>
      </c>
    </row>
    <row r="46" spans="15:15" x14ac:dyDescent="0.25">
      <c r="O46" s="13" t="s">
        <v>88</v>
      </c>
    </row>
    <row r="47" spans="15:15" x14ac:dyDescent="0.25">
      <c r="O47" s="14"/>
    </row>
    <row r="52" spans="2:6" x14ac:dyDescent="0.25">
      <c r="B52" s="9" t="s">
        <v>1011</v>
      </c>
    </row>
    <row r="54" spans="2:6" x14ac:dyDescent="0.25">
      <c r="B54" t="s">
        <v>1015</v>
      </c>
    </row>
    <row r="55" spans="2:6" x14ac:dyDescent="0.25">
      <c r="B55" t="s">
        <v>1012</v>
      </c>
      <c r="F55" t="s">
        <v>1026</v>
      </c>
    </row>
    <row r="56" spans="2:6" x14ac:dyDescent="0.25">
      <c r="B56" t="s">
        <v>1013</v>
      </c>
    </row>
    <row r="57" spans="2:6" x14ac:dyDescent="0.25">
      <c r="B57" t="s">
        <v>1014</v>
      </c>
    </row>
    <row r="58" spans="2:6" x14ac:dyDescent="0.25">
      <c r="B58" t="s">
        <v>1016</v>
      </c>
    </row>
    <row r="61" spans="2:6" x14ac:dyDescent="0.25">
      <c r="B61" s="9" t="s">
        <v>1017</v>
      </c>
      <c r="F61" t="s">
        <v>1027</v>
      </c>
    </row>
    <row r="62" spans="2:6" x14ac:dyDescent="0.25">
      <c r="B62" t="s">
        <v>1018</v>
      </c>
    </row>
    <row r="63" spans="2:6" x14ac:dyDescent="0.25">
      <c r="B63" t="s">
        <v>1019</v>
      </c>
    </row>
    <row r="66" spans="2:2" x14ac:dyDescent="0.25">
      <c r="B66" s="9" t="s">
        <v>1020</v>
      </c>
    </row>
  </sheetData>
  <hyperlinks>
    <hyperlink ref="AA9" r:id="rId1" xr:uid="{E714F320-32E3-4C17-8B9D-810706281B45}"/>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8AB7D-FCDA-48E2-9F16-DF5399F9F76D}">
  <sheetPr>
    <tabColor theme="7" tint="-0.249977111117893"/>
  </sheetPr>
  <dimension ref="A2:AC54"/>
  <sheetViews>
    <sheetView topLeftCell="A13" zoomScale="85" zoomScaleNormal="85" workbookViewId="0">
      <selection activeCell="F46" sqref="F46"/>
    </sheetView>
  </sheetViews>
  <sheetFormatPr defaultColWidth="12.42578125" defaultRowHeight="15.75" x14ac:dyDescent="0.25"/>
  <cols>
    <col min="1" max="1" width="4.5703125" style="1" customWidth="1"/>
    <col min="2" max="13" width="12.42578125" style="1"/>
    <col min="14" max="14" width="12.42578125" style="315"/>
    <col min="15" max="23" width="12.42578125" style="1"/>
    <col min="24" max="24" width="21" style="1" bestFit="1" customWidth="1"/>
    <col min="25" max="16384" width="12.42578125" style="1"/>
  </cols>
  <sheetData>
    <row r="2" spans="1:29" x14ac:dyDescent="0.25">
      <c r="B2" s="9" t="s">
        <v>93</v>
      </c>
    </row>
    <row r="3" spans="1:29" x14ac:dyDescent="0.25">
      <c r="B3" s="15" t="s">
        <v>90</v>
      </c>
    </row>
    <row r="4" spans="1:29" x14ac:dyDescent="0.25">
      <c r="B4" s="15" t="s">
        <v>885</v>
      </c>
    </row>
    <row r="5" spans="1:29" x14ac:dyDescent="0.25">
      <c r="B5" s="15"/>
    </row>
    <row r="6" spans="1:29" x14ac:dyDescent="0.25">
      <c r="B6" s="15"/>
    </row>
    <row r="7" spans="1:29" x14ac:dyDescent="0.25">
      <c r="B7" s="15"/>
    </row>
    <row r="8" spans="1:29" x14ac:dyDescent="0.25">
      <c r="B8" s="338" t="s">
        <v>1487</v>
      </c>
      <c r="C8" s="455"/>
      <c r="D8" s="455"/>
      <c r="E8" s="455"/>
      <c r="F8" s="455"/>
      <c r="G8" s="455"/>
      <c r="H8" s="455"/>
      <c r="I8" s="455"/>
      <c r="J8" s="455"/>
      <c r="K8" s="455"/>
      <c r="L8" s="455"/>
      <c r="M8" s="455"/>
      <c r="N8" s="455"/>
      <c r="O8" s="455"/>
      <c r="P8" s="455"/>
      <c r="Q8" s="455"/>
      <c r="R8" s="455"/>
      <c r="S8" s="455"/>
      <c r="Y8" s="433" t="s">
        <v>1490</v>
      </c>
      <c r="Z8" s="432"/>
      <c r="AA8" s="432"/>
      <c r="AB8" s="432"/>
      <c r="AC8" s="432"/>
    </row>
    <row r="9" spans="1:29" x14ac:dyDescent="0.25">
      <c r="H9" s="446" t="s">
        <v>1414</v>
      </c>
      <c r="O9" s="315"/>
      <c r="P9" s="315"/>
      <c r="Q9" s="315"/>
      <c r="R9" s="317"/>
      <c r="S9" s="317"/>
      <c r="T9" s="317"/>
      <c r="Y9" s="301" t="s">
        <v>331</v>
      </c>
      <c r="Z9" s="457"/>
      <c r="AA9" s="432"/>
      <c r="AB9" s="432"/>
      <c r="AC9" s="432"/>
    </row>
    <row r="10" spans="1:29" x14ac:dyDescent="0.25">
      <c r="B10" s="439" t="s">
        <v>1484</v>
      </c>
      <c r="C10" s="440"/>
      <c r="D10" s="553" t="s">
        <v>4</v>
      </c>
      <c r="E10" s="554"/>
      <c r="F10" s="553" t="s">
        <v>5</v>
      </c>
      <c r="G10" s="554"/>
      <c r="H10" s="468" t="s">
        <v>1412</v>
      </c>
      <c r="I10" s="468"/>
      <c r="J10" s="479"/>
      <c r="K10" s="479" t="s">
        <v>1413</v>
      </c>
      <c r="L10" s="479"/>
      <c r="M10" s="437"/>
      <c r="N10" s="447"/>
      <c r="O10" s="427" t="s">
        <v>1488</v>
      </c>
      <c r="P10" s="20"/>
      <c r="Q10" s="20"/>
      <c r="R10" s="456" t="s">
        <v>1489</v>
      </c>
      <c r="S10" s="130" t="s">
        <v>1</v>
      </c>
      <c r="T10" s="318"/>
      <c r="Y10" s="432" t="str">
        <f>R10</f>
        <v>Rotary</v>
      </c>
      <c r="Z10" s="458" t="s">
        <v>1</v>
      </c>
      <c r="AA10" s="432"/>
      <c r="AB10" s="432"/>
      <c r="AC10" s="432"/>
    </row>
    <row r="11" spans="1:29" x14ac:dyDescent="0.25">
      <c r="B11" s="435" t="s">
        <v>2</v>
      </c>
      <c r="C11" s="436" t="s">
        <v>3</v>
      </c>
      <c r="D11" s="551" t="s">
        <v>1411</v>
      </c>
      <c r="E11" s="552"/>
      <c r="F11" s="551" t="s">
        <v>1411</v>
      </c>
      <c r="G11" s="552"/>
      <c r="H11" s="467" t="s">
        <v>1535</v>
      </c>
      <c r="I11" s="467" t="s">
        <v>1496</v>
      </c>
      <c r="J11" s="437" t="s">
        <v>1</v>
      </c>
      <c r="K11" s="467" t="s">
        <v>1535</v>
      </c>
      <c r="L11" s="467" t="s">
        <v>1496</v>
      </c>
      <c r="M11" s="437" t="s">
        <v>1</v>
      </c>
      <c r="N11" s="447"/>
      <c r="O11" s="20"/>
      <c r="P11" s="20" t="s">
        <v>1402</v>
      </c>
      <c r="Q11" s="20"/>
      <c r="R11" s="319" t="s">
        <v>1405</v>
      </c>
      <c r="S11" s="21"/>
      <c r="Y11" s="432" t="s">
        <v>332</v>
      </c>
      <c r="Z11" s="432" t="s">
        <v>332</v>
      </c>
      <c r="AA11" s="432" t="s">
        <v>333</v>
      </c>
      <c r="AB11" s="432"/>
      <c r="AC11" s="432"/>
    </row>
    <row r="12" spans="1:29" x14ac:dyDescent="0.25">
      <c r="B12" s="435" t="s">
        <v>6</v>
      </c>
      <c r="C12" s="436" t="s">
        <v>6</v>
      </c>
      <c r="D12" s="441" t="s">
        <v>7</v>
      </c>
      <c r="E12" s="442" t="s">
        <v>8</v>
      </c>
      <c r="F12" s="441" t="s">
        <v>7</v>
      </c>
      <c r="G12" s="442" t="s">
        <v>8</v>
      </c>
      <c r="H12" s="442" t="s">
        <v>54</v>
      </c>
      <c r="I12" s="442" t="s">
        <v>7</v>
      </c>
      <c r="J12" s="19" t="s">
        <v>7</v>
      </c>
      <c r="K12" s="442" t="s">
        <v>54</v>
      </c>
      <c r="L12" s="442" t="s">
        <v>7</v>
      </c>
      <c r="M12" s="19" t="s">
        <v>7</v>
      </c>
      <c r="N12" s="447"/>
      <c r="O12" s="20"/>
      <c r="P12" s="20" t="s">
        <v>1403</v>
      </c>
      <c r="Q12" s="20" t="s">
        <v>1404</v>
      </c>
      <c r="R12" s="130" t="s">
        <v>0</v>
      </c>
      <c r="S12" s="130" t="s">
        <v>1</v>
      </c>
      <c r="Y12" s="459">
        <f>Y13+D27+D37</f>
        <v>112.51388888888889</v>
      </c>
      <c r="Z12" s="459">
        <f>Z13+F27+F37</f>
        <v>40.951388888888886</v>
      </c>
      <c r="AA12" s="432">
        <v>6000</v>
      </c>
      <c r="AB12" s="432" t="s">
        <v>92</v>
      </c>
      <c r="AC12" s="432"/>
    </row>
    <row r="13" spans="1:29" x14ac:dyDescent="0.25">
      <c r="A13" s="1" t="str">
        <f>'Drilling - energy_material_6km'!L40</f>
        <v>S1</v>
      </c>
      <c r="B13" s="437">
        <v>0</v>
      </c>
      <c r="C13" s="434">
        <v>1000</v>
      </c>
      <c r="D13" s="18">
        <f>E13/24</f>
        <v>8.3333333333333339</v>
      </c>
      <c r="E13" s="18">
        <f>C13/$R$13</f>
        <v>200</v>
      </c>
      <c r="F13" s="474">
        <f>G13/24</f>
        <v>0.83333333333333337</v>
      </c>
      <c r="G13" s="438">
        <f>C13/$S$13</f>
        <v>20</v>
      </c>
      <c r="H13" s="480">
        <f>C13-B13</f>
        <v>1000</v>
      </c>
      <c r="I13" s="480">
        <f>H13/R13/24</f>
        <v>8.3333333333333339</v>
      </c>
      <c r="J13" s="18">
        <f>H13/S13/24</f>
        <v>0.83333333333333337</v>
      </c>
      <c r="K13" s="18">
        <f>C13-B13</f>
        <v>1000</v>
      </c>
      <c r="L13" s="17">
        <f>K13/R13/24</f>
        <v>8.3333333333333339</v>
      </c>
      <c r="M13" s="17">
        <f>K13/S13/24</f>
        <v>0.83333333333333337</v>
      </c>
      <c r="N13" s="450"/>
      <c r="O13" s="20" t="s">
        <v>9</v>
      </c>
      <c r="P13" s="20">
        <f>B13</f>
        <v>0</v>
      </c>
      <c r="Q13" s="20">
        <f>C13</f>
        <v>1000</v>
      </c>
      <c r="R13" s="20">
        <v>5</v>
      </c>
      <c r="S13" s="20">
        <f>R13*10</f>
        <v>50</v>
      </c>
      <c r="U13" s="1" t="s">
        <v>1575</v>
      </c>
      <c r="Y13" s="459">
        <f>Y14+D17</f>
        <v>103.51388888888889</v>
      </c>
      <c r="Z13" s="459">
        <f>Z14+F17</f>
        <v>31.951388888888889</v>
      </c>
      <c r="AA13" s="432">
        <v>6000</v>
      </c>
      <c r="AB13" s="432" t="s">
        <v>91</v>
      </c>
      <c r="AC13" s="432"/>
    </row>
    <row r="14" spans="1:29" x14ac:dyDescent="0.25">
      <c r="A14" s="1" t="str">
        <f>'Drilling - energy_material_6km'!L41</f>
        <v>S2</v>
      </c>
      <c r="B14" s="437">
        <v>1000</v>
      </c>
      <c r="C14" s="434">
        <v>2500</v>
      </c>
      <c r="D14" s="18">
        <f>E14/24</f>
        <v>15.625</v>
      </c>
      <c r="E14" s="16">
        <f>(C14-B14)/$R$14</f>
        <v>375</v>
      </c>
      <c r="F14" s="474">
        <f>G14/24</f>
        <v>1.5625</v>
      </c>
      <c r="G14" s="438">
        <f>(C14-B14)/$S$14</f>
        <v>37.5</v>
      </c>
      <c r="H14" s="480">
        <f>C14-B14</f>
        <v>1500</v>
      </c>
      <c r="I14" s="480">
        <f>H14/R14/24</f>
        <v>15.625</v>
      </c>
      <c r="J14" s="18">
        <f>H14/S14/24</f>
        <v>1.5625</v>
      </c>
      <c r="K14" s="18">
        <f>C14-B14</f>
        <v>1500</v>
      </c>
      <c r="L14" s="17">
        <f>K14/R14/24</f>
        <v>15.625</v>
      </c>
      <c r="M14" s="17">
        <f>K14/S14/24</f>
        <v>1.5625</v>
      </c>
      <c r="N14" s="450"/>
      <c r="O14" s="20" t="s">
        <v>10</v>
      </c>
      <c r="P14" s="20">
        <f t="shared" ref="P14:P17" si="0">B14</f>
        <v>1000</v>
      </c>
      <c r="Q14" s="20">
        <f t="shared" ref="Q14:Q17" si="1">C14</f>
        <v>2500</v>
      </c>
      <c r="R14" s="20">
        <v>4</v>
      </c>
      <c r="S14" s="20">
        <f t="shared" ref="S14:S18" si="2">R14*10</f>
        <v>40</v>
      </c>
      <c r="Y14" s="56">
        <f>Y15+D26+D36</f>
        <v>82.680555555555557</v>
      </c>
      <c r="Z14" s="56">
        <f>Z15+F26+F36</f>
        <v>29.868055555555557</v>
      </c>
      <c r="AA14" s="55">
        <v>5000</v>
      </c>
      <c r="AB14" s="432" t="s">
        <v>92</v>
      </c>
      <c r="AC14" s="432"/>
    </row>
    <row r="15" spans="1:29" x14ac:dyDescent="0.25">
      <c r="A15" s="1" t="str">
        <f>'Drilling - energy_material_6km'!L42</f>
        <v>S3</v>
      </c>
      <c r="B15" s="437">
        <v>2500</v>
      </c>
      <c r="C15" s="434">
        <v>4000</v>
      </c>
      <c r="D15" s="18">
        <f>E15/24</f>
        <v>20.833333333333332</v>
      </c>
      <c r="E15" s="16">
        <f>(C15-B15)/$R$15</f>
        <v>500</v>
      </c>
      <c r="F15" s="474">
        <f>G15/24</f>
        <v>2.0833333333333335</v>
      </c>
      <c r="G15" s="438">
        <f>(C15-B15)/$S$15</f>
        <v>50</v>
      </c>
      <c r="H15" s="480">
        <f>C15-B15</f>
        <v>1500</v>
      </c>
      <c r="I15" s="480">
        <f>H15/R15/24</f>
        <v>20.833333333333332</v>
      </c>
      <c r="J15" s="18">
        <f>H15/S15/24</f>
        <v>2.0833333333333335</v>
      </c>
      <c r="K15" s="18">
        <f>C15-B15</f>
        <v>1500</v>
      </c>
      <c r="L15" s="17">
        <f>K15/R15/24</f>
        <v>20.833333333333332</v>
      </c>
      <c r="M15" s="17">
        <f>K15/S15/24</f>
        <v>2.0833333333333335</v>
      </c>
      <c r="N15" s="450"/>
      <c r="O15" s="20" t="s">
        <v>11</v>
      </c>
      <c r="P15" s="20">
        <f t="shared" si="0"/>
        <v>2500</v>
      </c>
      <c r="Q15" s="20">
        <f t="shared" si="1"/>
        <v>4000</v>
      </c>
      <c r="R15" s="20">
        <v>3</v>
      </c>
      <c r="S15" s="20">
        <f t="shared" si="2"/>
        <v>30</v>
      </c>
      <c r="Y15" s="56">
        <f>Y16+D16</f>
        <v>74.680555555555557</v>
      </c>
      <c r="Z15" s="56">
        <f>Z16+F16</f>
        <v>21.868055555555557</v>
      </c>
      <c r="AA15" s="55">
        <v>5000</v>
      </c>
      <c r="AB15" s="432" t="s">
        <v>91</v>
      </c>
      <c r="AC15" s="432"/>
    </row>
    <row r="16" spans="1:29" x14ac:dyDescent="0.25">
      <c r="A16" s="1" t="str">
        <f>'Drilling - energy_material_6km'!L43</f>
        <v>S4</v>
      </c>
      <c r="B16" s="437">
        <v>4000</v>
      </c>
      <c r="C16" s="434">
        <v>5000</v>
      </c>
      <c r="D16" s="18">
        <f>E16/24</f>
        <v>13.888888888888888</v>
      </c>
      <c r="E16" s="18">
        <f>(C16-B16)/$R$16</f>
        <v>333.33333333333331</v>
      </c>
      <c r="F16" s="474">
        <f t="shared" ref="F16" si="3">G16/24</f>
        <v>1.3888888888888891</v>
      </c>
      <c r="G16" s="438">
        <f>(C16-B16)/$S$16</f>
        <v>33.333333333333336</v>
      </c>
      <c r="H16" s="480">
        <f>'Drilling - energy_material_4_5'!K43-B16</f>
        <v>500</v>
      </c>
      <c r="I16" s="480">
        <f>H16/R16/24</f>
        <v>6.9444444444444438</v>
      </c>
      <c r="J16" s="18">
        <f>H16/S16/24</f>
        <v>0.69444444444444453</v>
      </c>
      <c r="K16" s="18">
        <f>C16-B16</f>
        <v>1000</v>
      </c>
      <c r="L16" s="17">
        <f>K16/R16/24</f>
        <v>13.888888888888888</v>
      </c>
      <c r="M16" s="17">
        <f>K16/S16/24</f>
        <v>1.3888888888888891</v>
      </c>
      <c r="N16" s="450"/>
      <c r="O16" s="20" t="s">
        <v>12</v>
      </c>
      <c r="P16" s="20">
        <f t="shared" si="0"/>
        <v>4000</v>
      </c>
      <c r="Q16" s="20">
        <f t="shared" si="1"/>
        <v>5000</v>
      </c>
      <c r="R16" s="20">
        <v>3</v>
      </c>
      <c r="S16" s="20">
        <f t="shared" si="2"/>
        <v>30</v>
      </c>
      <c r="Y16" s="56">
        <f>Y17+D25+D35</f>
        <v>60.791666666666671</v>
      </c>
      <c r="Z16" s="56">
        <f>Z17+F25+F35</f>
        <v>20.479166666666668</v>
      </c>
      <c r="AA16" s="55">
        <v>4000</v>
      </c>
      <c r="AB16" s="432" t="s">
        <v>92</v>
      </c>
      <c r="AC16" s="432"/>
    </row>
    <row r="17" spans="1:29" x14ac:dyDescent="0.25">
      <c r="A17" s="1" t="str">
        <f>'Drilling - energy_material_6km'!L44</f>
        <v>S5</v>
      </c>
      <c r="B17" s="437">
        <v>5000</v>
      </c>
      <c r="C17" s="434">
        <v>6000</v>
      </c>
      <c r="D17" s="18">
        <f>E17/24</f>
        <v>20.833333333333332</v>
      </c>
      <c r="E17" s="18">
        <f>(C17-B17)/$R$17</f>
        <v>500</v>
      </c>
      <c r="F17" s="474">
        <f>G17/24</f>
        <v>2.0833333333333335</v>
      </c>
      <c r="G17" s="438">
        <f>(C17-B17)/$S$17</f>
        <v>50</v>
      </c>
      <c r="H17" s="480">
        <v>0</v>
      </c>
      <c r="I17" s="480">
        <f>H17/R17/24</f>
        <v>0</v>
      </c>
      <c r="J17" s="18">
        <f>H17/S17/24</f>
        <v>0</v>
      </c>
      <c r="K17" s="16">
        <f>'Drilling - energy_material_8'!K43-B17</f>
        <v>3000</v>
      </c>
      <c r="L17" s="17">
        <f>K17/R17/24</f>
        <v>62.5</v>
      </c>
      <c r="M17" s="17">
        <f>K17/S17/24</f>
        <v>6.25</v>
      </c>
      <c r="O17" s="20" t="s">
        <v>13</v>
      </c>
      <c r="P17" s="20">
        <f t="shared" si="0"/>
        <v>5000</v>
      </c>
      <c r="Q17" s="20">
        <f t="shared" si="1"/>
        <v>6000</v>
      </c>
      <c r="R17" s="20">
        <v>2</v>
      </c>
      <c r="S17" s="20">
        <f t="shared" si="2"/>
        <v>20</v>
      </c>
      <c r="Y17" s="56">
        <f>Y18+D15</f>
        <v>54.791666666666671</v>
      </c>
      <c r="Z17" s="56">
        <f>Z18+F15</f>
        <v>14.479166666666668</v>
      </c>
      <c r="AA17" s="55">
        <v>4000</v>
      </c>
      <c r="AB17" s="432" t="s">
        <v>91</v>
      </c>
      <c r="AC17" s="432"/>
    </row>
    <row r="18" spans="1:29" x14ac:dyDescent="0.25">
      <c r="B18" s="443" t="s">
        <v>14</v>
      </c>
      <c r="C18" s="444"/>
      <c r="D18" s="481">
        <f t="shared" ref="D18:E18" si="4">SUM(D13:D17)</f>
        <v>79.513888888888886</v>
      </c>
      <c r="E18" s="445">
        <f t="shared" si="4"/>
        <v>1908.3333333333333</v>
      </c>
      <c r="F18" s="482">
        <f t="shared" ref="F18:M18" si="5">SUM(F13:F17)</f>
        <v>7.9513888888888893</v>
      </c>
      <c r="G18" s="445">
        <f t="shared" si="5"/>
        <v>190.83333333333334</v>
      </c>
      <c r="H18" s="475">
        <f t="shared" si="5"/>
        <v>4500</v>
      </c>
      <c r="I18" s="481">
        <f t="shared" si="5"/>
        <v>51.736111111111114</v>
      </c>
      <c r="J18" s="481">
        <f t="shared" si="5"/>
        <v>5.1736111111111116</v>
      </c>
      <c r="K18" s="475">
        <f t="shared" si="5"/>
        <v>8000</v>
      </c>
      <c r="L18" s="481">
        <f t="shared" si="5"/>
        <v>121.18055555555556</v>
      </c>
      <c r="M18" s="481">
        <f t="shared" si="5"/>
        <v>12.118055555555557</v>
      </c>
      <c r="N18" s="452"/>
      <c r="O18" s="20" t="s">
        <v>882</v>
      </c>
      <c r="P18" s="20" t="s">
        <v>1406</v>
      </c>
      <c r="Q18" s="20" t="s">
        <v>1406</v>
      </c>
      <c r="R18" s="20">
        <v>2</v>
      </c>
      <c r="S18" s="20">
        <f t="shared" si="2"/>
        <v>20</v>
      </c>
      <c r="Y18" s="56">
        <f>Y19+D24+D34</f>
        <v>33.958333333333336</v>
      </c>
      <c r="Z18" s="56">
        <f>Z19+F24+F34</f>
        <v>12.395833333333334</v>
      </c>
      <c r="AA18" s="55">
        <v>2500</v>
      </c>
      <c r="AB18" s="432" t="s">
        <v>92</v>
      </c>
      <c r="AC18" s="432"/>
    </row>
    <row r="19" spans="1:29" x14ac:dyDescent="0.25">
      <c r="B19" s="447"/>
      <c r="C19" s="448"/>
      <c r="D19" s="315"/>
      <c r="E19" s="315"/>
      <c r="F19" s="449"/>
      <c r="G19" s="447"/>
      <c r="H19" s="447"/>
      <c r="I19" s="447"/>
      <c r="J19" s="315"/>
      <c r="K19" s="315"/>
      <c r="L19" s="315"/>
      <c r="M19" s="315"/>
      <c r="Q19" s="1" t="s">
        <v>1461</v>
      </c>
      <c r="Y19" s="56">
        <f>Y20+D14</f>
        <v>28.958333333333336</v>
      </c>
      <c r="Z19" s="56">
        <f>Z20+F14</f>
        <v>7.3958333333333339</v>
      </c>
      <c r="AA19" s="55">
        <v>2500</v>
      </c>
      <c r="AB19" s="432" t="s">
        <v>91</v>
      </c>
      <c r="AC19" s="432"/>
    </row>
    <row r="20" spans="1:29" x14ac:dyDescent="0.25">
      <c r="B20" s="439" t="s">
        <v>1485</v>
      </c>
      <c r="C20" s="440"/>
      <c r="D20" s="553" t="s">
        <v>4</v>
      </c>
      <c r="E20" s="554"/>
      <c r="F20" s="553" t="s">
        <v>886</v>
      </c>
      <c r="G20" s="554"/>
      <c r="H20" s="468" t="s">
        <v>1412</v>
      </c>
      <c r="I20" s="468"/>
      <c r="J20" s="437"/>
      <c r="K20" s="479" t="s">
        <v>1413</v>
      </c>
      <c r="L20" s="437"/>
      <c r="M20" s="437"/>
      <c r="N20" s="447"/>
      <c r="Q20" s="414" t="s">
        <v>883</v>
      </c>
      <c r="Y20" s="56">
        <f>Y21+$D$23+$D$33</f>
        <v>13.333333333333334</v>
      </c>
      <c r="Z20" s="56">
        <f>Z21+$F$23+$F$33</f>
        <v>5.8333333333333339</v>
      </c>
      <c r="AA20" s="55">
        <v>1000</v>
      </c>
      <c r="AB20" s="432" t="s">
        <v>92</v>
      </c>
      <c r="AC20" s="432"/>
    </row>
    <row r="21" spans="1:29" x14ac:dyDescent="0.25">
      <c r="B21" s="435" t="s">
        <v>2</v>
      </c>
      <c r="C21" s="436" t="s">
        <v>3</v>
      </c>
      <c r="D21" s="553" t="s">
        <v>1417</v>
      </c>
      <c r="E21" s="554"/>
      <c r="F21" s="553" t="str">
        <f>F11</f>
        <v>6km</v>
      </c>
      <c r="G21" s="554"/>
      <c r="H21" s="468"/>
      <c r="I21" s="483" t="str">
        <f>I11</f>
        <v>Rotary drilling</v>
      </c>
      <c r="J21" s="437" t="str">
        <f>J11</f>
        <v>PPGD</v>
      </c>
      <c r="K21" s="437"/>
      <c r="L21" s="483" t="str">
        <f>L11</f>
        <v>Rotary drilling</v>
      </c>
      <c r="M21" s="437" t="str">
        <f>M11</f>
        <v>PPGD</v>
      </c>
      <c r="N21" s="447"/>
      <c r="Q21" s="1" t="s">
        <v>884</v>
      </c>
      <c r="Y21" s="56">
        <f>D13</f>
        <v>8.3333333333333339</v>
      </c>
      <c r="Z21" s="56">
        <f>F13</f>
        <v>0.83333333333333337</v>
      </c>
      <c r="AA21" s="55">
        <v>1000</v>
      </c>
      <c r="AB21" s="432" t="s">
        <v>91</v>
      </c>
      <c r="AC21" s="432"/>
    </row>
    <row r="22" spans="1:29" x14ac:dyDescent="0.25">
      <c r="B22" s="435" t="s">
        <v>6</v>
      </c>
      <c r="C22" s="436" t="s">
        <v>6</v>
      </c>
      <c r="D22" s="441" t="s">
        <v>7</v>
      </c>
      <c r="E22" s="442" t="s">
        <v>8</v>
      </c>
      <c r="F22" s="441" t="s">
        <v>7</v>
      </c>
      <c r="G22" s="442" t="s">
        <v>8</v>
      </c>
      <c r="H22" s="442"/>
      <c r="I22" s="442" t="str">
        <f>I12</f>
        <v>days</v>
      </c>
      <c r="J22" s="19" t="str">
        <f>J12</f>
        <v>days</v>
      </c>
      <c r="K22" s="19"/>
      <c r="L22" s="483" t="str">
        <f>L12</f>
        <v>days</v>
      </c>
      <c r="M22" s="19" t="str">
        <f>M12</f>
        <v>days</v>
      </c>
      <c r="N22" s="447"/>
      <c r="Q22" s="316"/>
      <c r="Y22" s="55">
        <v>0</v>
      </c>
      <c r="Z22" s="55">
        <v>0</v>
      </c>
      <c r="AA22" s="55">
        <v>0</v>
      </c>
      <c r="AB22" s="432"/>
      <c r="AC22" s="432"/>
    </row>
    <row r="23" spans="1:29" x14ac:dyDescent="0.25">
      <c r="B23" s="437">
        <v>0</v>
      </c>
      <c r="C23" s="434">
        <v>1000</v>
      </c>
      <c r="D23" s="18">
        <v>3</v>
      </c>
      <c r="E23" s="16"/>
      <c r="F23" s="474">
        <f>D23</f>
        <v>3</v>
      </c>
      <c r="G23" s="438"/>
      <c r="H23" s="438"/>
      <c r="I23" s="480">
        <f>D23</f>
        <v>3</v>
      </c>
      <c r="J23" s="18">
        <f>F23</f>
        <v>3</v>
      </c>
      <c r="K23" s="18"/>
      <c r="L23" s="18">
        <f>D23</f>
        <v>3</v>
      </c>
      <c r="M23" s="18">
        <f>F23</f>
        <v>3</v>
      </c>
      <c r="N23" s="450"/>
      <c r="Q23" s="1" t="s">
        <v>1390</v>
      </c>
      <c r="R23" s="1" t="s">
        <v>1391</v>
      </c>
    </row>
    <row r="24" spans="1:29" x14ac:dyDescent="0.25">
      <c r="B24" s="437">
        <v>1000</v>
      </c>
      <c r="C24" s="434">
        <v>2500</v>
      </c>
      <c r="D24" s="18">
        <v>3</v>
      </c>
      <c r="E24" s="16"/>
      <c r="F24" s="474">
        <f>D24</f>
        <v>3</v>
      </c>
      <c r="G24" s="438"/>
      <c r="H24" s="438"/>
      <c r="I24" s="480">
        <f>D24</f>
        <v>3</v>
      </c>
      <c r="J24" s="18">
        <f t="shared" ref="J24:J25" si="6">F24</f>
        <v>3</v>
      </c>
      <c r="K24" s="18"/>
      <c r="L24" s="18">
        <f>D24</f>
        <v>3</v>
      </c>
      <c r="M24" s="18">
        <f t="shared" ref="M24:M26" si="7">F24</f>
        <v>3</v>
      </c>
      <c r="N24" s="450"/>
    </row>
    <row r="25" spans="1:29" x14ac:dyDescent="0.25">
      <c r="B25" s="437">
        <v>2500</v>
      </c>
      <c r="C25" s="434">
        <v>4000</v>
      </c>
      <c r="D25" s="18">
        <v>4</v>
      </c>
      <c r="E25" s="16"/>
      <c r="F25" s="474">
        <f t="shared" ref="F25:F27" si="8">D25</f>
        <v>4</v>
      </c>
      <c r="G25" s="438"/>
      <c r="H25" s="438"/>
      <c r="I25" s="480">
        <f>D25</f>
        <v>4</v>
      </c>
      <c r="J25" s="18">
        <f t="shared" si="6"/>
        <v>4</v>
      </c>
      <c r="K25" s="18"/>
      <c r="L25" s="18">
        <f>D25</f>
        <v>4</v>
      </c>
      <c r="M25" s="18">
        <f t="shared" si="7"/>
        <v>4</v>
      </c>
      <c r="N25" s="450"/>
      <c r="Q25" s="1" t="s">
        <v>1392</v>
      </c>
      <c r="R25" s="1" t="s">
        <v>1393</v>
      </c>
    </row>
    <row r="26" spans="1:29" x14ac:dyDescent="0.25">
      <c r="B26" s="437">
        <v>4000</v>
      </c>
      <c r="C26" s="434">
        <v>5000</v>
      </c>
      <c r="D26" s="18">
        <v>5</v>
      </c>
      <c r="E26" s="16"/>
      <c r="F26" s="474">
        <f t="shared" si="8"/>
        <v>5</v>
      </c>
      <c r="G26" s="438"/>
      <c r="H26" s="438"/>
      <c r="I26" s="480">
        <f>H16*D26/(C26-B26)</f>
        <v>2.5</v>
      </c>
      <c r="J26" s="18">
        <f>H16*F26/(C26-B26)</f>
        <v>2.5</v>
      </c>
      <c r="K26" s="18"/>
      <c r="L26" s="18">
        <f>D26</f>
        <v>5</v>
      </c>
      <c r="M26" s="18">
        <f t="shared" si="7"/>
        <v>5</v>
      </c>
      <c r="N26" s="450"/>
      <c r="Q26" s="1" t="s">
        <v>1394</v>
      </c>
      <c r="R26" s="1" t="s">
        <v>1395</v>
      </c>
    </row>
    <row r="27" spans="1:29" x14ac:dyDescent="0.25">
      <c r="B27" s="19">
        <v>5000</v>
      </c>
      <c r="C27" s="434">
        <v>6000</v>
      </c>
      <c r="D27" s="480">
        <v>6</v>
      </c>
      <c r="E27" s="437"/>
      <c r="F27" s="474">
        <f t="shared" si="8"/>
        <v>6</v>
      </c>
      <c r="G27" s="438"/>
      <c r="H27" s="438"/>
      <c r="I27" s="480">
        <v>0</v>
      </c>
      <c r="J27" s="18">
        <v>0</v>
      </c>
      <c r="K27" s="18"/>
      <c r="L27" s="18">
        <f>K17*D27/(C27-B27)</f>
        <v>18</v>
      </c>
      <c r="M27" s="18">
        <f>K17*F27/(C27-B27)</f>
        <v>18</v>
      </c>
      <c r="N27" s="450"/>
      <c r="Q27" s="1" t="s">
        <v>1396</v>
      </c>
      <c r="R27" s="1" t="s">
        <v>1397</v>
      </c>
    </row>
    <row r="28" spans="1:29" x14ac:dyDescent="0.25">
      <c r="B28" s="437" t="s">
        <v>15</v>
      </c>
      <c r="C28" s="444"/>
      <c r="D28" s="481">
        <f>SUM(D23:D27)</f>
        <v>21</v>
      </c>
      <c r="E28" s="445">
        <f t="shared" ref="E28:G28" si="9">SUM(E23:E26)</f>
        <v>0</v>
      </c>
      <c r="F28" s="484">
        <f>SUM(F23:F27)</f>
        <v>21</v>
      </c>
      <c r="G28" s="475">
        <f t="shared" si="9"/>
        <v>0</v>
      </c>
      <c r="H28" s="445"/>
      <c r="I28" s="481">
        <f>SUM(I23:I27)</f>
        <v>12.5</v>
      </c>
      <c r="J28" s="481">
        <f>SUM(J23:J27)</f>
        <v>12.5</v>
      </c>
      <c r="K28" s="445"/>
      <c r="L28" s="481">
        <f>SUM(L23:L27)</f>
        <v>33</v>
      </c>
      <c r="M28" s="481">
        <f>SUM(M23:M27)</f>
        <v>33</v>
      </c>
      <c r="N28" s="452"/>
      <c r="Q28" s="1" t="s">
        <v>1398</v>
      </c>
      <c r="R28" s="1" t="s">
        <v>1399</v>
      </c>
    </row>
    <row r="29" spans="1:29" x14ac:dyDescent="0.25">
      <c r="B29" s="447"/>
      <c r="C29" s="448"/>
      <c r="D29" s="450"/>
      <c r="E29" s="450"/>
      <c r="F29" s="451"/>
      <c r="G29" s="452"/>
      <c r="H29" s="452"/>
      <c r="I29" s="452"/>
      <c r="J29" s="315"/>
      <c r="K29" s="315"/>
      <c r="L29" s="315"/>
      <c r="M29" s="315"/>
    </row>
    <row r="30" spans="1:29" x14ac:dyDescent="0.25">
      <c r="B30" s="439" t="s">
        <v>1486</v>
      </c>
      <c r="C30" s="440"/>
      <c r="D30" s="553" t="s">
        <v>4</v>
      </c>
      <c r="E30" s="554"/>
      <c r="F30" s="553" t="s">
        <v>886</v>
      </c>
      <c r="G30" s="554"/>
      <c r="H30" s="468" t="str">
        <f>H20</f>
        <v>4.5 km</v>
      </c>
      <c r="I30" s="468"/>
      <c r="J30" s="437"/>
      <c r="K30" s="437"/>
      <c r="L30" s="437"/>
      <c r="M30" s="437"/>
      <c r="N30" s="447"/>
      <c r="Q30" s="1" t="s">
        <v>1400</v>
      </c>
      <c r="R30" s="1" t="s">
        <v>1401</v>
      </c>
    </row>
    <row r="31" spans="1:29" x14ac:dyDescent="0.25">
      <c r="B31" s="435" t="s">
        <v>2</v>
      </c>
      <c r="C31" s="436" t="s">
        <v>3</v>
      </c>
      <c r="D31" s="551"/>
      <c r="E31" s="552"/>
      <c r="F31" s="551" t="str">
        <f>F21</f>
        <v>6km</v>
      </c>
      <c r="G31" s="552"/>
      <c r="H31" s="467"/>
      <c r="I31" s="467" t="str">
        <f>I21</f>
        <v>Rotary drilling</v>
      </c>
      <c r="J31" s="437" t="str">
        <f>J21</f>
        <v>PPGD</v>
      </c>
      <c r="K31" s="437"/>
      <c r="L31" s="437" t="str">
        <f>L11</f>
        <v>Rotary drilling</v>
      </c>
      <c r="M31" s="437" t="str">
        <f>M21</f>
        <v>PPGD</v>
      </c>
      <c r="N31" s="447"/>
    </row>
    <row r="32" spans="1:29" x14ac:dyDescent="0.25">
      <c r="B32" s="435" t="s">
        <v>6</v>
      </c>
      <c r="C32" s="436" t="s">
        <v>6</v>
      </c>
      <c r="D32" s="441" t="s">
        <v>7</v>
      </c>
      <c r="E32" s="442" t="s">
        <v>8</v>
      </c>
      <c r="F32" s="441" t="s">
        <v>7</v>
      </c>
      <c r="G32" s="442" t="s">
        <v>8</v>
      </c>
      <c r="H32" s="442"/>
      <c r="I32" s="442" t="str">
        <f>I22</f>
        <v>days</v>
      </c>
      <c r="J32" s="19" t="str">
        <f>J22</f>
        <v>days</v>
      </c>
      <c r="K32" s="19"/>
      <c r="L32" s="19" t="str">
        <f>L12</f>
        <v>days</v>
      </c>
      <c r="M32" s="19" t="str">
        <f>M22</f>
        <v>days</v>
      </c>
      <c r="N32" s="447"/>
    </row>
    <row r="33" spans="2:15" x14ac:dyDescent="0.25">
      <c r="B33" s="437">
        <v>0</v>
      </c>
      <c r="C33" s="434">
        <v>1000</v>
      </c>
      <c r="D33" s="18">
        <v>2</v>
      </c>
      <c r="E33" s="18"/>
      <c r="F33" s="474">
        <f>+D33</f>
        <v>2</v>
      </c>
      <c r="G33" s="480"/>
      <c r="H33" s="480"/>
      <c r="I33" s="480">
        <f>D33</f>
        <v>2</v>
      </c>
      <c r="J33" s="18">
        <f>F33</f>
        <v>2</v>
      </c>
      <c r="K33" s="18"/>
      <c r="L33" s="18">
        <f>D33</f>
        <v>2</v>
      </c>
      <c r="M33" s="18">
        <f>F33</f>
        <v>2</v>
      </c>
      <c r="N33" s="450"/>
    </row>
    <row r="34" spans="2:15" x14ac:dyDescent="0.25">
      <c r="B34" s="437">
        <v>1000</v>
      </c>
      <c r="C34" s="434">
        <v>2500</v>
      </c>
      <c r="D34" s="18">
        <v>2</v>
      </c>
      <c r="E34" s="18"/>
      <c r="F34" s="474">
        <f t="shared" ref="F34:F35" si="10">+D34</f>
        <v>2</v>
      </c>
      <c r="G34" s="480"/>
      <c r="H34" s="480"/>
      <c r="I34" s="480">
        <f>D34</f>
        <v>2</v>
      </c>
      <c r="J34" s="18">
        <f t="shared" ref="J34:J35" si="11">F34</f>
        <v>2</v>
      </c>
      <c r="K34" s="18"/>
      <c r="L34" s="18">
        <f>D34</f>
        <v>2</v>
      </c>
      <c r="M34" s="18">
        <f t="shared" ref="M34:M36" si="12">F34</f>
        <v>2</v>
      </c>
      <c r="N34" s="450"/>
    </row>
    <row r="35" spans="2:15" x14ac:dyDescent="0.25">
      <c r="B35" s="437">
        <v>2500</v>
      </c>
      <c r="C35" s="434">
        <v>4000</v>
      </c>
      <c r="D35" s="18">
        <v>2</v>
      </c>
      <c r="E35" s="18"/>
      <c r="F35" s="474">
        <f t="shared" si="10"/>
        <v>2</v>
      </c>
      <c r="G35" s="480"/>
      <c r="H35" s="480"/>
      <c r="I35" s="480">
        <f>D35</f>
        <v>2</v>
      </c>
      <c r="J35" s="18">
        <f t="shared" si="11"/>
        <v>2</v>
      </c>
      <c r="K35" s="18"/>
      <c r="L35" s="18">
        <f>D35</f>
        <v>2</v>
      </c>
      <c r="M35" s="18">
        <f t="shared" si="12"/>
        <v>2</v>
      </c>
      <c r="N35" s="450"/>
    </row>
    <row r="36" spans="2:15" x14ac:dyDescent="0.25">
      <c r="B36" s="437">
        <v>4000</v>
      </c>
      <c r="C36" s="434">
        <v>5000</v>
      </c>
      <c r="D36" s="18">
        <v>3</v>
      </c>
      <c r="E36" s="18"/>
      <c r="F36" s="474">
        <f>+D36</f>
        <v>3</v>
      </c>
      <c r="G36" s="480"/>
      <c r="H36" s="480"/>
      <c r="I36" s="438">
        <f>H16*D36/(C36-B36)</f>
        <v>1.5</v>
      </c>
      <c r="J36" s="17">
        <f>H16*F36/(C36-B36)</f>
        <v>1.5</v>
      </c>
      <c r="K36" s="18"/>
      <c r="L36" s="18">
        <f>D36</f>
        <v>3</v>
      </c>
      <c r="M36" s="18">
        <f t="shared" si="12"/>
        <v>3</v>
      </c>
      <c r="N36" s="450"/>
    </row>
    <row r="37" spans="2:15" x14ac:dyDescent="0.25">
      <c r="B37" s="437">
        <v>5000</v>
      </c>
      <c r="C37" s="434">
        <v>6000</v>
      </c>
      <c r="D37" s="480">
        <v>3</v>
      </c>
      <c r="E37" s="480"/>
      <c r="F37" s="474">
        <f>+D37</f>
        <v>3</v>
      </c>
      <c r="G37" s="480"/>
      <c r="H37" s="480"/>
      <c r="I37" s="480"/>
      <c r="J37" s="18">
        <v>0</v>
      </c>
      <c r="K37" s="18"/>
      <c r="L37" s="18">
        <f>K17*D37/(C37-B37)</f>
        <v>9</v>
      </c>
      <c r="M37" s="18">
        <f>K17*F37/(C37-B37)</f>
        <v>9</v>
      </c>
      <c r="N37" s="450"/>
    </row>
    <row r="38" spans="2:15" x14ac:dyDescent="0.25">
      <c r="B38" s="443" t="s">
        <v>16</v>
      </c>
      <c r="C38" s="444"/>
      <c r="D38" s="481">
        <f>SUM(D33:D37)</f>
        <v>12</v>
      </c>
      <c r="E38" s="475"/>
      <c r="F38" s="484">
        <f>SUM(F33:F37)</f>
        <v>12</v>
      </c>
      <c r="G38" s="475"/>
      <c r="H38" s="475"/>
      <c r="I38" s="481">
        <f>SUM(I33:I37)</f>
        <v>7.5</v>
      </c>
      <c r="J38" s="481">
        <f>SUM(J33:J37)</f>
        <v>7.5</v>
      </c>
      <c r="K38" s="475"/>
      <c r="L38" s="481">
        <f>SUM(L33:L37)</f>
        <v>18</v>
      </c>
      <c r="M38" s="481">
        <f>SUM(M33:M37)</f>
        <v>18</v>
      </c>
      <c r="N38" s="452"/>
    </row>
    <row r="39" spans="2:15" x14ac:dyDescent="0.25">
      <c r="B39" s="320" t="s">
        <v>17</v>
      </c>
      <c r="C39" s="448"/>
      <c r="D39" s="315"/>
      <c r="E39" s="315"/>
      <c r="F39" s="449"/>
      <c r="G39" s="447"/>
      <c r="H39" s="447"/>
      <c r="I39" s="447"/>
      <c r="J39" s="315"/>
      <c r="K39" s="315"/>
      <c r="L39" s="315"/>
      <c r="M39" s="315"/>
    </row>
    <row r="40" spans="2:15" x14ac:dyDescent="0.25">
      <c r="B40" s="320" t="s">
        <v>646</v>
      </c>
      <c r="C40" s="321"/>
      <c r="D40" s="322">
        <f>D18+D28+D38</f>
        <v>112.51388888888889</v>
      </c>
      <c r="E40" s="323"/>
      <c r="F40" s="322">
        <f>F18+F28+F38</f>
        <v>40.951388888888886</v>
      </c>
      <c r="G40" s="324"/>
      <c r="H40" s="324"/>
      <c r="I40" s="322">
        <f>I18+I28+I38</f>
        <v>71.736111111111114</v>
      </c>
      <c r="J40" s="322">
        <f>J18+J28+J38</f>
        <v>25.173611111111111</v>
      </c>
      <c r="K40" s="322"/>
      <c r="L40" s="322">
        <f>L18+L28+L38</f>
        <v>172.18055555555554</v>
      </c>
      <c r="M40" s="322">
        <f>M18+M28+M38</f>
        <v>63.118055555555557</v>
      </c>
      <c r="N40" s="453"/>
      <c r="O40" s="51"/>
    </row>
    <row r="41" spans="2:15" x14ac:dyDescent="0.25">
      <c r="B41" s="320" t="s">
        <v>877</v>
      </c>
      <c r="C41" s="321"/>
      <c r="D41" s="322">
        <f>2*D40</f>
        <v>225.02777777777777</v>
      </c>
      <c r="E41" s="322"/>
      <c r="F41" s="322">
        <f>2*F40</f>
        <v>81.902777777777771</v>
      </c>
      <c r="G41" s="321"/>
      <c r="H41" s="321"/>
      <c r="I41" s="322">
        <f>2*I40</f>
        <v>143.47222222222223</v>
      </c>
      <c r="J41" s="322">
        <f>2*J40</f>
        <v>50.347222222222221</v>
      </c>
      <c r="K41" s="322"/>
      <c r="L41" s="322">
        <f>2*L40</f>
        <v>344.36111111111109</v>
      </c>
      <c r="M41" s="322">
        <f>2*M40</f>
        <v>126.23611111111111</v>
      </c>
      <c r="N41" s="453"/>
    </row>
    <row r="42" spans="2:15" x14ac:dyDescent="0.25">
      <c r="B42" s="320" t="s">
        <v>879</v>
      </c>
      <c r="C42" s="321"/>
      <c r="D42" s="321">
        <f>'Drilling - well design'!T21/R18/24</f>
        <v>875</v>
      </c>
      <c r="E42" s="321"/>
      <c r="F42" s="485">
        <f>'Drilling - well design'!T21/S18/24</f>
        <v>87.5</v>
      </c>
      <c r="G42" s="321"/>
      <c r="H42" s="321"/>
      <c r="I42" s="321">
        <f>'Drilling - well design'!U21/R18/24</f>
        <v>875</v>
      </c>
      <c r="J42" s="485">
        <f>'Drilling - well design'!U21/S18/24</f>
        <v>87.5</v>
      </c>
      <c r="K42" s="321"/>
      <c r="L42" s="321">
        <f>'Drilling - well design'!AB21/R18/24</f>
        <v>875</v>
      </c>
      <c r="M42" s="321">
        <f>'Drilling - well design'!AB21/S18/24</f>
        <v>87.5</v>
      </c>
    </row>
    <row r="43" spans="2:15" x14ac:dyDescent="0.25">
      <c r="B43" s="320" t="s">
        <v>878</v>
      </c>
      <c r="C43" s="325"/>
      <c r="D43" s="322">
        <f>SUM(D41:D42)</f>
        <v>1100.0277777777778</v>
      </c>
      <c r="E43" s="320"/>
      <c r="F43" s="322">
        <f>SUM(F41:F42)</f>
        <v>169.40277777777777</v>
      </c>
      <c r="G43" s="320"/>
      <c r="H43" s="320"/>
      <c r="I43" s="322">
        <f t="shared" ref="I43:J43" si="13">SUM(I41:I42)</f>
        <v>1018.4722222222222</v>
      </c>
      <c r="J43" s="322">
        <f t="shared" si="13"/>
        <v>137.84722222222223</v>
      </c>
      <c r="K43" s="322"/>
      <c r="L43" s="322">
        <f t="shared" ref="L43:M43" si="14">SUM(L41:L42)</f>
        <v>1219.3611111111111</v>
      </c>
      <c r="M43" s="322">
        <f t="shared" si="14"/>
        <v>213.73611111111111</v>
      </c>
      <c r="N43" s="453"/>
    </row>
    <row r="44" spans="2:15" x14ac:dyDescent="0.25">
      <c r="B44" s="316"/>
      <c r="C44" s="454"/>
      <c r="D44" s="453"/>
      <c r="E44" s="316"/>
      <c r="F44" s="453"/>
      <c r="G44" s="316"/>
      <c r="H44" s="316"/>
      <c r="I44" s="316"/>
      <c r="J44" s="453"/>
      <c r="K44" s="453"/>
      <c r="L44" s="453"/>
      <c r="M44" s="453"/>
      <c r="N44" s="453"/>
    </row>
    <row r="45" spans="2:15" x14ac:dyDescent="0.25">
      <c r="B45" s="316"/>
      <c r="C45" s="454"/>
      <c r="D45" s="453"/>
      <c r="E45" s="316"/>
      <c r="F45" s="453"/>
      <c r="G45" s="316"/>
      <c r="H45" s="316"/>
      <c r="I45" s="316"/>
      <c r="J45" s="453"/>
      <c r="K45" s="453"/>
      <c r="L45" s="453"/>
      <c r="M45" s="453"/>
      <c r="N45" s="453"/>
    </row>
    <row r="46" spans="2:15" x14ac:dyDescent="0.25">
      <c r="B46" s="316"/>
      <c r="C46" s="454"/>
      <c r="D46" s="453"/>
      <c r="E46" s="316">
        <f>80+21+12</f>
        <v>113</v>
      </c>
      <c r="F46" s="453">
        <f>8+21+12</f>
        <v>41</v>
      </c>
      <c r="G46" s="316"/>
      <c r="H46" s="316"/>
      <c r="I46" s="316"/>
      <c r="J46" s="453"/>
      <c r="K46" s="453"/>
      <c r="L46" s="453"/>
      <c r="M46" s="453"/>
      <c r="N46" s="453"/>
    </row>
    <row r="47" spans="2:15" x14ac:dyDescent="0.25">
      <c r="B47" s="316"/>
      <c r="C47" s="454"/>
      <c r="D47" s="453"/>
      <c r="E47" s="316"/>
      <c r="F47" s="453"/>
      <c r="G47" s="316"/>
      <c r="H47" s="316"/>
      <c r="I47" s="316"/>
      <c r="J47" s="453"/>
      <c r="K47" s="453"/>
      <c r="L47" s="453"/>
      <c r="M47" s="453"/>
      <c r="N47" s="453"/>
    </row>
    <row r="48" spans="2:15" x14ac:dyDescent="0.25">
      <c r="B48" s="316"/>
      <c r="C48" s="454"/>
      <c r="D48" s="453"/>
      <c r="E48" s="316"/>
      <c r="F48" s="453"/>
      <c r="G48" s="316"/>
      <c r="H48" s="316"/>
      <c r="I48" s="316"/>
      <c r="J48" s="453"/>
      <c r="K48" s="453"/>
      <c r="L48" s="453"/>
      <c r="M48" s="453"/>
      <c r="N48" s="453"/>
    </row>
    <row r="49" spans="2:13" x14ac:dyDescent="0.25">
      <c r="E49" s="1" t="s">
        <v>1416</v>
      </c>
      <c r="M49" s="315"/>
    </row>
    <row r="50" spans="2:13" x14ac:dyDescent="0.25">
      <c r="E50" s="1" t="s">
        <v>1423</v>
      </c>
      <c r="F50" s="1" t="s">
        <v>1424</v>
      </c>
      <c r="G50" s="1" t="s">
        <v>1425</v>
      </c>
      <c r="M50" s="315"/>
    </row>
    <row r="51" spans="2:13" x14ac:dyDescent="0.25">
      <c r="B51" s="1" t="s">
        <v>647</v>
      </c>
      <c r="C51" s="129">
        <f>SUM('AGS CO2 PPGD'!I2:I129)</f>
        <v>7182.2243342470283</v>
      </c>
      <c r="D51" s="1" t="s">
        <v>648</v>
      </c>
      <c r="E51" s="129">
        <f>'AGS CO2 PPGD'!I139</f>
        <v>429.25678444620684</v>
      </c>
      <c r="F51" s="129">
        <f>'AGS CO2 PPGD'!I140</f>
        <v>2794.691253031463</v>
      </c>
      <c r="G51" s="129">
        <f>'AGS CO2 PPGD'!I141</f>
        <v>3958.2762967693579</v>
      </c>
      <c r="H51" s="129"/>
      <c r="I51" s="129"/>
      <c r="M51" s="315"/>
    </row>
    <row r="52" spans="2:13" x14ac:dyDescent="0.25">
      <c r="C52" s="129">
        <f>C51*F43</f>
        <v>1216688.7528445972</v>
      </c>
      <c r="D52" s="1" t="s">
        <v>7</v>
      </c>
      <c r="E52" s="129">
        <f>E51*J43</f>
        <v>59171.855355952823</v>
      </c>
      <c r="F52" s="129">
        <f>F51*F43</f>
        <v>473428.46129478823</v>
      </c>
      <c r="G52" s="129">
        <f>G51*M43</f>
        <v>846026.58237477287</v>
      </c>
      <c r="H52" s="129"/>
      <c r="I52" s="129"/>
      <c r="M52" s="315"/>
    </row>
    <row r="53" spans="2:13" x14ac:dyDescent="0.25">
      <c r="C53" s="129">
        <f>C52/365</f>
        <v>3333.3938434098554</v>
      </c>
      <c r="D53" s="1" t="s">
        <v>645</v>
      </c>
      <c r="E53" s="129">
        <f>E52/365</f>
        <v>162.11467220808993</v>
      </c>
      <c r="F53" s="129">
        <f>F52/365</f>
        <v>1297.0642775199678</v>
      </c>
      <c r="G53" s="129">
        <f>G52/365</f>
        <v>2317.8810476021176</v>
      </c>
      <c r="H53" s="129"/>
      <c r="I53" s="129"/>
      <c r="M53" s="315"/>
    </row>
    <row r="54" spans="2:13" x14ac:dyDescent="0.25">
      <c r="C54" s="416">
        <f>C53/20</f>
        <v>166.66969217049277</v>
      </c>
      <c r="E54" s="416">
        <f>SUM(E53:G53)/20</f>
        <v>188.85299986650878</v>
      </c>
      <c r="F54" s="51" t="s">
        <v>649</v>
      </c>
      <c r="M54" s="315"/>
    </row>
  </sheetData>
  <mergeCells count="12">
    <mergeCell ref="D31:E31"/>
    <mergeCell ref="F31:G31"/>
    <mergeCell ref="D30:E30"/>
    <mergeCell ref="F30:G30"/>
    <mergeCell ref="F10:G10"/>
    <mergeCell ref="D10:E10"/>
    <mergeCell ref="D20:E20"/>
    <mergeCell ref="F20:G20"/>
    <mergeCell ref="D11:E11"/>
    <mergeCell ref="F11:G11"/>
    <mergeCell ref="D21:E21"/>
    <mergeCell ref="F21:G21"/>
  </mergeCells>
  <pageMargins left="0.7" right="0.7" top="0.78740157499999996" bottom="0.78740157499999996"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29A8C-0F64-416B-8714-0FD112B10506}">
  <sheetPr>
    <tabColor theme="7" tint="-0.249977111117893"/>
  </sheetPr>
  <dimension ref="B2:AB34"/>
  <sheetViews>
    <sheetView workbookViewId="0">
      <selection activeCell="B3" sqref="B3"/>
    </sheetView>
  </sheetViews>
  <sheetFormatPr defaultColWidth="12.42578125" defaultRowHeight="15.75" x14ac:dyDescent="0.25"/>
  <cols>
    <col min="1" max="1" width="12.42578125" style="1"/>
    <col min="2" max="2" width="26.85546875" style="1" customWidth="1"/>
    <col min="3" max="3" width="22.7109375" style="1" customWidth="1"/>
    <col min="4" max="4" width="21" style="1" customWidth="1"/>
    <col min="5" max="5" width="22.140625" style="1" customWidth="1"/>
    <col min="6" max="7" width="12.42578125" style="1"/>
    <col min="8" max="8" width="23.140625" style="1" customWidth="1"/>
    <col min="9" max="10" width="12.42578125" style="1"/>
    <col min="11" max="13" width="15.5703125" style="1" customWidth="1"/>
    <col min="14" max="14" width="16.140625" style="1" customWidth="1"/>
    <col min="15" max="15" width="17.140625" style="1" customWidth="1"/>
    <col min="16" max="16" width="19.42578125" style="1" customWidth="1"/>
    <col min="17" max="22" width="12.42578125" style="1"/>
    <col min="23" max="23" width="21" style="1" bestFit="1" customWidth="1"/>
    <col min="24" max="16384" width="12.42578125" style="1"/>
  </cols>
  <sheetData>
    <row r="2" spans="2:28" x14ac:dyDescent="0.25">
      <c r="B2" s="9" t="s">
        <v>2119</v>
      </c>
    </row>
    <row r="3" spans="2:28" x14ac:dyDescent="0.25">
      <c r="B3" s="15" t="s">
        <v>94</v>
      </c>
    </row>
    <row r="7" spans="2:28" x14ac:dyDescent="0.25">
      <c r="B7" s="2" t="s">
        <v>18</v>
      </c>
      <c r="C7"/>
      <c r="D7"/>
      <c r="E7"/>
    </row>
    <row r="8" spans="2:28" x14ac:dyDescent="0.25">
      <c r="B8" s="3" t="s">
        <v>53</v>
      </c>
      <c r="C8"/>
      <c r="D8"/>
      <c r="E8"/>
      <c r="F8" s="1">
        <v>100</v>
      </c>
      <c r="G8" s="1" t="s">
        <v>54</v>
      </c>
    </row>
    <row r="9" spans="2:28" x14ac:dyDescent="0.25">
      <c r="B9" s="7" t="s">
        <v>19</v>
      </c>
      <c r="C9"/>
      <c r="D9"/>
      <c r="E9"/>
    </row>
    <row r="10" spans="2:28" x14ac:dyDescent="0.25">
      <c r="B10" s="3" t="s">
        <v>20</v>
      </c>
      <c r="C10"/>
      <c r="D10"/>
      <c r="E10"/>
    </row>
    <row r="11" spans="2:28" x14ac:dyDescent="0.25">
      <c r="B11" s="3" t="s">
        <v>21</v>
      </c>
      <c r="C11"/>
      <c r="D11"/>
      <c r="E11"/>
    </row>
    <row r="12" spans="2:28" x14ac:dyDescent="0.25">
      <c r="B12" s="7" t="s">
        <v>22</v>
      </c>
      <c r="C12"/>
      <c r="D12"/>
      <c r="E12"/>
    </row>
    <row r="13" spans="2:28" x14ac:dyDescent="0.25">
      <c r="B13" s="8" t="s">
        <v>23</v>
      </c>
      <c r="C13"/>
      <c r="D13"/>
      <c r="E13"/>
    </row>
    <row r="14" spans="2:28" x14ac:dyDescent="0.25">
      <c r="B14" s="3" t="s">
        <v>24</v>
      </c>
      <c r="C14"/>
      <c r="D14"/>
      <c r="E14"/>
      <c r="G14" s="432"/>
      <c r="H14" s="432"/>
      <c r="I14" s="432"/>
      <c r="J14" s="433" t="s">
        <v>1482</v>
      </c>
      <c r="K14" s="432"/>
      <c r="L14" s="432"/>
      <c r="M14" s="432"/>
      <c r="N14" s="470" t="s">
        <v>1478</v>
      </c>
      <c r="O14" s="471"/>
      <c r="P14" s="471"/>
      <c r="Q14" s="471"/>
      <c r="R14" s="471"/>
      <c r="S14" s="471"/>
      <c r="T14" s="470" t="s">
        <v>1534</v>
      </c>
      <c r="U14" s="471"/>
      <c r="V14" s="472" t="s">
        <v>1479</v>
      </c>
      <c r="W14" s="473"/>
      <c r="X14" s="473"/>
      <c r="Y14" s="473"/>
      <c r="Z14" s="473"/>
      <c r="AA14" s="473"/>
      <c r="AB14" s="473"/>
    </row>
    <row r="15" spans="2:28" ht="16.5" thickBot="1" x14ac:dyDescent="0.3">
      <c r="B15" s="2"/>
      <c r="C15"/>
      <c r="D15"/>
      <c r="E15"/>
      <c r="G15" s="432"/>
      <c r="H15" s="432"/>
      <c r="I15" s="432"/>
      <c r="J15" s="432"/>
      <c r="K15" s="432"/>
      <c r="L15" s="432"/>
      <c r="M15" s="432"/>
      <c r="N15" s="470" t="s">
        <v>1480</v>
      </c>
      <c r="O15" s="471"/>
      <c r="P15" s="470" t="s">
        <v>1481</v>
      </c>
      <c r="Q15" s="471"/>
      <c r="R15" s="470" t="s">
        <v>1532</v>
      </c>
      <c r="S15" s="470" t="s">
        <v>1533</v>
      </c>
      <c r="T15" s="471" t="s">
        <v>1417</v>
      </c>
      <c r="U15" s="471" t="s">
        <v>1412</v>
      </c>
      <c r="V15" s="472" t="s">
        <v>1480</v>
      </c>
      <c r="W15" s="473"/>
      <c r="X15" s="472" t="s">
        <v>1481</v>
      </c>
      <c r="Y15" s="473"/>
      <c r="Z15" s="472" t="str">
        <f>R15</f>
        <v>Wall thickness</v>
      </c>
      <c r="AA15" s="472" t="str">
        <f>S15</f>
        <v>Tubing diameter</v>
      </c>
      <c r="AB15" s="472" t="s">
        <v>1535</v>
      </c>
    </row>
    <row r="16" spans="2:28" ht="32.25" thickBot="1" x14ac:dyDescent="0.3">
      <c r="B16" s="4" t="s">
        <v>25</v>
      </c>
      <c r="C16" s="4" t="s">
        <v>26</v>
      </c>
      <c r="D16" s="4" t="s">
        <v>27</v>
      </c>
      <c r="E16" s="4" t="s">
        <v>28</v>
      </c>
      <c r="G16" s="432"/>
      <c r="H16" s="432"/>
      <c r="I16" s="55" t="s">
        <v>25</v>
      </c>
      <c r="J16" s="55" t="s">
        <v>889</v>
      </c>
      <c r="K16" s="55"/>
      <c r="L16" s="55" t="s">
        <v>386</v>
      </c>
      <c r="M16" s="55" t="s">
        <v>891</v>
      </c>
      <c r="N16" s="308" t="s">
        <v>95</v>
      </c>
      <c r="O16" s="308" t="s">
        <v>96</v>
      </c>
      <c r="P16" s="308" t="s">
        <v>95</v>
      </c>
      <c r="Q16" s="308" t="s">
        <v>96</v>
      </c>
      <c r="R16" s="471" t="s">
        <v>95</v>
      </c>
      <c r="S16" s="471" t="s">
        <v>95</v>
      </c>
      <c r="T16" s="471" t="s">
        <v>54</v>
      </c>
      <c r="U16" s="471"/>
      <c r="V16" s="473" t="str">
        <f>N16</f>
        <v>inch</v>
      </c>
      <c r="W16" s="473" t="str">
        <f>O16</f>
        <v>cm</v>
      </c>
      <c r="X16" s="473" t="str">
        <f>P16</f>
        <v>inch</v>
      </c>
      <c r="Y16" s="473" t="str">
        <f>Q16</f>
        <v>cm</v>
      </c>
      <c r="Z16" s="473" t="s">
        <v>95</v>
      </c>
      <c r="AA16" s="473" t="s">
        <v>95</v>
      </c>
      <c r="AB16" s="473" t="s">
        <v>54</v>
      </c>
    </row>
    <row r="17" spans="2:28" ht="16.5" thickBot="1" x14ac:dyDescent="0.3">
      <c r="B17" s="5" t="s">
        <v>29</v>
      </c>
      <c r="C17" s="5" t="s">
        <v>30</v>
      </c>
      <c r="D17" s="5" t="s">
        <v>31</v>
      </c>
      <c r="E17" s="5" t="s">
        <v>881</v>
      </c>
      <c r="G17" s="555" t="s">
        <v>888</v>
      </c>
      <c r="H17" s="432" t="s">
        <v>337</v>
      </c>
      <c r="I17" s="432" t="str">
        <f>B17</f>
        <v>Surface Conductor</v>
      </c>
      <c r="J17" s="432">
        <v>0</v>
      </c>
      <c r="K17" s="432">
        <v>250</v>
      </c>
      <c r="L17" s="432">
        <f>K17-J17</f>
        <v>250</v>
      </c>
      <c r="M17" s="432">
        <v>2</v>
      </c>
      <c r="N17" s="471">
        <v>24</v>
      </c>
      <c r="O17" s="471">
        <f>N17*cm_per_inch</f>
        <v>60.96</v>
      </c>
      <c r="P17" s="471">
        <v>20</v>
      </c>
      <c r="Q17" s="471">
        <f>P17*cm_per_inch</f>
        <v>50.8</v>
      </c>
      <c r="R17" s="471">
        <f>'Drilling - energy_material_6km'!T40</f>
        <v>0.5</v>
      </c>
      <c r="S17" s="471">
        <f>P17-2*R17</f>
        <v>19</v>
      </c>
      <c r="T17" s="471">
        <f>'Drilling - energy_material_6km'!O40</f>
        <v>250</v>
      </c>
      <c r="U17" s="471">
        <f>'Drilling - energy_material_4_5'!O40</f>
        <v>250</v>
      </c>
      <c r="V17" s="473">
        <v>36</v>
      </c>
      <c r="W17" s="473">
        <f>V17*cm_per_inch</f>
        <v>91.44</v>
      </c>
      <c r="X17" s="473">
        <v>30</v>
      </c>
      <c r="Y17" s="473">
        <f>X17*cm_per_inch</f>
        <v>76.2</v>
      </c>
      <c r="Z17" s="473">
        <f>'Drilling - energy_material_8'!T40</f>
        <v>0.5</v>
      </c>
      <c r="AA17" s="473">
        <f>X17-2*Z17</f>
        <v>29</v>
      </c>
      <c r="AB17" s="473">
        <f>'Drilling - energy_material_8'!O40</f>
        <v>250</v>
      </c>
    </row>
    <row r="18" spans="2:28" ht="16.5" thickBot="1" x14ac:dyDescent="0.3">
      <c r="B18" s="5" t="s">
        <v>32</v>
      </c>
      <c r="C18" s="5" t="s">
        <v>33</v>
      </c>
      <c r="D18" s="5" t="s">
        <v>34</v>
      </c>
      <c r="E18" s="5" t="s">
        <v>872</v>
      </c>
      <c r="G18" s="556"/>
      <c r="H18" s="432" t="s">
        <v>338</v>
      </c>
      <c r="I18" s="432" t="s">
        <v>97</v>
      </c>
      <c r="J18" s="432">
        <v>250</v>
      </c>
      <c r="K18" s="432">
        <v>2000</v>
      </c>
      <c r="L18" s="432">
        <f>K18-J18</f>
        <v>1750</v>
      </c>
      <c r="M18" s="432">
        <v>2</v>
      </c>
      <c r="N18" s="471">
        <v>17.5</v>
      </c>
      <c r="O18" s="471">
        <f>N18*cm_per_inch</f>
        <v>44.45</v>
      </c>
      <c r="P18" s="471">
        <f>13+3/8</f>
        <v>13.375</v>
      </c>
      <c r="Q18" s="471">
        <f>P18*cm_per_inch</f>
        <v>33.972500000000004</v>
      </c>
      <c r="R18" s="471">
        <f>'Drilling - energy_material_6km'!T41</f>
        <v>0.4</v>
      </c>
      <c r="S18" s="471">
        <f t="shared" ref="S18:S20" si="0">P18-2*R18</f>
        <v>12.574999999999999</v>
      </c>
      <c r="T18" s="471">
        <f>'Drilling - energy_material_6km'!O41</f>
        <v>1750</v>
      </c>
      <c r="U18" s="471">
        <f>'Drilling - energy_material_4_5'!O41</f>
        <v>1750</v>
      </c>
      <c r="V18" s="473">
        <v>26</v>
      </c>
      <c r="W18" s="473">
        <f>V18*cm_per_inch</f>
        <v>66.040000000000006</v>
      </c>
      <c r="X18" s="473">
        <f>18+5/8</f>
        <v>18.625</v>
      </c>
      <c r="Y18" s="473">
        <f>X18*cm_per_inch</f>
        <v>47.307499999999997</v>
      </c>
      <c r="Z18" s="473">
        <f>'Drilling - energy_material_8'!T41</f>
        <v>0.4</v>
      </c>
      <c r="AA18" s="473">
        <f>X18-2*Z18</f>
        <v>17.824999999999999</v>
      </c>
      <c r="AB18" s="473">
        <f>'Drilling - energy_material_8'!O41</f>
        <v>1750</v>
      </c>
    </row>
    <row r="19" spans="2:28" ht="16.5" thickBot="1" x14ac:dyDescent="0.3">
      <c r="B19" s="5" t="s">
        <v>35</v>
      </c>
      <c r="C19" s="5" t="s">
        <v>36</v>
      </c>
      <c r="D19" s="5" t="s">
        <v>37</v>
      </c>
      <c r="E19" s="5" t="s">
        <v>871</v>
      </c>
      <c r="G19" s="556"/>
      <c r="H19" s="432" t="s">
        <v>339</v>
      </c>
      <c r="I19" s="432" t="s">
        <v>98</v>
      </c>
      <c r="J19" s="432">
        <v>2000</v>
      </c>
      <c r="K19" s="432">
        <v>4000</v>
      </c>
      <c r="L19" s="432">
        <f>K19-J19</f>
        <v>2000</v>
      </c>
      <c r="M19" s="432">
        <v>2</v>
      </c>
      <c r="N19" s="471">
        <v>12.25</v>
      </c>
      <c r="O19" s="471">
        <f>N19*cm_per_inch</f>
        <v>31.115000000000002</v>
      </c>
      <c r="P19" s="471">
        <f>9+5/8</f>
        <v>9.625</v>
      </c>
      <c r="Q19" s="471">
        <f>P19*cm_per_inch</f>
        <v>24.447500000000002</v>
      </c>
      <c r="R19" s="471">
        <f>'Drilling - energy_material_6km'!T42</f>
        <v>0.38</v>
      </c>
      <c r="S19" s="471">
        <f t="shared" si="0"/>
        <v>8.8650000000000002</v>
      </c>
      <c r="T19" s="471">
        <f>'Drilling - energy_material_6km'!O42</f>
        <v>2000</v>
      </c>
      <c r="U19" s="471">
        <f>'Drilling - energy_material_4_5'!O42</f>
        <v>1000</v>
      </c>
      <c r="V19" s="473">
        <v>17.5</v>
      </c>
      <c r="W19" s="473">
        <f>V19*cm_per_inch</f>
        <v>44.45</v>
      </c>
      <c r="X19" s="473">
        <f>13+3/8</f>
        <v>13.375</v>
      </c>
      <c r="Y19" s="473">
        <f>X19*cm_per_inch</f>
        <v>33.972500000000004</v>
      </c>
      <c r="Z19" s="473">
        <f>'Drilling - energy_material_8'!T42</f>
        <v>0.38</v>
      </c>
      <c r="AA19" s="473">
        <f>X19-2*Z19</f>
        <v>12.615</v>
      </c>
      <c r="AB19" s="473">
        <f>'Drilling - energy_material_8'!O42</f>
        <v>2000</v>
      </c>
    </row>
    <row r="20" spans="2:28" ht="16.5" thickBot="1" x14ac:dyDescent="0.3">
      <c r="B20" s="5" t="s">
        <v>38</v>
      </c>
      <c r="C20" s="5" t="s">
        <v>39</v>
      </c>
      <c r="D20" s="5" t="s">
        <v>875</v>
      </c>
      <c r="E20" s="5" t="s">
        <v>101</v>
      </c>
      <c r="G20" s="556"/>
      <c r="H20" s="432" t="s">
        <v>384</v>
      </c>
      <c r="I20" s="432" t="s">
        <v>99</v>
      </c>
      <c r="J20" s="432">
        <v>4000</v>
      </c>
      <c r="K20" s="432">
        <v>6000</v>
      </c>
      <c r="L20" s="432">
        <f>K20-J20</f>
        <v>2000</v>
      </c>
      <c r="M20" s="432">
        <v>2</v>
      </c>
      <c r="N20" s="471">
        <v>8.5</v>
      </c>
      <c r="O20" s="471">
        <f>N20*cm_per_inch</f>
        <v>21.59</v>
      </c>
      <c r="P20" s="471">
        <v>7</v>
      </c>
      <c r="Q20" s="471">
        <f>P20*cm_per_inch</f>
        <v>17.78</v>
      </c>
      <c r="R20" s="471">
        <f>'Drilling - energy_material_6km'!T43</f>
        <v>0.30399999999999999</v>
      </c>
      <c r="S20" s="471">
        <f t="shared" si="0"/>
        <v>6.3920000000000003</v>
      </c>
      <c r="T20" s="471">
        <f>'Drilling - energy_material_6km'!O43</f>
        <v>2000</v>
      </c>
      <c r="U20" s="471">
        <f>'Drilling - energy_material_4_5'!O43</f>
        <v>1500</v>
      </c>
      <c r="V20" s="473">
        <v>12.25</v>
      </c>
      <c r="W20" s="473">
        <f>V20*cm_per_inch</f>
        <v>31.115000000000002</v>
      </c>
      <c r="X20" s="473">
        <f>9+5/8</f>
        <v>9.625</v>
      </c>
      <c r="Y20" s="473">
        <f>X20*cm_per_inch</f>
        <v>24.447500000000002</v>
      </c>
      <c r="Z20" s="473">
        <f>'Drilling - energy_material_8'!T43</f>
        <v>0.30399999999999999</v>
      </c>
      <c r="AA20" s="473">
        <f>X20-2*Z20</f>
        <v>9.0169999999999995</v>
      </c>
      <c r="AB20" s="473">
        <f>'Drilling - energy_material_8'!O43</f>
        <v>4000</v>
      </c>
    </row>
    <row r="21" spans="2:28" ht="16.5" thickBot="1" x14ac:dyDescent="0.3">
      <c r="B21" s="5" t="s">
        <v>40</v>
      </c>
      <c r="C21" s="5" t="s">
        <v>41</v>
      </c>
      <c r="D21" s="5" t="s">
        <v>42</v>
      </c>
      <c r="E21" s="5" t="s">
        <v>43</v>
      </c>
      <c r="G21" s="432" t="s">
        <v>887</v>
      </c>
      <c r="H21" s="432" t="s">
        <v>340</v>
      </c>
      <c r="I21" s="432" t="s">
        <v>100</v>
      </c>
      <c r="J21" s="432">
        <v>6000</v>
      </c>
      <c r="K21" s="432"/>
      <c r="L21" s="432">
        <f>7000</f>
        <v>7000</v>
      </c>
      <c r="M21" s="432">
        <f>loops</f>
        <v>6</v>
      </c>
      <c r="N21" s="471">
        <v>6.5</v>
      </c>
      <c r="O21" s="471">
        <f>N21*cm_per_inch</f>
        <v>16.510000000000002</v>
      </c>
      <c r="P21" s="471" t="s">
        <v>102</v>
      </c>
      <c r="Q21" s="471" t="s">
        <v>102</v>
      </c>
      <c r="R21" s="471"/>
      <c r="S21" s="471"/>
      <c r="T21" s="471">
        <f>'Drilling - energy_material_6km'!O44</f>
        <v>42000</v>
      </c>
      <c r="U21" s="471">
        <f>'Drilling - energy_material_4_5'!O44</f>
        <v>42000</v>
      </c>
      <c r="V21" s="473">
        <v>8.5</v>
      </c>
      <c r="W21" s="473">
        <f>V21*cm_per_inch</f>
        <v>21.59</v>
      </c>
      <c r="X21" s="473"/>
      <c r="Y21" s="473"/>
      <c r="Z21" s="473"/>
      <c r="AA21" s="473"/>
      <c r="AB21" s="473">
        <f>'Drilling - energy_material_8'!O44</f>
        <v>42000</v>
      </c>
    </row>
    <row r="22" spans="2:28" x14ac:dyDescent="0.25">
      <c r="B22" s="2"/>
      <c r="C22" s="314" t="s">
        <v>880</v>
      </c>
      <c r="D22" s="314">
        <v>5</v>
      </c>
      <c r="E22"/>
      <c r="H22" s="315"/>
      <c r="I22" s="315"/>
      <c r="J22" s="315"/>
      <c r="K22" s="315"/>
      <c r="L22" s="315"/>
      <c r="M22" s="315"/>
      <c r="N22" s="315"/>
      <c r="O22" s="315"/>
      <c r="P22" s="315"/>
      <c r="Q22" s="315"/>
      <c r="S22" s="315"/>
      <c r="T22" s="315"/>
      <c r="U22" s="315"/>
      <c r="V22" s="315"/>
    </row>
    <row r="23" spans="2:28" x14ac:dyDescent="0.25">
      <c r="B23" s="2" t="s">
        <v>44</v>
      </c>
      <c r="C23"/>
      <c r="D23"/>
      <c r="E23"/>
      <c r="I23" s="49" t="s">
        <v>876</v>
      </c>
      <c r="J23" s="49"/>
      <c r="K23" s="49"/>
      <c r="L23" s="49">
        <f>SUM(L17:L20)</f>
        <v>6000</v>
      </c>
      <c r="M23" s="49"/>
      <c r="P23" s="1" t="s">
        <v>1546</v>
      </c>
      <c r="Q23" s="1" t="s">
        <v>1534</v>
      </c>
      <c r="R23" s="1" t="s">
        <v>1537</v>
      </c>
      <c r="S23" s="1" t="s">
        <v>1538</v>
      </c>
      <c r="T23" s="1" t="s">
        <v>1539</v>
      </c>
      <c r="U23" s="1" t="s">
        <v>1541</v>
      </c>
      <c r="V23" s="1" t="s">
        <v>1545</v>
      </c>
      <c r="W23" s="1" t="s">
        <v>1543</v>
      </c>
      <c r="X23" s="1" t="s">
        <v>1542</v>
      </c>
      <c r="Y23" s="1" t="s">
        <v>1544</v>
      </c>
    </row>
    <row r="24" spans="2:28" x14ac:dyDescent="0.25">
      <c r="B24" s="6" t="s">
        <v>45</v>
      </c>
      <c r="C24"/>
      <c r="D24"/>
      <c r="E24"/>
      <c r="I24" s="49" t="s">
        <v>335</v>
      </c>
      <c r="J24" s="49"/>
      <c r="K24" s="49"/>
      <c r="L24" s="49">
        <f>L21*loops</f>
        <v>42000</v>
      </c>
      <c r="M24" s="49"/>
      <c r="R24" s="1" t="s">
        <v>95</v>
      </c>
      <c r="S24" s="1" t="s">
        <v>95</v>
      </c>
      <c r="T24" s="1" t="s">
        <v>95</v>
      </c>
      <c r="U24" s="1" t="s">
        <v>95</v>
      </c>
      <c r="V24" s="1" t="s">
        <v>444</v>
      </c>
      <c r="W24" s="1" t="s">
        <v>444</v>
      </c>
      <c r="X24" s="1" t="s">
        <v>444</v>
      </c>
      <c r="Y24" s="1" t="s">
        <v>444</v>
      </c>
    </row>
    <row r="25" spans="2:28" x14ac:dyDescent="0.25">
      <c r="B25" s="6" t="s">
        <v>46</v>
      </c>
      <c r="C25"/>
      <c r="D25"/>
      <c r="E25"/>
      <c r="I25" s="51" t="s">
        <v>890</v>
      </c>
      <c r="J25" s="51"/>
      <c r="K25" s="51"/>
      <c r="L25" s="51">
        <f>SUMPRODUCT(L17:L21,M17:M21)</f>
        <v>54000</v>
      </c>
      <c r="M25" s="51"/>
      <c r="O25" s="1" t="str">
        <f>I17</f>
        <v>Surface Conductor</v>
      </c>
      <c r="P25" s="1">
        <f t="shared" ref="P25:Q28" si="1">K17</f>
        <v>250</v>
      </c>
      <c r="Q25" s="1">
        <f t="shared" si="1"/>
        <v>250</v>
      </c>
      <c r="R25" s="1">
        <f>N17</f>
        <v>24</v>
      </c>
      <c r="S25" s="1">
        <f>P17</f>
        <v>20</v>
      </c>
      <c r="T25" s="1">
        <f>R17</f>
        <v>0.5</v>
      </c>
      <c r="U25" s="1">
        <f>T25+S25</f>
        <v>20.5</v>
      </c>
    </row>
    <row r="26" spans="2:28" x14ac:dyDescent="0.25">
      <c r="B26" s="6" t="s">
        <v>47</v>
      </c>
      <c r="C26"/>
      <c r="D26"/>
      <c r="E26"/>
      <c r="O26" s="1" t="str">
        <f>I18</f>
        <v>Surface casing</v>
      </c>
      <c r="P26" s="1">
        <f t="shared" si="1"/>
        <v>2000</v>
      </c>
      <c r="Q26" s="1">
        <f t="shared" si="1"/>
        <v>1750</v>
      </c>
      <c r="R26" s="1">
        <f>N18</f>
        <v>17.5</v>
      </c>
      <c r="S26" s="1">
        <f>P18</f>
        <v>13.375</v>
      </c>
      <c r="T26" s="1">
        <f>R18</f>
        <v>0.4</v>
      </c>
      <c r="U26" s="1">
        <f>T26+S26</f>
        <v>13.775</v>
      </c>
    </row>
    <row r="27" spans="2:28" x14ac:dyDescent="0.25">
      <c r="B27" s="6" t="s">
        <v>48</v>
      </c>
      <c r="C27"/>
      <c r="D27"/>
      <c r="E27"/>
      <c r="I27" s="51" t="s">
        <v>346</v>
      </c>
      <c r="J27" s="1">
        <v>6</v>
      </c>
      <c r="O27" s="1" t="str">
        <f>I19</f>
        <v>Intermediate casing</v>
      </c>
      <c r="P27" s="1">
        <f t="shared" si="1"/>
        <v>4000</v>
      </c>
      <c r="Q27" s="1">
        <f t="shared" si="1"/>
        <v>2000</v>
      </c>
      <c r="R27" s="1">
        <f>N19</f>
        <v>12.25</v>
      </c>
      <c r="S27" s="1">
        <f>P19</f>
        <v>9.625</v>
      </c>
      <c r="T27" s="1">
        <f>R19</f>
        <v>0.38</v>
      </c>
      <c r="U27" s="1">
        <f>T27+S27</f>
        <v>10.005000000000001</v>
      </c>
    </row>
    <row r="28" spans="2:28" x14ac:dyDescent="0.25">
      <c r="B28" s="2"/>
      <c r="C28"/>
      <c r="D28"/>
      <c r="E28"/>
      <c r="O28" s="1" t="str">
        <f>I20</f>
        <v>production casing</v>
      </c>
      <c r="P28" s="1">
        <f t="shared" si="1"/>
        <v>6000</v>
      </c>
      <c r="Q28" s="1">
        <f t="shared" si="1"/>
        <v>2000</v>
      </c>
      <c r="R28" s="1">
        <f>N20</f>
        <v>8.5</v>
      </c>
      <c r="S28" s="1">
        <f>P20</f>
        <v>7</v>
      </c>
      <c r="T28" s="1">
        <f>R20</f>
        <v>0.30399999999999999</v>
      </c>
      <c r="U28" s="1">
        <f>T28+S28</f>
        <v>7.3040000000000003</v>
      </c>
    </row>
    <row r="29" spans="2:28" x14ac:dyDescent="0.25">
      <c r="B29" s="2" t="s">
        <v>49</v>
      </c>
      <c r="C29"/>
      <c r="D29"/>
      <c r="E29"/>
      <c r="O29" s="1" t="s">
        <v>100</v>
      </c>
      <c r="P29" s="1">
        <f>J21</f>
        <v>6000</v>
      </c>
      <c r="Q29" s="1">
        <f>L21</f>
        <v>7000</v>
      </c>
      <c r="R29" s="1">
        <f>N21</f>
        <v>6.5</v>
      </c>
      <c r="S29" s="1" t="str">
        <f>P21</f>
        <v>open hole</v>
      </c>
      <c r="T29" s="1" t="s">
        <v>1406</v>
      </c>
    </row>
    <row r="30" spans="2:28" x14ac:dyDescent="0.25">
      <c r="B30" s="8" t="s">
        <v>103</v>
      </c>
      <c r="C30"/>
      <c r="D30"/>
      <c r="E30"/>
      <c r="O30" s="1" t="s">
        <v>1540</v>
      </c>
      <c r="P30" s="1">
        <v>6000</v>
      </c>
      <c r="Q30" s="1">
        <f>SUM(Q25:Q28)</f>
        <v>6000</v>
      </c>
      <c r="S30" s="1">
        <v>5</v>
      </c>
      <c r="T30" s="1">
        <v>0.30399999999999999</v>
      </c>
      <c r="U30" s="1">
        <f>T30+S30</f>
        <v>5.3040000000000003</v>
      </c>
    </row>
    <row r="31" spans="2:28" x14ac:dyDescent="0.25">
      <c r="B31" s="3" t="s">
        <v>50</v>
      </c>
      <c r="C31"/>
      <c r="D31"/>
      <c r="E31"/>
      <c r="I31" s="51" t="s">
        <v>387</v>
      </c>
    </row>
    <row r="32" spans="2:28" x14ac:dyDescent="0.25">
      <c r="B32" s="3" t="s">
        <v>51</v>
      </c>
      <c r="C32"/>
      <c r="D32"/>
      <c r="E32"/>
    </row>
    <row r="33" spans="2:5" x14ac:dyDescent="0.25">
      <c r="B33" s="3" t="s">
        <v>52</v>
      </c>
      <c r="C33"/>
      <c r="D33"/>
      <c r="E33"/>
    </row>
    <row r="34" spans="2:5" x14ac:dyDescent="0.25">
      <c r="B34" s="2"/>
      <c r="C34"/>
      <c r="D34"/>
      <c r="E34"/>
    </row>
  </sheetData>
  <mergeCells count="1">
    <mergeCell ref="G17:G20"/>
  </mergeCells>
  <phoneticPr fontId="26" type="noConversion"/>
  <pageMargins left="0.7" right="0.7" top="0.78740157499999996" bottom="0.78740157499999996"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EA39B-768F-4AA7-994D-AB1097FAE537}">
  <sheetPr>
    <tabColor theme="7" tint="-0.249977111117893"/>
  </sheetPr>
  <dimension ref="B4:AO79"/>
  <sheetViews>
    <sheetView topLeftCell="A59" workbookViewId="0">
      <selection activeCell="Q79" sqref="Q79"/>
    </sheetView>
  </sheetViews>
  <sheetFormatPr defaultRowHeight="15" x14ac:dyDescent="0.25"/>
  <cols>
    <col min="13" max="13" width="23.140625" customWidth="1"/>
    <col min="14" max="14" width="11" bestFit="1" customWidth="1"/>
    <col min="16" max="17" width="12" bestFit="1" customWidth="1"/>
    <col min="23" max="24" width="12.7109375" customWidth="1"/>
    <col min="25" max="25" width="18.5703125" bestFit="1" customWidth="1"/>
    <col min="26" max="28" width="18.5703125" customWidth="1"/>
    <col min="30" max="30" width="11" bestFit="1" customWidth="1"/>
    <col min="34" max="34" width="23.140625" customWidth="1"/>
    <col min="37" max="37" width="12" bestFit="1" customWidth="1"/>
    <col min="38" max="39" width="11" bestFit="1" customWidth="1"/>
  </cols>
  <sheetData>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30" x14ac:dyDescent="0.25">
      <c r="B17" s="25" t="s">
        <v>114</v>
      </c>
      <c r="Z17" s="311" t="s">
        <v>852</v>
      </c>
      <c r="AA17" s="311"/>
      <c r="AB17" s="311"/>
      <c r="AC17" s="312" t="s">
        <v>393</v>
      </c>
      <c r="AD17" s="312"/>
    </row>
    <row r="18" spans="2:30" x14ac:dyDescent="0.25">
      <c r="B18" s="25" t="s">
        <v>115</v>
      </c>
      <c r="Z18" s="312" t="s">
        <v>853</v>
      </c>
      <c r="AA18" s="312"/>
      <c r="AB18" s="312"/>
      <c r="AC18" s="312" t="s">
        <v>854</v>
      </c>
      <c r="AD18" s="312" t="s">
        <v>855</v>
      </c>
    </row>
    <row r="19" spans="2:30" x14ac:dyDescent="0.25">
      <c r="B19" s="26"/>
      <c r="Z19" s="312" t="s">
        <v>856</v>
      </c>
      <c r="AA19" s="312"/>
      <c r="AB19" s="312"/>
      <c r="AC19" s="312" t="s">
        <v>857</v>
      </c>
      <c r="AD19" s="312">
        <v>1800</v>
      </c>
    </row>
    <row r="20" spans="2:30" x14ac:dyDescent="0.25">
      <c r="B20" s="26"/>
      <c r="Z20" s="312"/>
      <c r="AA20" s="312"/>
      <c r="AB20" s="312"/>
      <c r="AC20" s="312" t="s">
        <v>858</v>
      </c>
      <c r="AD20" s="312">
        <v>2300</v>
      </c>
    </row>
    <row r="21" spans="2:30" x14ac:dyDescent="0.25">
      <c r="B21" s="25" t="s">
        <v>116</v>
      </c>
      <c r="Z21" s="312"/>
      <c r="AA21" s="312"/>
      <c r="AB21" s="312"/>
      <c r="AC21" s="312" t="s">
        <v>859</v>
      </c>
      <c r="AD21" s="312">
        <v>2600</v>
      </c>
    </row>
    <row r="22" spans="2:30" x14ac:dyDescent="0.25">
      <c r="B22" s="25" t="s">
        <v>117</v>
      </c>
      <c r="Z22" s="312"/>
      <c r="AA22" s="312"/>
      <c r="AB22" s="312"/>
      <c r="AC22" s="312" t="s">
        <v>860</v>
      </c>
      <c r="AD22" s="312">
        <v>2400</v>
      </c>
    </row>
    <row r="23" spans="2:30" x14ac:dyDescent="0.25">
      <c r="B23" s="25" t="s">
        <v>118</v>
      </c>
      <c r="Z23" s="312"/>
      <c r="AA23" s="312"/>
      <c r="AB23" s="312"/>
      <c r="AC23" s="312" t="s">
        <v>861</v>
      </c>
      <c r="AD23" s="312">
        <v>1200</v>
      </c>
    </row>
    <row r="24" spans="2:30" x14ac:dyDescent="0.25">
      <c r="B24" s="25" t="s">
        <v>119</v>
      </c>
      <c r="M24" s="350" t="s">
        <v>144</v>
      </c>
      <c r="Z24" s="312"/>
      <c r="AA24" s="312"/>
      <c r="AB24" s="312"/>
      <c r="AC24" s="312"/>
      <c r="AD24" s="312"/>
    </row>
    <row r="25" spans="2:30" x14ac:dyDescent="0.25">
      <c r="B25" s="25" t="s">
        <v>120</v>
      </c>
      <c r="M25" s="350" t="s">
        <v>145</v>
      </c>
      <c r="Z25" s="312" t="s">
        <v>862</v>
      </c>
      <c r="AA25" s="312"/>
      <c r="AB25" s="312"/>
      <c r="AC25" s="312" t="s">
        <v>863</v>
      </c>
      <c r="AD25" s="312">
        <v>2620</v>
      </c>
    </row>
    <row r="26" spans="2:30" x14ac:dyDescent="0.25">
      <c r="B26" s="25" t="s">
        <v>121</v>
      </c>
      <c r="M26" s="350" t="s">
        <v>146</v>
      </c>
      <c r="Z26" s="312"/>
      <c r="AA26" s="312"/>
      <c r="AB26" s="312"/>
      <c r="AC26" s="312" t="s">
        <v>864</v>
      </c>
      <c r="AD26" s="312">
        <v>3300</v>
      </c>
    </row>
    <row r="27" spans="2:30" x14ac:dyDescent="0.25">
      <c r="B27" s="25" t="s">
        <v>122</v>
      </c>
      <c r="Z27" s="312"/>
      <c r="AA27" s="312"/>
      <c r="AB27" s="312"/>
      <c r="AC27" s="312" t="s">
        <v>865</v>
      </c>
      <c r="AD27" s="312">
        <v>2720</v>
      </c>
    </row>
    <row r="28" spans="2:30" x14ac:dyDescent="0.25">
      <c r="B28" s="25" t="s">
        <v>123</v>
      </c>
      <c r="Z28" s="312"/>
      <c r="AA28" s="312"/>
      <c r="AB28" s="312"/>
      <c r="AC28" s="312"/>
      <c r="AD28" s="312"/>
    </row>
    <row r="29" spans="2:30" x14ac:dyDescent="0.25">
      <c r="B29" s="25" t="s">
        <v>124</v>
      </c>
      <c r="M29" s="32" t="s">
        <v>147</v>
      </c>
      <c r="Z29" s="312" t="s">
        <v>866</v>
      </c>
      <c r="AA29" s="312"/>
      <c r="AB29" s="312"/>
      <c r="AC29" s="312">
        <v>2700</v>
      </c>
      <c r="AD29" s="312" t="s">
        <v>393</v>
      </c>
    </row>
    <row r="30" spans="2:30" x14ac:dyDescent="0.25">
      <c r="B30" s="29" t="s">
        <v>125</v>
      </c>
      <c r="M30" t="s">
        <v>143</v>
      </c>
      <c r="N30" t="s">
        <v>148</v>
      </c>
      <c r="O30" s="31">
        <v>1.5</v>
      </c>
      <c r="P30" t="s">
        <v>344</v>
      </c>
      <c r="Z30" s="312" t="s">
        <v>867</v>
      </c>
      <c r="AA30" s="312"/>
      <c r="AB30" s="312"/>
      <c r="AC30" s="312">
        <v>2350</v>
      </c>
      <c r="AD30" s="312" t="s">
        <v>393</v>
      </c>
    </row>
    <row r="31" spans="2:30" x14ac:dyDescent="0.25">
      <c r="B31" s="29" t="s">
        <v>126</v>
      </c>
      <c r="M31" t="s">
        <v>149</v>
      </c>
      <c r="N31" t="s">
        <v>150</v>
      </c>
      <c r="O31" s="31">
        <v>6</v>
      </c>
      <c r="P31" t="s">
        <v>344</v>
      </c>
      <c r="Q31" t="s">
        <v>151</v>
      </c>
      <c r="Z31" s="312" t="s">
        <v>868</v>
      </c>
      <c r="AA31" s="312"/>
      <c r="AB31" s="312"/>
      <c r="AC31" s="312"/>
      <c r="AD31" s="312"/>
    </row>
    <row r="32" spans="2:30" x14ac:dyDescent="0.25">
      <c r="B32" s="29" t="s">
        <v>127</v>
      </c>
      <c r="Z32" s="312" t="s">
        <v>869</v>
      </c>
      <c r="AA32" s="312"/>
      <c r="AB32" s="312"/>
      <c r="AC32" s="312"/>
      <c r="AD32" s="312"/>
    </row>
    <row r="33" spans="2:38" x14ac:dyDescent="0.25">
      <c r="B33" s="26"/>
    </row>
    <row r="34" spans="2:38" x14ac:dyDescent="0.25">
      <c r="B34" s="29" t="s">
        <v>128</v>
      </c>
    </row>
    <row r="35" spans="2:38" x14ac:dyDescent="0.25">
      <c r="B35" s="29" t="s">
        <v>129</v>
      </c>
      <c r="M35" t="s">
        <v>336</v>
      </c>
      <c r="AI35" s="313" t="s">
        <v>874</v>
      </c>
    </row>
    <row r="36" spans="2:38" x14ac:dyDescent="0.25">
      <c r="B36" s="26"/>
      <c r="AF36" s="15" t="s">
        <v>1536</v>
      </c>
      <c r="AI36" t="s">
        <v>391</v>
      </c>
    </row>
    <row r="37" spans="2:38" x14ac:dyDescent="0.25">
      <c r="B37" s="29" t="s">
        <v>130</v>
      </c>
      <c r="L37" s="24"/>
      <c r="M37" s="24"/>
      <c r="N37" s="24"/>
      <c r="O37" s="24"/>
      <c r="P37" s="55" t="s">
        <v>1513</v>
      </c>
      <c r="Q37" s="55"/>
      <c r="R37" s="55" t="s">
        <v>405</v>
      </c>
      <c r="S37" s="55"/>
      <c r="T37" s="55"/>
      <c r="U37" s="55" t="s">
        <v>1547</v>
      </c>
      <c r="V37" s="55"/>
      <c r="W37" s="304" t="s">
        <v>341</v>
      </c>
      <c r="X37" s="477" t="s">
        <v>1086</v>
      </c>
      <c r="Y37" s="304"/>
      <c r="Z37" s="477" t="s">
        <v>1475</v>
      </c>
      <c r="AA37" s="304"/>
      <c r="AB37" s="477" t="s">
        <v>1475</v>
      </c>
      <c r="AC37" s="24"/>
      <c r="AD37" s="24"/>
      <c r="AE37" s="304" t="s">
        <v>388</v>
      </c>
      <c r="AF37" s="55"/>
      <c r="AG37" s="55"/>
      <c r="AH37" s="24"/>
      <c r="AI37" s="304" t="s">
        <v>390</v>
      </c>
    </row>
    <row r="38" spans="2:38" ht="45" x14ac:dyDescent="0.25">
      <c r="B38" s="26"/>
      <c r="K38" t="s">
        <v>1558</v>
      </c>
      <c r="L38" s="24"/>
      <c r="M38" s="22" t="str">
        <f>'Drilling - well design'!I16</f>
        <v>Section</v>
      </c>
      <c r="N38" s="22" t="str">
        <f>'Drilling - well design'!J16</f>
        <v>Depth from table left</v>
      </c>
      <c r="O38" s="61" t="str">
        <f>'Drilling - well design'!L16</f>
        <v>length_m</v>
      </c>
      <c r="P38" s="326"/>
      <c r="Q38" s="326"/>
      <c r="R38" s="326"/>
      <c r="S38" s="326"/>
      <c r="T38" s="301" t="s">
        <v>399</v>
      </c>
      <c r="U38" s="326"/>
      <c r="V38" s="326"/>
      <c r="W38" s="328" t="s">
        <v>1559</v>
      </c>
      <c r="X38" s="328" t="s">
        <v>1549</v>
      </c>
      <c r="Y38" s="328" t="s">
        <v>1548</v>
      </c>
      <c r="Z38" s="328" t="s">
        <v>1550</v>
      </c>
      <c r="AA38" s="328" t="s">
        <v>1560</v>
      </c>
      <c r="AB38" s="328" t="s">
        <v>1561</v>
      </c>
      <c r="AC38" s="22" t="s">
        <v>1591</v>
      </c>
      <c r="AD38" s="22"/>
      <c r="AE38" s="303"/>
      <c r="AG38" s="301" t="s">
        <v>1477</v>
      </c>
      <c r="AH38" s="22" t="s">
        <v>400</v>
      </c>
      <c r="AI38" s="303"/>
      <c r="AJ38" s="22" t="s">
        <v>1095</v>
      </c>
      <c r="AK38" t="s">
        <v>1094</v>
      </c>
      <c r="AL38" s="22" t="s">
        <v>398</v>
      </c>
    </row>
    <row r="39" spans="2:38" x14ac:dyDescent="0.25">
      <c r="B39" s="29" t="s">
        <v>131</v>
      </c>
      <c r="L39" s="24"/>
      <c r="M39" s="22"/>
      <c r="N39" s="22" t="s">
        <v>54</v>
      </c>
      <c r="O39" s="22" t="s">
        <v>54</v>
      </c>
      <c r="P39" s="301" t="s">
        <v>95</v>
      </c>
      <c r="Q39" s="301" t="s">
        <v>96</v>
      </c>
      <c r="R39" s="301" t="s">
        <v>95</v>
      </c>
      <c r="S39" s="301" t="s">
        <v>96</v>
      </c>
      <c r="T39" s="301" t="s">
        <v>95</v>
      </c>
      <c r="U39" s="326" t="s">
        <v>95</v>
      </c>
      <c r="V39" s="326" t="s">
        <v>96</v>
      </c>
      <c r="W39" s="303" t="s">
        <v>342</v>
      </c>
      <c r="X39" s="303" t="s">
        <v>342</v>
      </c>
      <c r="Y39" s="303" t="s">
        <v>342</v>
      </c>
      <c r="Z39" s="303" t="s">
        <v>342</v>
      </c>
      <c r="AA39" s="303" t="s">
        <v>342</v>
      </c>
      <c r="AB39" s="303" t="s">
        <v>342</v>
      </c>
      <c r="AC39" s="22" t="s">
        <v>345</v>
      </c>
      <c r="AD39" s="22" t="s">
        <v>347</v>
      </c>
      <c r="AE39" s="303"/>
      <c r="AG39" s="301" t="s">
        <v>96</v>
      </c>
      <c r="AH39" s="22"/>
      <c r="AI39" s="303"/>
      <c r="AJ39" s="22" t="s">
        <v>397</v>
      </c>
      <c r="AK39" s="22" t="s">
        <v>397</v>
      </c>
      <c r="AL39" s="22" t="s">
        <v>397</v>
      </c>
    </row>
    <row r="40" spans="2:38" x14ac:dyDescent="0.25">
      <c r="B40" s="26"/>
      <c r="K40">
        <f>O40</f>
        <v>250</v>
      </c>
      <c r="L40" s="24" t="s">
        <v>337</v>
      </c>
      <c r="M40" s="24" t="str">
        <f>'Drilling - well design'!I17</f>
        <v>Surface Conductor</v>
      </c>
      <c r="N40" s="24">
        <f>'Drilling - well design'!J17</f>
        <v>0</v>
      </c>
      <c r="O40" s="24">
        <f>'Drilling - well design'!L17</f>
        <v>250</v>
      </c>
      <c r="P40" s="55">
        <f>'Drilling - well design'!N17</f>
        <v>24</v>
      </c>
      <c r="Q40" s="55">
        <f>P40*cm_per_inch</f>
        <v>60.96</v>
      </c>
      <c r="R40" s="55">
        <f>'Drilling - well design'!P17</f>
        <v>20</v>
      </c>
      <c r="S40" s="55">
        <f>R40*cm_per_inch</f>
        <v>50.8</v>
      </c>
      <c r="T40" s="327">
        <v>0.5</v>
      </c>
      <c r="U40" s="327">
        <f>T40+R40</f>
        <v>20.5</v>
      </c>
      <c r="V40" s="55">
        <f>S40+T40*cm_per_inch</f>
        <v>52.07</v>
      </c>
      <c r="W40" s="306">
        <f>PI()*((Q40/100/2)^2*$O$40)</f>
        <v>72.965876990039675</v>
      </c>
      <c r="X40" s="306">
        <f>(PI()*((Q40/2)/100)^2*K40)-((PI()*((V40/2)/100)^2*K40))</f>
        <v>19.729922467358811</v>
      </c>
      <c r="Y40" s="306">
        <f>PI()*((V40/100/2)^2*K40)</f>
        <v>53.235954522680863</v>
      </c>
      <c r="Z40" s="306">
        <f>Y40-PI()*((S40/100/2)^2*K40)</f>
        <v>2.5652066129310853</v>
      </c>
      <c r="AA40" s="306"/>
      <c r="AB40" s="306"/>
      <c r="AC40" s="23">
        <f>O40*MJ_per_m</f>
        <v>172164.44444444444</v>
      </c>
      <c r="AD40" s="57">
        <f>O40*$O$78</f>
        <v>33672.222222222226</v>
      </c>
      <c r="AE40" s="306">
        <f>AD40/O40</f>
        <v>134.6888888888889</v>
      </c>
      <c r="AG40" s="302"/>
      <c r="AH40" s="23" t="s">
        <v>401</v>
      </c>
      <c r="AI40" s="305"/>
      <c r="AJ40" s="53">
        <f>(X40*rho_cement_slurry*$AM$62)/K40</f>
        <v>112.74241409919321</v>
      </c>
      <c r="AK40" s="53">
        <f>(X40*rho_cement_slurry*$AL$62)/K40</f>
        <v>45.096965639677286</v>
      </c>
      <c r="AL40" s="53">
        <f>Z40*$AI$57/K40</f>
        <v>80.03444632344987</v>
      </c>
    </row>
    <row r="41" spans="2:38" x14ac:dyDescent="0.25">
      <c r="B41" s="29" t="s">
        <v>132</v>
      </c>
      <c r="K41">
        <f>O41+O40</f>
        <v>2000</v>
      </c>
      <c r="L41" s="24" t="s">
        <v>338</v>
      </c>
      <c r="M41" s="24" t="str">
        <f>'Drilling - well design'!I18</f>
        <v>Surface casing</v>
      </c>
      <c r="N41" s="24">
        <f>'Drilling - well design'!J18</f>
        <v>250</v>
      </c>
      <c r="O41" s="24">
        <f>'Drilling - well design'!L18</f>
        <v>1750</v>
      </c>
      <c r="P41" s="55">
        <f>'Drilling - well design'!N18</f>
        <v>17.5</v>
      </c>
      <c r="Q41" s="55">
        <f>P41*cm_per_inch</f>
        <v>44.45</v>
      </c>
      <c r="R41" s="55">
        <f>'Drilling - well design'!P18</f>
        <v>13.375</v>
      </c>
      <c r="S41" s="55">
        <f>R41*cm_per_inch</f>
        <v>33.972500000000004</v>
      </c>
      <c r="T41" s="327">
        <v>0.4</v>
      </c>
      <c r="U41" s="327">
        <f>T41+R41</f>
        <v>13.775</v>
      </c>
      <c r="V41" s="55">
        <f>S41+T41*cm_per_inch</f>
        <v>34.988500000000002</v>
      </c>
      <c r="W41" s="306">
        <f>PI()*((Q41/100/2)^2*$O$41)</f>
        <v>271.56353957881521</v>
      </c>
      <c r="X41" s="306">
        <f t="shared" ref="X41:X43" si="0">(PI()*((Q41/2)/100)^2*K41)-((PI()*((V41/2)/100)^2*K41))</f>
        <v>118.06220924536811</v>
      </c>
      <c r="Y41" s="306">
        <f>PI()*((V41/100/2)^2*K41)</f>
        <v>192.29612170184927</v>
      </c>
      <c r="Z41" s="306">
        <f>Y41-PI()*((S41/100/2)^2*K41)</f>
        <v>11.005686445997583</v>
      </c>
      <c r="AA41" s="306"/>
      <c r="AB41" s="306"/>
      <c r="AC41" s="23">
        <f>O41*MJ_per_m</f>
        <v>1205151.111111111</v>
      </c>
      <c r="AD41" s="57">
        <f>O41*$O$78</f>
        <v>235705.55555555556</v>
      </c>
      <c r="AE41" s="306"/>
      <c r="AG41" s="302"/>
      <c r="AH41" s="23" t="s">
        <v>402</v>
      </c>
      <c r="AI41" s="305"/>
      <c r="AJ41" s="53">
        <f>(X41*rho_cement_slurry*$AM$62)/K41</f>
        <v>84.330149460977225</v>
      </c>
      <c r="AK41" s="53">
        <f>(X41*rho_cement_slurry*$AL$62)/K41</f>
        <v>33.732059784390891</v>
      </c>
      <c r="AL41" s="53">
        <f>AI41*$AI$57/O41</f>
        <v>0</v>
      </c>
    </row>
    <row r="42" spans="2:38" x14ac:dyDescent="0.25">
      <c r="B42" s="29" t="s">
        <v>133</v>
      </c>
      <c r="K42">
        <f>SUM(O40:O42)</f>
        <v>4000</v>
      </c>
      <c r="L42" s="24" t="s">
        <v>339</v>
      </c>
      <c r="M42" s="24" t="str">
        <f>'Drilling - well design'!I19</f>
        <v>Intermediate casing</v>
      </c>
      <c r="N42" s="24">
        <f>'Drilling - well design'!J19</f>
        <v>2000</v>
      </c>
      <c r="O42" s="24">
        <f>'Drilling - well design'!L19</f>
        <v>2000</v>
      </c>
      <c r="P42" s="55">
        <f>'Drilling - well design'!N19</f>
        <v>12.25</v>
      </c>
      <c r="Q42" s="55">
        <f>P42*cm_per_inch</f>
        <v>31.115000000000002</v>
      </c>
      <c r="R42" s="55">
        <f>'Drilling - well design'!P19</f>
        <v>9.625</v>
      </c>
      <c r="S42" s="55">
        <f>R42*cm_per_inch</f>
        <v>24.447500000000002</v>
      </c>
      <c r="T42" s="327">
        <v>0.38</v>
      </c>
      <c r="U42" s="327">
        <f>T42+R42</f>
        <v>10.005000000000001</v>
      </c>
      <c r="V42" s="55">
        <f>S42+T42*cm_per_inch</f>
        <v>25.412700000000001</v>
      </c>
      <c r="W42" s="306">
        <f>PI()*((Q42/100/2)^2*$O$42)</f>
        <v>152.07558216413653</v>
      </c>
      <c r="X42" s="306">
        <f t="shared" si="0"/>
        <v>101.26543902688712</v>
      </c>
      <c r="Y42" s="306">
        <f>PI()*((V42/100/2)^2*K42)</f>
        <v>202.88572530138603</v>
      </c>
      <c r="Z42" s="306">
        <f t="shared" ref="Z42" si="1">Y42-PI()*((S42/100/2)^2*K42)</f>
        <v>15.118935078319481</v>
      </c>
      <c r="AA42" s="306"/>
      <c r="AB42" s="306"/>
      <c r="AC42" s="23">
        <f>O42*MJ_per_m</f>
        <v>1377315.5555555555</v>
      </c>
      <c r="AD42" s="57">
        <f>O42*$O$78</f>
        <v>269377.77777777781</v>
      </c>
      <c r="AE42" s="306"/>
      <c r="AG42" s="302"/>
      <c r="AH42" s="23" t="s">
        <v>403</v>
      </c>
      <c r="AI42" s="305"/>
      <c r="AJ42" s="53">
        <f>(X42*rho_cement_slurry*$AM$62)/K42</f>
        <v>36.166228223888261</v>
      </c>
      <c r="AK42" s="53">
        <f>(X42*rho_cement_slurry*$AL$62)/K42</f>
        <v>14.466491289555304</v>
      </c>
      <c r="AL42" s="53">
        <f>AI42*$AI$57/O42</f>
        <v>0</v>
      </c>
    </row>
    <row r="43" spans="2:38" x14ac:dyDescent="0.25">
      <c r="B43" s="29" t="s">
        <v>134</v>
      </c>
      <c r="K43">
        <f>SUM(O40:O43)</f>
        <v>6000</v>
      </c>
      <c r="L43" s="24" t="s">
        <v>384</v>
      </c>
      <c r="M43" s="24" t="str">
        <f>'Drilling - well design'!I20</f>
        <v>production casing</v>
      </c>
      <c r="N43" s="24">
        <f>'Drilling - well design'!J20</f>
        <v>4000</v>
      </c>
      <c r="O43" s="24">
        <f>'Drilling - well design'!L20</f>
        <v>2000</v>
      </c>
      <c r="P43" s="55">
        <f>'Drilling - well design'!N20</f>
        <v>8.5</v>
      </c>
      <c r="Q43" s="55">
        <f>P43*cm_per_inch</f>
        <v>21.59</v>
      </c>
      <c r="R43" s="55">
        <v>7</v>
      </c>
      <c r="S43" s="55">
        <f>R43*cm_per_inch</f>
        <v>17.78</v>
      </c>
      <c r="T43" s="327">
        <v>0.30399999999999999</v>
      </c>
      <c r="U43" s="327">
        <f>T43+R43</f>
        <v>7.3040000000000003</v>
      </c>
      <c r="V43" s="55">
        <f>S43+T43*cm_per_inch</f>
        <v>18.552160000000001</v>
      </c>
      <c r="W43" s="306">
        <f>PI()*((Q43/100/2)^2*$O$43)</f>
        <v>73.219230729588432</v>
      </c>
      <c r="X43" s="306">
        <f t="shared" si="0"/>
        <v>57.465443877537581</v>
      </c>
      <c r="Y43" s="306">
        <f>PI()*((V43/100/2)^2*K43)</f>
        <v>162.1922483112277</v>
      </c>
      <c r="Z43" s="306">
        <f>Y43-PI()*((S43/100/2)^2*K43)</f>
        <v>13.220249456563351</v>
      </c>
      <c r="AA43" s="306"/>
      <c r="AB43" s="306"/>
      <c r="AC43" s="23">
        <f>O43*MJ_per_m</f>
        <v>1377315.5555555555</v>
      </c>
      <c r="AD43" s="57">
        <f>O43*$O$78</f>
        <v>269377.77777777781</v>
      </c>
      <c r="AE43" s="306"/>
      <c r="AG43" s="302"/>
      <c r="AH43" s="23" t="s">
        <v>404</v>
      </c>
      <c r="AI43" s="305"/>
      <c r="AJ43" s="53">
        <f>(X43*rho_cement_slurry*$AM$62)/K43</f>
        <v>13.682248542270854</v>
      </c>
      <c r="AK43" s="53">
        <f>(X43*rho_cement_slurry*$AL$62)/K43</f>
        <v>5.4728994169083416</v>
      </c>
      <c r="AL43" s="53">
        <f>AI43*$AI$57/O43</f>
        <v>0</v>
      </c>
    </row>
    <row r="44" spans="2:38" x14ac:dyDescent="0.25">
      <c r="B44" s="29" t="s">
        <v>135</v>
      </c>
      <c r="L44" s="24" t="s">
        <v>340</v>
      </c>
      <c r="M44" s="24" t="str">
        <f>'Drilling - well design'!I21</f>
        <v>horizontal section</v>
      </c>
      <c r="N44" s="24">
        <f>'Drilling - well design'!J21</f>
        <v>6000</v>
      </c>
      <c r="O44" s="24">
        <f>'Drilling - well design'!L21*loops</f>
        <v>42000</v>
      </c>
      <c r="P44" s="55">
        <f>'Drilling - well design'!N21</f>
        <v>6.5</v>
      </c>
      <c r="Q44" s="55">
        <f>P44*cm_per_inch</f>
        <v>16.510000000000002</v>
      </c>
      <c r="R44" s="55" t="s">
        <v>102</v>
      </c>
      <c r="S44" s="55" t="str">
        <f>'Drilling - well design'!Q21</f>
        <v>open hole</v>
      </c>
      <c r="T44" s="55"/>
      <c r="U44" s="55"/>
      <c r="V44" s="55"/>
      <c r="W44" s="306">
        <f>PI()*((Q44/100/2)^2*$O$44)</f>
        <v>899.15242165850998</v>
      </c>
      <c r="X44" s="306"/>
      <c r="Y44" s="306" t="s">
        <v>389</v>
      </c>
      <c r="Z44" s="306"/>
      <c r="AA44" s="306"/>
      <c r="AB44" s="306"/>
      <c r="AC44" s="23">
        <f>O44*MJ_per_m</f>
        <v>28923626.666666664</v>
      </c>
      <c r="AD44" s="57">
        <f>O44*O79</f>
        <v>8400000</v>
      </c>
      <c r="AE44" s="306"/>
      <c r="AF44" s="469"/>
      <c r="AG44" s="327">
        <f>5*cm_per_inch</f>
        <v>12.7</v>
      </c>
      <c r="AH44" s="23"/>
      <c r="AI44" s="306"/>
    </row>
    <row r="45" spans="2:38" x14ac:dyDescent="0.25">
      <c r="B45" s="26"/>
      <c r="L45" s="24"/>
      <c r="M45" s="24" t="str">
        <f>'Drilling - well design'!I23</f>
        <v>Total vertical length</v>
      </c>
      <c r="N45" s="24"/>
      <c r="O45" s="24">
        <f>SUM(O40:O43)</f>
        <v>6000</v>
      </c>
      <c r="P45" s="24"/>
      <c r="Q45" s="24"/>
      <c r="R45" s="304"/>
      <c r="S45" s="304"/>
      <c r="T45" s="304"/>
      <c r="U45" s="304"/>
      <c r="V45" s="304"/>
      <c r="W45" s="304"/>
      <c r="X45" s="304"/>
      <c r="Y45" s="304"/>
      <c r="Z45" s="304"/>
      <c r="AA45" s="304"/>
      <c r="AB45" s="304"/>
      <c r="AC45" s="344" t="s">
        <v>1590</v>
      </c>
      <c r="AD45" s="24"/>
      <c r="AE45" s="24"/>
      <c r="AF45" s="350"/>
      <c r="AG45" s="24"/>
      <c r="AH45" s="24"/>
      <c r="AI45" s="24"/>
    </row>
    <row r="46" spans="2:38" x14ac:dyDescent="0.25">
      <c r="B46" s="29" t="s">
        <v>136</v>
      </c>
      <c r="L46" s="24"/>
      <c r="M46" s="24" t="str">
        <f>'Drilling - well design'!I24</f>
        <v>Total horizontal length</v>
      </c>
      <c r="N46" s="24"/>
      <c r="O46" s="24">
        <f>O44</f>
        <v>42000</v>
      </c>
      <c r="P46" s="24"/>
      <c r="Q46" s="24"/>
      <c r="R46" s="462" t="s">
        <v>893</v>
      </c>
      <c r="S46" s="462" t="s">
        <v>342</v>
      </c>
      <c r="T46" s="462"/>
      <c r="U46" s="462"/>
      <c r="V46" s="462"/>
      <c r="W46" s="463">
        <f>SUM(W40:W43)</f>
        <v>569.82422946257986</v>
      </c>
      <c r="X46" s="464">
        <f>SUM(X40:X44)</f>
        <v>296.5230146171516</v>
      </c>
      <c r="Y46" s="303"/>
      <c r="Z46" s="464">
        <f>SUM(Z40:Z44)</f>
        <v>41.910077593811501</v>
      </c>
      <c r="AA46" s="464">
        <f>PI()*((AG44/100/2)^2*K43)</f>
        <v>76.00612186462466</v>
      </c>
      <c r="AB46" s="464">
        <f>PI()*((((AG44+T43*cm_per_inch)/2/100)^2*K43))-AA46</f>
        <v>9.5233116890679952</v>
      </c>
      <c r="AC46" s="57">
        <f>SUM(AC40:AC43)*2+AC44</f>
        <v>37187520</v>
      </c>
      <c r="AD46" s="57">
        <f>SUM(AD40:AD43)*2+AD44</f>
        <v>10016266.666666668</v>
      </c>
      <c r="AE46" s="24"/>
      <c r="AF46" s="24"/>
      <c r="AG46" s="24"/>
      <c r="AH46" s="24"/>
      <c r="AI46" s="24"/>
    </row>
    <row r="47" spans="2:38" x14ac:dyDescent="0.25">
      <c r="B47" s="26"/>
      <c r="L47" s="24"/>
      <c r="M47" s="22" t="str">
        <f>'Drilling - well design'!I25</f>
        <v>Total drilling length, injection&amp;production well</v>
      </c>
      <c r="N47" s="22"/>
      <c r="O47" s="22">
        <f>2*O45+well_length_horizontal</f>
        <v>54000</v>
      </c>
      <c r="P47" s="22"/>
      <c r="Q47" s="22"/>
      <c r="R47" s="303" t="s">
        <v>892</v>
      </c>
      <c r="S47" s="303" t="s">
        <v>342</v>
      </c>
      <c r="T47" s="303"/>
      <c r="U47" s="303"/>
      <c r="V47" s="303"/>
      <c r="W47" s="464">
        <f>W46*2</f>
        <v>1139.6484589251597</v>
      </c>
      <c r="X47" s="464">
        <f>X46*2</f>
        <v>593.04602923430321</v>
      </c>
      <c r="Y47" s="303"/>
      <c r="Z47" s="464">
        <f>Z46*2</f>
        <v>83.820155187623001</v>
      </c>
      <c r="AA47" s="464">
        <f>AA46*2</f>
        <v>152.01224372924932</v>
      </c>
      <c r="AB47" s="464">
        <f>AB46*2</f>
        <v>19.04662337813599</v>
      </c>
      <c r="AC47" s="24"/>
      <c r="AD47" s="491">
        <f>kWh_per_m_ppgd*O47</f>
        <v>10329866.666666666</v>
      </c>
      <c r="AE47" s="24"/>
      <c r="AF47" s="24"/>
      <c r="AG47" s="24"/>
      <c r="AH47" s="24"/>
      <c r="AI47" s="24"/>
      <c r="AJ47">
        <f>AJ48*1000/1000000</f>
        <v>423.60430659593084</v>
      </c>
    </row>
    <row r="48" spans="2:38" x14ac:dyDescent="0.25">
      <c r="B48" s="26"/>
      <c r="L48" s="24"/>
      <c r="M48" s="24"/>
      <c r="N48" s="24"/>
      <c r="O48" s="24"/>
      <c r="P48" s="24"/>
      <c r="Q48" s="24"/>
      <c r="R48" s="303" t="s">
        <v>894</v>
      </c>
      <c r="S48" s="303"/>
      <c r="T48" s="303"/>
      <c r="U48" s="303"/>
      <c r="V48" s="303"/>
      <c r="W48" s="464">
        <f>W44</f>
        <v>899.15242165850998</v>
      </c>
      <c r="X48" s="464"/>
      <c r="Y48" s="303"/>
      <c r="Z48" s="303"/>
      <c r="AA48" s="303"/>
      <c r="AB48" s="303"/>
      <c r="AC48" s="22"/>
      <c r="AD48" s="22"/>
      <c r="AE48" s="24"/>
      <c r="AF48" s="24"/>
      <c r="AG48" s="24"/>
      <c r="AH48" s="22" t="s">
        <v>406</v>
      </c>
      <c r="AI48" s="24" t="s">
        <v>1281</v>
      </c>
      <c r="AJ48" s="53">
        <f>(X46*rho_cement_slurry*$AM$62)</f>
        <v>423604.30659593083</v>
      </c>
      <c r="AK48" s="53">
        <f>(X46*rho_cement_slurry*$AL$62)</f>
        <v>169441.72263837236</v>
      </c>
      <c r="AL48" s="53">
        <f>((Z46+AB46)*AI57)</f>
        <v>401180.43640646007</v>
      </c>
    </row>
    <row r="49" spans="2:41" x14ac:dyDescent="0.25">
      <c r="B49" s="29" t="s">
        <v>137</v>
      </c>
      <c r="L49" s="24"/>
      <c r="M49" s="24"/>
      <c r="N49" s="24"/>
      <c r="O49" s="24"/>
      <c r="P49" s="24"/>
      <c r="Q49" s="24"/>
      <c r="R49" s="303" t="s">
        <v>348</v>
      </c>
      <c r="S49" s="303"/>
      <c r="T49" s="303"/>
      <c r="U49" s="303"/>
      <c r="V49" s="303"/>
      <c r="W49" s="464">
        <f>SUM(W47:W48)</f>
        <v>2038.8008805836698</v>
      </c>
      <c r="X49" s="464"/>
      <c r="Y49" s="22"/>
      <c r="Z49" s="24"/>
      <c r="AA49" s="24"/>
      <c r="AB49" s="24"/>
      <c r="AC49" s="57"/>
      <c r="AD49" s="520">
        <f>AD46/1000000000</f>
        <v>1.0016266666666667E-2</v>
      </c>
      <c r="AE49" s="57">
        <f>AD49*1000</f>
        <v>10.016266666666667</v>
      </c>
      <c r="AF49" s="57" t="s">
        <v>2086</v>
      </c>
      <c r="AG49" s="57"/>
      <c r="AH49" s="22" t="s">
        <v>397</v>
      </c>
      <c r="AI49" t="s">
        <v>1412</v>
      </c>
      <c r="AJ49" s="53">
        <f>'Drilling - energy_material_4_5'!AJ49</f>
        <v>69.306111049964642</v>
      </c>
      <c r="AK49" s="53">
        <f>'Drilling - energy_material_4_5'!AK49</f>
        <v>27.722444419985859</v>
      </c>
      <c r="AL49" s="53">
        <f>'Drilling - energy_material_4_5'!AL49</f>
        <v>72.744126393279046</v>
      </c>
    </row>
    <row r="50" spans="2:41" x14ac:dyDescent="0.25">
      <c r="B50" s="26"/>
      <c r="L50" s="24"/>
      <c r="M50" s="24"/>
      <c r="N50" s="24"/>
      <c r="O50" s="24"/>
      <c r="P50" s="24"/>
      <c r="Q50" s="24"/>
      <c r="R50" s="24"/>
      <c r="S50" s="24"/>
      <c r="T50" s="24"/>
      <c r="U50" s="24"/>
      <c r="V50" s="24"/>
      <c r="W50" s="24"/>
      <c r="X50" s="24"/>
      <c r="Y50" s="24" t="s">
        <v>363</v>
      </c>
      <c r="Z50" s="24"/>
      <c r="AA50" s="24"/>
      <c r="AB50" s="24"/>
      <c r="AC50" s="465">
        <f>AC46/Plant_parameters!$F$7</f>
        <v>4.1687688639215063E-2</v>
      </c>
      <c r="AD50" s="465">
        <f>AD46/Plant_parameters!$F$7</f>
        <v>1.1228363873884265E-2</v>
      </c>
      <c r="AE50" s="24" t="s">
        <v>364</v>
      </c>
      <c r="AF50" s="24"/>
      <c r="AG50" s="24"/>
      <c r="AI50" t="s">
        <v>1417</v>
      </c>
      <c r="AJ50" s="128">
        <f>AJ48/O45</f>
        <v>70.600717765988477</v>
      </c>
      <c r="AK50" s="128">
        <f>AK48/O45</f>
        <v>28.240287106395392</v>
      </c>
      <c r="AL50" s="128">
        <f>AL48/O45</f>
        <v>66.863406067743341</v>
      </c>
    </row>
    <row r="51" spans="2:41" x14ac:dyDescent="0.25">
      <c r="B51" s="30" t="s">
        <v>138</v>
      </c>
      <c r="R51" s="24"/>
      <c r="S51" cm="1">
        <f t="array" ref="S51">TREND(R40:R43,P40:P43,P44)</f>
        <v>4.9359250949257856</v>
      </c>
      <c r="AD51" s="53"/>
      <c r="AI51" s="24" t="s">
        <v>1413</v>
      </c>
      <c r="AJ51" s="53">
        <f>'Drilling - energy_material_8'!AJ49</f>
        <v>144.73337468595471</v>
      </c>
      <c r="AK51" s="53">
        <f>'Drilling - energy_material_8'!AK49</f>
        <v>57.89334987438189</v>
      </c>
      <c r="AL51" s="53">
        <f>'Drilling - energy_material_8'!AL49</f>
        <v>74.864199353203858</v>
      </c>
    </row>
    <row r="52" spans="2:41" x14ac:dyDescent="0.25">
      <c r="B52" s="30" t="s">
        <v>139</v>
      </c>
      <c r="N52" t="s">
        <v>1511</v>
      </c>
      <c r="O52" t="s">
        <v>1512</v>
      </c>
      <c r="P52" t="s">
        <v>1515</v>
      </c>
      <c r="AD52">
        <v>3.4000000000000002E-2</v>
      </c>
      <c r="AE52" t="s">
        <v>2220</v>
      </c>
    </row>
    <row r="53" spans="2:41" x14ac:dyDescent="0.25">
      <c r="B53" s="30" t="s">
        <v>140</v>
      </c>
      <c r="L53" t="s">
        <v>1507</v>
      </c>
      <c r="M53" t="s">
        <v>1508</v>
      </c>
      <c r="N53">
        <f>S40</f>
        <v>50.8</v>
      </c>
      <c r="O53">
        <v>100</v>
      </c>
      <c r="P53" s="460">
        <f>PI()*((N53/100/2)^2*O53)</f>
        <v>20.268299163899908</v>
      </c>
      <c r="AD53">
        <f>AD50*AD52</f>
        <v>3.8176437171206503E-4</v>
      </c>
    </row>
    <row r="54" spans="2:41" x14ac:dyDescent="0.25">
      <c r="B54" s="30" t="s">
        <v>141</v>
      </c>
      <c r="M54" t="s">
        <v>1510</v>
      </c>
      <c r="N54">
        <f>S41</f>
        <v>33.972500000000004</v>
      </c>
      <c r="O54">
        <v>50</v>
      </c>
      <c r="P54" s="460">
        <f>PI()*((N54/100/2)^2*O54)</f>
        <v>4.5322608813962919</v>
      </c>
    </row>
    <row r="55" spans="2:41" x14ac:dyDescent="0.25">
      <c r="B55" s="30" t="s">
        <v>142</v>
      </c>
      <c r="M55" t="s">
        <v>1509</v>
      </c>
      <c r="N55">
        <f>S42</f>
        <v>24.447500000000002</v>
      </c>
      <c r="O55">
        <v>50</v>
      </c>
      <c r="P55" s="460">
        <f>PI()*((N55/100/2)^2*O55)</f>
        <v>2.347084877788332</v>
      </c>
      <c r="Z55" t="s">
        <v>1496</v>
      </c>
      <c r="AD55" s="53">
        <f>O47*P76</f>
        <v>99669866.666666687</v>
      </c>
      <c r="AL55" s="353" t="s">
        <v>1086</v>
      </c>
    </row>
    <row r="56" spans="2:41" x14ac:dyDescent="0.25">
      <c r="M56" t="s">
        <v>1514</v>
      </c>
      <c r="P56" s="460">
        <f>SUM(P53:P55)</f>
        <v>27.147644923084535</v>
      </c>
      <c r="AD56">
        <f>AD55/AD46</f>
        <v>9.9508000319480328</v>
      </c>
      <c r="AF56" s="50"/>
      <c r="AG56" s="351" t="s">
        <v>1085</v>
      </c>
      <c r="AH56" s="50"/>
      <c r="AI56" s="50"/>
      <c r="AJ56" s="50"/>
      <c r="AL56" s="353"/>
      <c r="AM56" s="354" t="s">
        <v>1088</v>
      </c>
      <c r="AN56" s="354"/>
      <c r="AO56" s="354"/>
    </row>
    <row r="57" spans="2:41" x14ac:dyDescent="0.25">
      <c r="L57" t="s">
        <v>1516</v>
      </c>
      <c r="AF57" s="50" t="s">
        <v>394</v>
      </c>
      <c r="AG57" s="50" t="s">
        <v>392</v>
      </c>
      <c r="AH57" s="50"/>
      <c r="AI57" s="50">
        <v>7800</v>
      </c>
      <c r="AJ57" s="50" t="s">
        <v>393</v>
      </c>
      <c r="AL57" s="354" t="s">
        <v>1087</v>
      </c>
      <c r="AM57" s="354" t="s">
        <v>1089</v>
      </c>
      <c r="AN57" s="354"/>
      <c r="AO57" s="354"/>
    </row>
    <row r="58" spans="2:41" x14ac:dyDescent="0.25">
      <c r="AF58" s="50" t="s">
        <v>396</v>
      </c>
      <c r="AG58" s="50" t="s">
        <v>395</v>
      </c>
      <c r="AH58" s="50"/>
      <c r="AI58" s="50">
        <v>1900</v>
      </c>
      <c r="AJ58" s="50" t="s">
        <v>393</v>
      </c>
      <c r="AL58" s="354" t="s">
        <v>1090</v>
      </c>
      <c r="AM58" s="354"/>
      <c r="AN58" s="354"/>
      <c r="AO58" s="354"/>
    </row>
    <row r="59" spans="2:41" x14ac:dyDescent="0.25">
      <c r="AF59" s="50"/>
      <c r="AG59" s="50" t="s">
        <v>1086</v>
      </c>
      <c r="AH59" s="50">
        <v>1400</v>
      </c>
      <c r="AI59" s="50">
        <v>2300</v>
      </c>
      <c r="AJ59" s="50" t="s">
        <v>393</v>
      </c>
      <c r="AK59" t="s">
        <v>1091</v>
      </c>
      <c r="AL59" s="354"/>
      <c r="AM59" s="354"/>
      <c r="AN59" s="354"/>
      <c r="AO59" s="354"/>
    </row>
    <row r="60" spans="2:41" x14ac:dyDescent="0.25">
      <c r="O60" t="s">
        <v>1</v>
      </c>
      <c r="P60" t="s">
        <v>1496</v>
      </c>
      <c r="AF60" s="50"/>
      <c r="AG60" s="50"/>
      <c r="AH60" s="50" t="s">
        <v>1092</v>
      </c>
      <c r="AI60" s="50">
        <v>2000</v>
      </c>
      <c r="AJ60" s="50" t="s">
        <v>393</v>
      </c>
      <c r="AL60" s="353" t="s">
        <v>1093</v>
      </c>
      <c r="AM60" s="353"/>
      <c r="AN60" s="354"/>
      <c r="AO60" s="354"/>
    </row>
    <row r="61" spans="2:41" x14ac:dyDescent="0.25">
      <c r="M61" t="s">
        <v>365</v>
      </c>
      <c r="O61" s="58" t="s">
        <v>1007</v>
      </c>
      <c r="P61" s="345" t="s">
        <v>1008</v>
      </c>
      <c r="Q61" t="s">
        <v>366</v>
      </c>
      <c r="R61" t="s">
        <v>1009</v>
      </c>
      <c r="AF61" s="50"/>
      <c r="AG61" s="50" t="s">
        <v>1470</v>
      </c>
      <c r="AH61" s="50">
        <v>2300</v>
      </c>
      <c r="AI61" s="50">
        <v>2500</v>
      </c>
      <c r="AJ61" s="50" t="s">
        <v>393</v>
      </c>
      <c r="AL61" s="354">
        <v>0.4</v>
      </c>
      <c r="AM61" s="354">
        <v>1</v>
      </c>
      <c r="AN61" s="354"/>
      <c r="AO61" s="354"/>
    </row>
    <row r="62" spans="2:41" x14ac:dyDescent="0.25">
      <c r="M62" t="s">
        <v>367</v>
      </c>
      <c r="O62" s="31">
        <v>0.8</v>
      </c>
      <c r="R62" t="s">
        <v>873</v>
      </c>
      <c r="AF62" s="50"/>
      <c r="AG62" s="50"/>
      <c r="AH62" s="50"/>
      <c r="AI62" s="50"/>
      <c r="AJ62" s="50"/>
      <c r="AK62" t="s">
        <v>1096</v>
      </c>
      <c r="AL62" s="355">
        <f>AL61/SUM(AL61:AM61)</f>
        <v>0.28571428571428575</v>
      </c>
      <c r="AM62" s="355">
        <f>AM61/SUM(AL61:AM61)</f>
        <v>0.7142857142857143</v>
      </c>
      <c r="AN62" s="354"/>
      <c r="AO62" s="354"/>
    </row>
    <row r="63" spans="2:41" x14ac:dyDescent="0.25">
      <c r="M63" t="s">
        <v>1010</v>
      </c>
      <c r="N63" t="s">
        <v>370</v>
      </c>
      <c r="O63" s="53">
        <f>'Drilling - time'!F18*2</f>
        <v>15.902777777777779</v>
      </c>
      <c r="P63" s="53">
        <f>'Drilling - time'!D18*2</f>
        <v>159.02777777777777</v>
      </c>
      <c r="R63" t="s">
        <v>369</v>
      </c>
      <c r="AF63" s="50"/>
      <c r="AG63" s="352" t="s">
        <v>852</v>
      </c>
      <c r="AH63" s="50" t="s">
        <v>393</v>
      </c>
      <c r="AI63" s="50"/>
      <c r="AJ63" s="50"/>
    </row>
    <row r="64" spans="2:41" x14ac:dyDescent="0.25">
      <c r="K64" s="15" t="s">
        <v>372</v>
      </c>
      <c r="M64" t="s">
        <v>1006</v>
      </c>
      <c r="O64" s="53">
        <f>'Drilling - time'!F42</f>
        <v>87.5</v>
      </c>
      <c r="P64">
        <f>'Drilling - time'!D42</f>
        <v>875</v>
      </c>
      <c r="AF64" s="50"/>
      <c r="AG64" s="50" t="s">
        <v>853</v>
      </c>
      <c r="AH64" s="50" t="s">
        <v>854</v>
      </c>
      <c r="AI64" s="50" t="s">
        <v>855</v>
      </c>
      <c r="AJ64" s="50"/>
    </row>
    <row r="65" spans="11:38" x14ac:dyDescent="0.25">
      <c r="K65">
        <f>O65/(O45*2)*1000</f>
        <v>127.22222222222224</v>
      </c>
      <c r="L65" t="s">
        <v>368</v>
      </c>
      <c r="M65" t="s">
        <v>1032</v>
      </c>
      <c r="N65" t="s">
        <v>371</v>
      </c>
      <c r="O65" s="53">
        <f>O63*24*$O$62*$P$61</f>
        <v>1526.666666666667</v>
      </c>
      <c r="P65" s="53">
        <f>P63*24*$O$62*$P$61</f>
        <v>15266.666666666668</v>
      </c>
      <c r="Q65" s="52">
        <f>O65/(O45*2)</f>
        <v>0.12722222222222224</v>
      </c>
      <c r="R65">
        <f>P65/(O45*2)*1000</f>
        <v>1272.2222222222224</v>
      </c>
      <c r="AF65" s="50"/>
      <c r="AG65" s="50" t="s">
        <v>856</v>
      </c>
      <c r="AH65" s="50" t="s">
        <v>857</v>
      </c>
      <c r="AI65" s="50">
        <v>1800</v>
      </c>
      <c r="AJ65" s="50"/>
    </row>
    <row r="66" spans="11:38" x14ac:dyDescent="0.25">
      <c r="K66">
        <f>O66/well_length_horizontal*1000</f>
        <v>200</v>
      </c>
      <c r="M66" t="s">
        <v>887</v>
      </c>
      <c r="N66" t="s">
        <v>371</v>
      </c>
      <c r="O66" s="53">
        <f>O64*24*$O$62*$P$61</f>
        <v>8400</v>
      </c>
      <c r="P66" s="53">
        <f>P64*24*$O$62*$P$61</f>
        <v>84000</v>
      </c>
      <c r="Q66">
        <f>O66/O46</f>
        <v>0.2</v>
      </c>
      <c r="R66">
        <f>P66/well_length_horizontal*1000</f>
        <v>2000</v>
      </c>
      <c r="AF66" s="50"/>
      <c r="AG66" s="50"/>
      <c r="AH66" s="50" t="s">
        <v>858</v>
      </c>
      <c r="AI66" s="50">
        <v>2300</v>
      </c>
      <c r="AJ66" s="50"/>
      <c r="AL66" t="s">
        <v>1110</v>
      </c>
    </row>
    <row r="67" spans="11:38" x14ac:dyDescent="0.25">
      <c r="M67" t="s">
        <v>1033</v>
      </c>
      <c r="N67" t="s">
        <v>371</v>
      </c>
      <c r="O67" s="53">
        <f>(O63+O64)*24*$O$62*$P$61</f>
        <v>9926.6666666666661</v>
      </c>
      <c r="P67" s="53">
        <f>(P63+P64)*24*$O$62*$P$61</f>
        <v>99266.666666666686</v>
      </c>
      <c r="AF67" s="50"/>
      <c r="AG67" s="50"/>
      <c r="AH67" s="50" t="s">
        <v>859</v>
      </c>
      <c r="AI67" s="50">
        <v>2600</v>
      </c>
      <c r="AJ67" s="50"/>
      <c r="AL67" t="s">
        <v>1111</v>
      </c>
    </row>
    <row r="68" spans="11:38" x14ac:dyDescent="0.25">
      <c r="N68" s="32" t="s">
        <v>372</v>
      </c>
      <c r="O68" s="347">
        <f>O67*1000/$O$47</f>
        <v>183.82716049382714</v>
      </c>
      <c r="P68" s="347">
        <f>P67*1000/$O$47</f>
        <v>1838.271604938272</v>
      </c>
      <c r="AF68" s="50"/>
      <c r="AG68" s="50"/>
      <c r="AH68" s="50" t="s">
        <v>860</v>
      </c>
      <c r="AI68" s="50">
        <v>2400</v>
      </c>
      <c r="AJ68" s="50"/>
      <c r="AL68" t="s">
        <v>1112</v>
      </c>
    </row>
    <row r="69" spans="11:38" x14ac:dyDescent="0.25">
      <c r="M69" t="s">
        <v>1021</v>
      </c>
      <c r="O69" s="346">
        <f>O61*0.1</f>
        <v>0.4</v>
      </c>
      <c r="P69" s="346">
        <f>P61*0.1</f>
        <v>0.5</v>
      </c>
      <c r="Q69" t="s">
        <v>366</v>
      </c>
      <c r="R69" t="s">
        <v>1022</v>
      </c>
      <c r="AF69" s="50"/>
      <c r="AG69" s="50"/>
      <c r="AH69" s="50" t="s">
        <v>861</v>
      </c>
      <c r="AI69" s="50">
        <v>1200</v>
      </c>
      <c r="AJ69" s="50"/>
    </row>
    <row r="70" spans="11:38" x14ac:dyDescent="0.25">
      <c r="M70" t="s">
        <v>367</v>
      </c>
      <c r="O70">
        <v>0.8</v>
      </c>
      <c r="P70" s="346"/>
      <c r="AF70" s="50"/>
      <c r="AG70" s="50"/>
      <c r="AH70" s="50"/>
      <c r="AI70" s="50"/>
      <c r="AJ70" s="50"/>
    </row>
    <row r="71" spans="11:38" x14ac:dyDescent="0.25">
      <c r="M71" t="s">
        <v>1028</v>
      </c>
      <c r="O71">
        <f>'Drilling - time'!F28*2</f>
        <v>42</v>
      </c>
      <c r="P71">
        <f>'Drilling - time'!D28*2</f>
        <v>42</v>
      </c>
      <c r="R71" t="s">
        <v>1029</v>
      </c>
      <c r="AF71" s="50"/>
      <c r="AG71" s="50" t="s">
        <v>862</v>
      </c>
      <c r="AH71" s="50" t="s">
        <v>863</v>
      </c>
      <c r="AI71" s="50">
        <v>2620</v>
      </c>
      <c r="AJ71" s="50"/>
    </row>
    <row r="72" spans="11:38" x14ac:dyDescent="0.25">
      <c r="M72" t="s">
        <v>1023</v>
      </c>
      <c r="N72" t="s">
        <v>371</v>
      </c>
      <c r="O72" s="346">
        <f>O71*24*$O$70*$P$69</f>
        <v>403.20000000000005</v>
      </c>
      <c r="P72" s="346">
        <f>P71*24*$O$70*$P$69</f>
        <v>403.20000000000005</v>
      </c>
      <c r="AF72" s="50"/>
      <c r="AG72" s="50"/>
      <c r="AH72" s="50" t="s">
        <v>864</v>
      </c>
      <c r="AI72" s="50">
        <v>3300</v>
      </c>
      <c r="AJ72" s="50"/>
    </row>
    <row r="73" spans="11:38" x14ac:dyDescent="0.25">
      <c r="N73" t="s">
        <v>372</v>
      </c>
      <c r="O73">
        <f>O72*1000/($O$47)</f>
        <v>7.4666666666666677</v>
      </c>
      <c r="P73">
        <f>P72*1000/($O$47)</f>
        <v>7.4666666666666677</v>
      </c>
      <c r="R73" t="s">
        <v>1030</v>
      </c>
      <c r="AF73" s="50"/>
      <c r="AG73" s="50"/>
      <c r="AH73" s="50" t="s">
        <v>865</v>
      </c>
      <c r="AI73" s="50">
        <v>2720</v>
      </c>
      <c r="AJ73" s="50"/>
    </row>
    <row r="74" spans="11:38" x14ac:dyDescent="0.25">
      <c r="M74" t="s">
        <v>1024</v>
      </c>
      <c r="O74" s="53" t="s">
        <v>1025</v>
      </c>
      <c r="AF74" s="50"/>
      <c r="AG74" s="50"/>
      <c r="AH74" s="50"/>
      <c r="AI74" s="50"/>
      <c r="AJ74" s="50"/>
    </row>
    <row r="75" spans="11:38" x14ac:dyDescent="0.25">
      <c r="O75" t="s">
        <v>1</v>
      </c>
      <c r="P75" t="s">
        <v>1496</v>
      </c>
      <c r="AF75" s="50"/>
      <c r="AG75" s="50" t="s">
        <v>866</v>
      </c>
      <c r="AH75" s="50">
        <v>2700</v>
      </c>
      <c r="AI75" s="50" t="s">
        <v>393</v>
      </c>
      <c r="AJ75" s="50"/>
    </row>
    <row r="76" spans="11:38" x14ac:dyDescent="0.25">
      <c r="N76" s="59" t="s">
        <v>372</v>
      </c>
      <c r="O76" s="60">
        <f>O73+O68</f>
        <v>191.29382716049381</v>
      </c>
      <c r="P76" s="60">
        <f>P73+P68</f>
        <v>1845.7382716049387</v>
      </c>
      <c r="Q76" s="53">
        <f>1.2*1000*1000/7000</f>
        <v>171.42857142857142</v>
      </c>
      <c r="R76" t="s">
        <v>372</v>
      </c>
      <c r="S76" t="s">
        <v>457</v>
      </c>
      <c r="AF76" s="50"/>
      <c r="AG76" s="50" t="s">
        <v>867</v>
      </c>
      <c r="AH76" s="50">
        <v>2350</v>
      </c>
      <c r="AI76" s="50" t="s">
        <v>393</v>
      </c>
      <c r="AJ76" s="50"/>
    </row>
    <row r="77" spans="11:38" x14ac:dyDescent="0.25">
      <c r="N77" s="59" t="s">
        <v>1031</v>
      </c>
      <c r="O77" s="60">
        <f>O76*MJ_per_kWh</f>
        <v>688.65777777777771</v>
      </c>
      <c r="P77" s="60">
        <f>P76*MJ_per_kWh</f>
        <v>6644.6577777777793</v>
      </c>
      <c r="AF77" s="50"/>
      <c r="AG77" s="50" t="s">
        <v>868</v>
      </c>
      <c r="AH77" s="50"/>
      <c r="AI77" s="50"/>
      <c r="AJ77" s="50"/>
    </row>
    <row r="78" spans="11:38" x14ac:dyDescent="0.25">
      <c r="M78" t="s">
        <v>2102</v>
      </c>
      <c r="N78" t="s">
        <v>372</v>
      </c>
      <c r="O78" s="53">
        <f>K65+O73</f>
        <v>134.6888888888889</v>
      </c>
      <c r="P78" s="53">
        <f>R65+P73</f>
        <v>1279.6888888888891</v>
      </c>
      <c r="Q78">
        <f>P78*2*SUM(O40:O43)+O44*P79</f>
        <v>99356266.666666672</v>
      </c>
      <c r="AF78" s="50"/>
      <c r="AG78" s="50" t="s">
        <v>869</v>
      </c>
      <c r="AH78" s="50"/>
      <c r="AI78" s="50"/>
      <c r="AJ78" s="50"/>
    </row>
    <row r="79" spans="11:38" x14ac:dyDescent="0.25">
      <c r="M79" t="s">
        <v>2103</v>
      </c>
      <c r="N79" t="s">
        <v>372</v>
      </c>
      <c r="O79">
        <f>K66</f>
        <v>200</v>
      </c>
      <c r="P79">
        <f>R66</f>
        <v>2000</v>
      </c>
      <c r="Q79">
        <f>Q78/lifetime_60a_elprod</f>
        <v>0.11137965395796284</v>
      </c>
      <c r="AG79" s="50"/>
      <c r="AH79" s="50"/>
      <c r="AI79" s="50"/>
      <c r="AJ79" s="50"/>
    </row>
  </sheetData>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8975-78CC-455C-AE92-707DC56BCA45}">
  <sheetPr>
    <tabColor theme="7" tint="-0.249977111117893"/>
  </sheetPr>
  <dimension ref="B4:AO79"/>
  <sheetViews>
    <sheetView topLeftCell="H44" workbookViewId="0">
      <selection activeCell="O80" sqref="O80"/>
    </sheetView>
  </sheetViews>
  <sheetFormatPr defaultRowHeight="15" x14ac:dyDescent="0.25"/>
  <cols>
    <col min="13" max="13" width="23.140625" customWidth="1"/>
    <col min="14" max="14" width="11" bestFit="1" customWidth="1"/>
    <col min="16" max="16" width="12" bestFit="1" customWidth="1"/>
    <col min="23" max="24" width="12.7109375" customWidth="1"/>
    <col min="25" max="25" width="18.5703125" bestFit="1" customWidth="1"/>
    <col min="26" max="28" width="18.5703125" customWidth="1"/>
    <col min="34" max="34" width="23.140625" customWidth="1"/>
    <col min="37" max="37" width="12" bestFit="1" customWidth="1"/>
    <col min="38" max="39" width="11" bestFit="1" customWidth="1"/>
  </cols>
  <sheetData>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30" x14ac:dyDescent="0.25">
      <c r="B17" s="25" t="s">
        <v>114</v>
      </c>
      <c r="Z17" s="311" t="s">
        <v>852</v>
      </c>
      <c r="AA17" s="311"/>
      <c r="AB17" s="311"/>
      <c r="AC17" s="312" t="s">
        <v>393</v>
      </c>
      <c r="AD17" s="312"/>
    </row>
    <row r="18" spans="2:30" x14ac:dyDescent="0.25">
      <c r="B18" s="25" t="s">
        <v>115</v>
      </c>
      <c r="Z18" s="312" t="s">
        <v>853</v>
      </c>
      <c r="AA18" s="312"/>
      <c r="AB18" s="312"/>
      <c r="AC18" s="312" t="s">
        <v>854</v>
      </c>
      <c r="AD18" s="312" t="s">
        <v>855</v>
      </c>
    </row>
    <row r="19" spans="2:30" x14ac:dyDescent="0.25">
      <c r="B19" s="26"/>
      <c r="Z19" s="312" t="s">
        <v>856</v>
      </c>
      <c r="AA19" s="312"/>
      <c r="AB19" s="312"/>
      <c r="AC19" s="312" t="s">
        <v>857</v>
      </c>
      <c r="AD19" s="312">
        <v>1800</v>
      </c>
    </row>
    <row r="20" spans="2:30" x14ac:dyDescent="0.25">
      <c r="B20" s="26"/>
      <c r="Z20" s="312"/>
      <c r="AA20" s="312"/>
      <c r="AB20" s="312"/>
      <c r="AC20" s="312" t="s">
        <v>858</v>
      </c>
      <c r="AD20" s="312">
        <v>2300</v>
      </c>
    </row>
    <row r="21" spans="2:30" x14ac:dyDescent="0.25">
      <c r="B21" s="25" t="s">
        <v>116</v>
      </c>
      <c r="Z21" s="312"/>
      <c r="AA21" s="312"/>
      <c r="AB21" s="312"/>
      <c r="AC21" s="312" t="s">
        <v>859</v>
      </c>
      <c r="AD21" s="312">
        <v>2600</v>
      </c>
    </row>
    <row r="22" spans="2:30" x14ac:dyDescent="0.25">
      <c r="B22" s="25" t="s">
        <v>117</v>
      </c>
      <c r="Z22" s="312"/>
      <c r="AA22" s="312"/>
      <c r="AB22" s="312"/>
      <c r="AC22" s="312" t="s">
        <v>860</v>
      </c>
      <c r="AD22" s="312">
        <v>2400</v>
      </c>
    </row>
    <row r="23" spans="2:30" x14ac:dyDescent="0.25">
      <c r="B23" s="25" t="s">
        <v>118</v>
      </c>
      <c r="Z23" s="312"/>
      <c r="AA23" s="312"/>
      <c r="AB23" s="312"/>
      <c r="AC23" s="312" t="s">
        <v>861</v>
      </c>
      <c r="AD23" s="312">
        <v>1200</v>
      </c>
    </row>
    <row r="24" spans="2:30" x14ac:dyDescent="0.25">
      <c r="B24" s="25" t="s">
        <v>119</v>
      </c>
      <c r="M24" s="350" t="s">
        <v>144</v>
      </c>
      <c r="Z24" s="312"/>
      <c r="AA24" s="312"/>
      <c r="AB24" s="312"/>
      <c r="AC24" s="312"/>
      <c r="AD24" s="312"/>
    </row>
    <row r="25" spans="2:30" x14ac:dyDescent="0.25">
      <c r="B25" s="25" t="s">
        <v>120</v>
      </c>
      <c r="M25" s="350" t="s">
        <v>145</v>
      </c>
      <c r="Z25" s="312" t="s">
        <v>862</v>
      </c>
      <c r="AA25" s="312"/>
      <c r="AB25" s="312"/>
      <c r="AC25" s="312" t="s">
        <v>863</v>
      </c>
      <c r="AD25" s="312">
        <v>2620</v>
      </c>
    </row>
    <row r="26" spans="2:30" x14ac:dyDescent="0.25">
      <c r="B26" s="25" t="s">
        <v>121</v>
      </c>
      <c r="M26" s="350" t="s">
        <v>146</v>
      </c>
      <c r="Z26" s="312"/>
      <c r="AA26" s="312"/>
      <c r="AB26" s="312"/>
      <c r="AC26" s="312" t="s">
        <v>864</v>
      </c>
      <c r="AD26" s="312">
        <v>3300</v>
      </c>
    </row>
    <row r="27" spans="2:30" x14ac:dyDescent="0.25">
      <c r="B27" s="25" t="s">
        <v>122</v>
      </c>
      <c r="Z27" s="312"/>
      <c r="AA27" s="312"/>
      <c r="AB27" s="312"/>
      <c r="AC27" s="312" t="s">
        <v>865</v>
      </c>
      <c r="AD27" s="312">
        <v>2720</v>
      </c>
    </row>
    <row r="28" spans="2:30" x14ac:dyDescent="0.25">
      <c r="B28" s="25" t="s">
        <v>123</v>
      </c>
      <c r="Z28" s="312"/>
      <c r="AA28" s="312"/>
      <c r="AB28" s="312"/>
      <c r="AC28" s="312"/>
      <c r="AD28" s="312"/>
    </row>
    <row r="29" spans="2:30" x14ac:dyDescent="0.25">
      <c r="B29" s="25" t="s">
        <v>124</v>
      </c>
      <c r="M29" s="32" t="s">
        <v>147</v>
      </c>
      <c r="Z29" s="312" t="s">
        <v>866</v>
      </c>
      <c r="AA29" s="312"/>
      <c r="AB29" s="312"/>
      <c r="AC29" s="312">
        <v>2700</v>
      </c>
      <c r="AD29" s="312" t="s">
        <v>393</v>
      </c>
    </row>
    <row r="30" spans="2:30" x14ac:dyDescent="0.25">
      <c r="B30" s="29" t="s">
        <v>125</v>
      </c>
      <c r="M30" t="s">
        <v>143</v>
      </c>
      <c r="N30" t="s">
        <v>148</v>
      </c>
      <c r="O30" s="31">
        <v>1.5</v>
      </c>
      <c r="P30" t="s">
        <v>344</v>
      </c>
      <c r="Z30" s="312" t="s">
        <v>867</v>
      </c>
      <c r="AA30" s="312"/>
      <c r="AB30" s="312"/>
      <c r="AC30" s="312">
        <v>2350</v>
      </c>
      <c r="AD30" s="312" t="s">
        <v>393</v>
      </c>
    </row>
    <row r="31" spans="2:30" x14ac:dyDescent="0.25">
      <c r="B31" s="29" t="s">
        <v>126</v>
      </c>
      <c r="M31" t="s">
        <v>149</v>
      </c>
      <c r="N31" t="s">
        <v>150</v>
      </c>
      <c r="O31" s="31">
        <v>6</v>
      </c>
      <c r="P31" t="s">
        <v>344</v>
      </c>
      <c r="Q31" t="s">
        <v>151</v>
      </c>
      <c r="Z31" s="312" t="s">
        <v>868</v>
      </c>
      <c r="AA31" s="312"/>
      <c r="AB31" s="312"/>
      <c r="AC31" s="312"/>
      <c r="AD31" s="312"/>
    </row>
    <row r="32" spans="2:30" x14ac:dyDescent="0.25">
      <c r="B32" s="29" t="s">
        <v>127</v>
      </c>
      <c r="Z32" s="312" t="s">
        <v>869</v>
      </c>
      <c r="AA32" s="312"/>
      <c r="AB32" s="312"/>
      <c r="AC32" s="312"/>
      <c r="AD32" s="312"/>
    </row>
    <row r="33" spans="2:38" x14ac:dyDescent="0.25">
      <c r="B33" s="26"/>
    </row>
    <row r="34" spans="2:38" x14ac:dyDescent="0.25">
      <c r="B34" s="29" t="s">
        <v>128</v>
      </c>
    </row>
    <row r="35" spans="2:38" x14ac:dyDescent="0.25">
      <c r="B35" s="29" t="s">
        <v>129</v>
      </c>
      <c r="M35" t="s">
        <v>336</v>
      </c>
      <c r="AI35" s="313" t="s">
        <v>874</v>
      </c>
    </row>
    <row r="36" spans="2:38" x14ac:dyDescent="0.25">
      <c r="B36" s="26"/>
      <c r="AI36" t="s">
        <v>391</v>
      </c>
    </row>
    <row r="37" spans="2:38" x14ac:dyDescent="0.25">
      <c r="B37" s="29" t="s">
        <v>130</v>
      </c>
      <c r="L37" s="24"/>
      <c r="M37" s="24"/>
      <c r="N37" s="24"/>
      <c r="O37" s="24"/>
      <c r="P37" s="55" t="s">
        <v>1513</v>
      </c>
      <c r="Q37" s="55"/>
      <c r="R37" s="55" t="s">
        <v>405</v>
      </c>
      <c r="S37" s="55"/>
      <c r="T37" s="55"/>
      <c r="U37" s="55" t="s">
        <v>1547</v>
      </c>
      <c r="V37" s="55"/>
      <c r="W37" s="304" t="s">
        <v>341</v>
      </c>
      <c r="X37" s="478" t="s">
        <v>1086</v>
      </c>
      <c r="Y37" s="304"/>
      <c r="Z37" s="478" t="s">
        <v>1475</v>
      </c>
      <c r="AA37" s="304"/>
      <c r="AB37" s="478" t="s">
        <v>1475</v>
      </c>
      <c r="AC37" s="24"/>
      <c r="AD37" s="24"/>
      <c r="AE37" s="304" t="s">
        <v>388</v>
      </c>
      <c r="AF37" s="55"/>
      <c r="AG37" s="55"/>
      <c r="AH37" s="24"/>
      <c r="AI37" s="304" t="s">
        <v>390</v>
      </c>
    </row>
    <row r="38" spans="2:38" ht="45" x14ac:dyDescent="0.25">
      <c r="B38" s="26"/>
      <c r="K38" t="s">
        <v>1558</v>
      </c>
      <c r="L38" s="24"/>
      <c r="M38" s="22" t="str">
        <f>'Drilling - well design'!I16</f>
        <v>Section</v>
      </c>
      <c r="N38" s="22" t="str">
        <f>'Drilling - well design'!J16</f>
        <v>Depth from table left</v>
      </c>
      <c r="O38" s="61" t="str">
        <f>'Drilling - well design'!L16</f>
        <v>length_m</v>
      </c>
      <c r="P38" s="326"/>
      <c r="Q38" s="326"/>
      <c r="R38" s="326"/>
      <c r="S38" s="326"/>
      <c r="T38" s="301" t="s">
        <v>399</v>
      </c>
      <c r="U38" s="326"/>
      <c r="V38" s="326"/>
      <c r="W38" s="328" t="s">
        <v>1559</v>
      </c>
      <c r="X38" s="328" t="s">
        <v>1549</v>
      </c>
      <c r="Y38" s="328" t="s">
        <v>1548</v>
      </c>
      <c r="Z38" s="328" t="s">
        <v>1550</v>
      </c>
      <c r="AA38" s="328" t="s">
        <v>1560</v>
      </c>
      <c r="AB38" s="328" t="s">
        <v>1561</v>
      </c>
      <c r="AC38" s="22" t="s">
        <v>343</v>
      </c>
      <c r="AD38" s="22"/>
      <c r="AE38" s="303"/>
      <c r="AG38" s="301" t="s">
        <v>405</v>
      </c>
      <c r="AH38" s="22" t="s">
        <v>400</v>
      </c>
      <c r="AI38" s="303"/>
      <c r="AJ38" s="22" t="s">
        <v>1095</v>
      </c>
      <c r="AK38" t="s">
        <v>1094</v>
      </c>
      <c r="AL38" s="22" t="s">
        <v>398</v>
      </c>
    </row>
    <row r="39" spans="2:38" x14ac:dyDescent="0.25">
      <c r="B39" s="29" t="s">
        <v>131</v>
      </c>
      <c r="L39" s="24"/>
      <c r="M39" s="22"/>
      <c r="N39" s="22" t="s">
        <v>54</v>
      </c>
      <c r="O39" s="22" t="s">
        <v>54</v>
      </c>
      <c r="P39" s="301" t="s">
        <v>95</v>
      </c>
      <c r="Q39" s="301" t="s">
        <v>96</v>
      </c>
      <c r="R39" s="301" t="s">
        <v>95</v>
      </c>
      <c r="S39" s="301" t="s">
        <v>96</v>
      </c>
      <c r="T39" s="301" t="s">
        <v>95</v>
      </c>
      <c r="U39" s="326" t="s">
        <v>95</v>
      </c>
      <c r="V39" s="326" t="s">
        <v>96</v>
      </c>
      <c r="W39" s="303" t="s">
        <v>342</v>
      </c>
      <c r="X39" s="303" t="s">
        <v>342</v>
      </c>
      <c r="Y39" s="303" t="s">
        <v>342</v>
      </c>
      <c r="Z39" s="303" t="s">
        <v>342</v>
      </c>
      <c r="AA39" s="303" t="s">
        <v>342</v>
      </c>
      <c r="AB39" s="303" t="s">
        <v>342</v>
      </c>
      <c r="AC39" s="22" t="s">
        <v>345</v>
      </c>
      <c r="AD39" s="22" t="s">
        <v>347</v>
      </c>
      <c r="AE39" s="303"/>
      <c r="AG39" s="301" t="s">
        <v>96</v>
      </c>
      <c r="AH39" s="22"/>
      <c r="AI39" s="303"/>
      <c r="AJ39" s="22" t="s">
        <v>397</v>
      </c>
      <c r="AK39" s="22" t="s">
        <v>397</v>
      </c>
      <c r="AL39" s="22" t="s">
        <v>397</v>
      </c>
    </row>
    <row r="40" spans="2:38" x14ac:dyDescent="0.25">
      <c r="B40" s="26"/>
      <c r="K40">
        <f>O40</f>
        <v>250</v>
      </c>
      <c r="L40" s="24" t="s">
        <v>337</v>
      </c>
      <c r="M40" s="24" t="str">
        <f>'Drilling - well design'!I17</f>
        <v>Surface Conductor</v>
      </c>
      <c r="N40" s="24">
        <f>'Drilling - well design'!J17</f>
        <v>0</v>
      </c>
      <c r="O40" s="24">
        <f>'Drilling - well design'!L17</f>
        <v>250</v>
      </c>
      <c r="P40" s="417">
        <f>'Drilling - well design'!V17</f>
        <v>36</v>
      </c>
      <c r="Q40" s="55">
        <f>P40*cm_per_inch</f>
        <v>91.44</v>
      </c>
      <c r="R40" s="417">
        <f>'Drilling - well design'!X17</f>
        <v>30</v>
      </c>
      <c r="S40" s="55">
        <f>R40*cm_per_inch</f>
        <v>76.2</v>
      </c>
      <c r="T40" s="327">
        <f>'Drilling - energy_material_6km'!T40</f>
        <v>0.5</v>
      </c>
      <c r="U40" s="327">
        <f>T40+R40</f>
        <v>30.5</v>
      </c>
      <c r="V40" s="55">
        <f>S40+T40*cm_per_inch</f>
        <v>77.47</v>
      </c>
      <c r="W40" s="306">
        <f>PI()*((Q40/100/2)^2*$O$40)</f>
        <v>164.17322322758926</v>
      </c>
      <c r="X40" s="306">
        <f>(PI()*((Q40/2)/100)^2*K40)-((PI()*((V40/2)/100)^2*K40))</f>
        <v>46.332065119977472</v>
      </c>
      <c r="Y40" s="306">
        <f>PI()*((V40/100/2)^2*K40)</f>
        <v>117.8411581076118</v>
      </c>
      <c r="Z40" s="306">
        <f>Y40-PI()*((S40/100/2)^2*K40)</f>
        <v>3.8319753106748067</v>
      </c>
      <c r="AA40" s="306"/>
      <c r="AB40" s="306"/>
      <c r="AC40" s="23">
        <f>O40*MJ_per_m</f>
        <v>160291.03448275858</v>
      </c>
      <c r="AD40" s="57">
        <f>O40*kWh_per_m_ppgd</f>
        <v>47823.456790123448</v>
      </c>
      <c r="AE40" s="306"/>
      <c r="AG40" s="302"/>
      <c r="AH40" s="23" t="s">
        <v>401</v>
      </c>
      <c r="AI40" s="305"/>
      <c r="AJ40" s="53">
        <f>(X40*rho_cement_slurry*$AM$62)/K40</f>
        <v>264.7546578284427</v>
      </c>
      <c r="AK40" s="53">
        <f>(X40*rho_cement_slurry*$AL$62)/K40</f>
        <v>105.90186313137708</v>
      </c>
      <c r="AL40" s="53">
        <f>Z40*$AI$57/K40</f>
        <v>119.55762969305397</v>
      </c>
    </row>
    <row r="41" spans="2:38" x14ac:dyDescent="0.25">
      <c r="B41" s="29" t="s">
        <v>132</v>
      </c>
      <c r="K41">
        <f>O41+O40</f>
        <v>2000</v>
      </c>
      <c r="L41" s="24" t="s">
        <v>338</v>
      </c>
      <c r="M41" s="24" t="str">
        <f>'Drilling - well design'!I18</f>
        <v>Surface casing</v>
      </c>
      <c r="N41" s="24">
        <f>'Drilling - well design'!J18</f>
        <v>250</v>
      </c>
      <c r="O41" s="24">
        <f>'Drilling - well design'!L18</f>
        <v>1750</v>
      </c>
      <c r="P41" s="417">
        <f>'Drilling - well design'!V18</f>
        <v>26</v>
      </c>
      <c r="Q41" s="55">
        <f>P41*cm_per_inch</f>
        <v>66.040000000000006</v>
      </c>
      <c r="R41" s="417">
        <f>'Drilling - well design'!X18</f>
        <v>18.625</v>
      </c>
      <c r="S41" s="55">
        <f>R41*cm_per_inch</f>
        <v>47.307499999999997</v>
      </c>
      <c r="T41" s="327">
        <f>'Drilling - energy_material_6km'!T41</f>
        <v>0.4</v>
      </c>
      <c r="U41" s="327">
        <f>T41+R41</f>
        <v>19.024999999999999</v>
      </c>
      <c r="V41" s="55">
        <f>S41+T41*cm_per_inch</f>
        <v>48.323499999999996</v>
      </c>
      <c r="W41" s="306">
        <f>PI()*((Q41/100/2)^2*$O$41)</f>
        <v>599.43494777234002</v>
      </c>
      <c r="X41" s="306">
        <f t="shared" ref="X41:X43" si="0">(PI()*((Q41/2)/100)^2*K41)-((PI()*((V41/2)/100)^2*K41))</f>
        <v>318.26233423678974</v>
      </c>
      <c r="Y41" s="306">
        <f>PI()*((V41/100/2)^2*K41)</f>
        <v>366.80617750302741</v>
      </c>
      <c r="Z41" s="306">
        <f>Y41-PI()*((S41/100/2)^2*K41)</f>
        <v>15.262029270416633</v>
      </c>
      <c r="AA41" s="306"/>
      <c r="AB41" s="306"/>
      <c r="AC41" s="23">
        <f>O41*MJ_per_m</f>
        <v>1122037.2413793101</v>
      </c>
      <c r="AD41" s="57">
        <f>O41*kWh_per_m_ppgd</f>
        <v>334764.19753086416</v>
      </c>
      <c r="AE41" s="306"/>
      <c r="AG41" s="302"/>
      <c r="AH41" s="23" t="s">
        <v>402</v>
      </c>
      <c r="AI41" s="305"/>
      <c r="AJ41" s="53">
        <f>(X41*rho_cement_slurry*$AM$62)/K41</f>
        <v>227.33023874056408</v>
      </c>
      <c r="AK41" s="53">
        <f>(X41*rho_cement_slurry*$AL$62)/K41</f>
        <v>90.932095496225656</v>
      </c>
      <c r="AL41" s="53">
        <f>AI41*$AI$57/O41</f>
        <v>0</v>
      </c>
    </row>
    <row r="42" spans="2:38" x14ac:dyDescent="0.25">
      <c r="B42" s="29" t="s">
        <v>133</v>
      </c>
      <c r="K42">
        <f>SUM(O40:O42)</f>
        <v>4000</v>
      </c>
      <c r="L42" s="24" t="s">
        <v>339</v>
      </c>
      <c r="M42" s="24" t="str">
        <f>'Drilling - well design'!I19</f>
        <v>Intermediate casing</v>
      </c>
      <c r="N42" s="24">
        <f>'Drilling - well design'!J19</f>
        <v>2000</v>
      </c>
      <c r="O42" s="24">
        <f>'Drilling - well design'!L19</f>
        <v>2000</v>
      </c>
      <c r="P42" s="417">
        <f>'Drilling - well design'!V19</f>
        <v>17.5</v>
      </c>
      <c r="Q42" s="55">
        <f>P42*cm_per_inch</f>
        <v>44.45</v>
      </c>
      <c r="R42" s="417">
        <f>'Drilling - well design'!X19</f>
        <v>13.375</v>
      </c>
      <c r="S42" s="55">
        <f>R42*cm_per_inch</f>
        <v>33.972500000000004</v>
      </c>
      <c r="T42" s="327">
        <f>'Drilling - energy_material_6km'!T42</f>
        <v>0.38</v>
      </c>
      <c r="U42" s="327">
        <f>T42+R42</f>
        <v>13.755000000000001</v>
      </c>
      <c r="V42" s="55">
        <f>S42+T42*cm_per_inch</f>
        <v>34.937700000000007</v>
      </c>
      <c r="W42" s="306">
        <f>PI()*((Q42/100/2)^2*$O$42)</f>
        <v>310.35833094721738</v>
      </c>
      <c r="X42" s="306">
        <f t="shared" si="0"/>
        <v>237.24039104270048</v>
      </c>
      <c r="Y42" s="306">
        <f>PI()*((V42/100/2)^2*K42)</f>
        <v>383.47627085173428</v>
      </c>
      <c r="Z42" s="306">
        <f t="shared" ref="Z42:Z43" si="1">Y42-PI()*((S42/100/2)^2*K42)</f>
        <v>20.895400340030903</v>
      </c>
      <c r="AA42" s="306"/>
      <c r="AB42" s="306"/>
      <c r="AC42" s="23">
        <f>O42*MJ_per_m</f>
        <v>1282328.2758620686</v>
      </c>
      <c r="AD42" s="57">
        <f>O42*kWh_per_m_ppgd</f>
        <v>382587.65432098758</v>
      </c>
      <c r="AE42" s="306"/>
      <c r="AG42" s="302"/>
      <c r="AH42" s="23" t="s">
        <v>403</v>
      </c>
      <c r="AI42" s="305"/>
      <c r="AJ42" s="53">
        <f>(X42*rho_cement_slurry*$AM$62)/K42</f>
        <v>84.728711086678743</v>
      </c>
      <c r="AK42" s="53">
        <f>(X42*rho_cement_slurry*$AL$62)/K42</f>
        <v>33.891484434671504</v>
      </c>
      <c r="AL42" s="53">
        <f>AI42*$AI$57/O42</f>
        <v>0</v>
      </c>
    </row>
    <row r="43" spans="2:38" x14ac:dyDescent="0.25">
      <c r="B43" s="29" t="s">
        <v>134</v>
      </c>
      <c r="K43">
        <f>SUM(O40:O43)</f>
        <v>8000</v>
      </c>
      <c r="L43" s="24" t="s">
        <v>384</v>
      </c>
      <c r="M43" s="24" t="str">
        <f>'Drilling - well design'!I20</f>
        <v>production casing</v>
      </c>
      <c r="N43" s="24">
        <f>'Drilling - well design'!J20</f>
        <v>4000</v>
      </c>
      <c r="O43" s="24">
        <f>N44-N43</f>
        <v>4000</v>
      </c>
      <c r="P43" s="417">
        <f>'Drilling - well design'!V20</f>
        <v>12.25</v>
      </c>
      <c r="Q43" s="55">
        <f>P43*cm_per_inch</f>
        <v>31.115000000000002</v>
      </c>
      <c r="R43" s="417">
        <f>'Drilling - well design'!X20</f>
        <v>9.625</v>
      </c>
      <c r="S43" s="55">
        <f>R43*cm_per_inch</f>
        <v>24.447500000000002</v>
      </c>
      <c r="T43" s="327">
        <f>'Drilling - energy_material_6km'!T43</f>
        <v>0.30399999999999999</v>
      </c>
      <c r="U43" s="327">
        <f>T43+R43</f>
        <v>9.9290000000000003</v>
      </c>
      <c r="V43" s="55">
        <f>S43+T43*cm_per_inch</f>
        <v>25.219660000000001</v>
      </c>
      <c r="W43" s="306">
        <f>PI()*((Q43/100/2)^2*$O$43)</f>
        <v>304.15116432827307</v>
      </c>
      <c r="X43" s="306">
        <f t="shared" si="0"/>
        <v>208.67210784187859</v>
      </c>
      <c r="Y43" s="306">
        <f>PI()*((V43/100/2)^2*K43)</f>
        <v>399.63022081466767</v>
      </c>
      <c r="Z43" s="306">
        <f t="shared" si="1"/>
        <v>24.096640368534565</v>
      </c>
      <c r="AA43" s="306"/>
      <c r="AB43" s="306"/>
      <c r="AC43" s="23">
        <f>O43*MJ_per_m</f>
        <v>2564656.5517241373</v>
      </c>
      <c r="AD43" s="57">
        <f>O43*kWh_per_m_ppgd</f>
        <v>765175.30864197516</v>
      </c>
      <c r="AE43" s="306"/>
      <c r="AG43" s="302"/>
      <c r="AH43" s="23" t="s">
        <v>404</v>
      </c>
      <c r="AI43" s="305"/>
      <c r="AJ43" s="53">
        <f>(X43*rho_cement_slurry*$AM$62)/K43</f>
        <v>37.262876400335458</v>
      </c>
      <c r="AK43" s="53">
        <f>(X43*rho_cement_slurry*$AL$62)/K43</f>
        <v>14.905150560134187</v>
      </c>
      <c r="AL43" s="53">
        <f>AI43*$AI$57/O43</f>
        <v>0</v>
      </c>
    </row>
    <row r="44" spans="2:38" x14ac:dyDescent="0.25">
      <c r="B44" s="29" t="s">
        <v>135</v>
      </c>
      <c r="L44" s="24" t="s">
        <v>340</v>
      </c>
      <c r="M44" s="24" t="str">
        <f>'Drilling - well design'!I21</f>
        <v>horizontal section</v>
      </c>
      <c r="N44" s="417">
        <v>8000</v>
      </c>
      <c r="O44" s="24">
        <f>'Drilling - well design'!L21*loops</f>
        <v>42000</v>
      </c>
      <c r="P44" s="417">
        <f>'Drilling - well design'!V21</f>
        <v>8.5</v>
      </c>
      <c r="Q44" s="55">
        <f>P44*cm_per_inch</f>
        <v>21.59</v>
      </c>
      <c r="R44" s="417" t="s">
        <v>102</v>
      </c>
      <c r="S44" s="55" t="str">
        <f>'Drilling - well design'!Q21</f>
        <v>open hole</v>
      </c>
      <c r="T44" s="55"/>
      <c r="U44" s="55"/>
      <c r="V44" s="55"/>
      <c r="W44" s="306">
        <f>PI()*((Q44/100/2)^2*$O$44)</f>
        <v>1537.6038453213571</v>
      </c>
      <c r="X44" s="306"/>
      <c r="Y44" s="306" t="s">
        <v>389</v>
      </c>
      <c r="Z44" s="306"/>
      <c r="AA44" s="306"/>
      <c r="AB44" s="306"/>
      <c r="AC44" s="23">
        <f>O44*MJ_per_m</f>
        <v>26928893.793103442</v>
      </c>
      <c r="AD44" s="57">
        <f>O44*kWh_per_m_ppgd</f>
        <v>8034340.7407407397</v>
      </c>
      <c r="AE44" s="306"/>
      <c r="AF44" s="56"/>
      <c r="AG44" s="327">
        <f>5*cm_per_inch</f>
        <v>12.7</v>
      </c>
      <c r="AH44" s="23"/>
      <c r="AI44" s="306"/>
    </row>
    <row r="45" spans="2:38" x14ac:dyDescent="0.25">
      <c r="B45" s="26"/>
      <c r="L45" s="24"/>
      <c r="M45" s="24" t="str">
        <f>'Drilling - well design'!I23</f>
        <v>Total vertical length</v>
      </c>
      <c r="N45" s="24"/>
      <c r="O45" s="24">
        <f>SUM(O40:O43)</f>
        <v>8000</v>
      </c>
      <c r="P45" s="24"/>
      <c r="Q45" s="24"/>
      <c r="R45" s="24"/>
      <c r="S45" s="24"/>
      <c r="T45" s="24"/>
      <c r="U45" s="24"/>
      <c r="V45" s="24"/>
      <c r="W45" s="24"/>
      <c r="X45" s="24"/>
      <c r="Y45" s="24"/>
      <c r="Z45" s="24"/>
      <c r="AA45" s="24"/>
      <c r="AB45" s="24"/>
      <c r="AC45" s="344" t="s">
        <v>1005</v>
      </c>
      <c r="AD45" s="24"/>
      <c r="AE45" s="24"/>
      <c r="AF45" s="24"/>
      <c r="AG45" s="24"/>
      <c r="AH45" s="24"/>
      <c r="AI45" s="24"/>
    </row>
    <row r="46" spans="2:38" x14ac:dyDescent="0.25">
      <c r="B46" s="29" t="s">
        <v>136</v>
      </c>
      <c r="L46" s="24"/>
      <c r="M46" s="24" t="str">
        <f>'Drilling - well design'!I24</f>
        <v>Total horizontal length</v>
      </c>
      <c r="N46" s="24"/>
      <c r="O46" s="24">
        <f>O44</f>
        <v>42000</v>
      </c>
      <c r="P46" s="24"/>
      <c r="Q46" s="24"/>
      <c r="R46" s="342" t="s">
        <v>893</v>
      </c>
      <c r="S46" s="342" t="s">
        <v>342</v>
      </c>
      <c r="T46" s="342"/>
      <c r="U46" s="342"/>
      <c r="V46" s="342"/>
      <c r="W46" s="343">
        <f>SUM(W40:W44)</f>
        <v>2915.721511596777</v>
      </c>
      <c r="X46" s="419">
        <f>SUM(X40:X44)</f>
        <v>810.50689824134633</v>
      </c>
      <c r="Y46" s="418"/>
      <c r="Z46" s="419">
        <f>SUM(Z40:Z44)</f>
        <v>64.086045289656909</v>
      </c>
      <c r="AA46" s="419">
        <f>PI()*((AG44/100/2)^2*K43)</f>
        <v>101.34149581949956</v>
      </c>
      <c r="AB46" s="57">
        <f>PI()*((((AG44+T43*cm_per_inch)/2/100)^2*K43))-AA46</f>
        <v>12.697748918757313</v>
      </c>
      <c r="AC46" s="57">
        <f>SUM(AC40:AC43)*2+AC44</f>
        <v>37187519.999999993</v>
      </c>
      <c r="AD46" s="57">
        <f>SUM(AD40:AD43)*2+AD44</f>
        <v>11095041.97530864</v>
      </c>
      <c r="AE46" s="24"/>
      <c r="AF46" s="24"/>
      <c r="AG46" s="24"/>
      <c r="AH46" s="24"/>
      <c r="AI46" s="24"/>
    </row>
    <row r="47" spans="2:38" x14ac:dyDescent="0.25">
      <c r="B47" s="26"/>
      <c r="L47" s="24"/>
      <c r="M47" s="22" t="str">
        <f>'Drilling - well design'!I25</f>
        <v>Total drilling length, injection&amp;production well</v>
      </c>
      <c r="N47" s="22"/>
      <c r="O47" s="22">
        <f>2*O45+well_length_horizontal</f>
        <v>58000</v>
      </c>
      <c r="P47" s="22"/>
      <c r="Q47" s="22"/>
      <c r="R47" s="22" t="s">
        <v>892</v>
      </c>
      <c r="S47" s="22" t="s">
        <v>342</v>
      </c>
      <c r="T47" s="22"/>
      <c r="U47" s="22"/>
      <c r="V47" s="22"/>
      <c r="W47" s="57">
        <f>W46*2</f>
        <v>5831.4430231935539</v>
      </c>
      <c r="X47" s="57">
        <f>X46*2</f>
        <v>1621.0137964826927</v>
      </c>
      <c r="Y47" s="418"/>
      <c r="Z47" s="57">
        <f>Z46*2</f>
        <v>128.17209057931382</v>
      </c>
      <c r="AA47" s="57">
        <f>AA46*2</f>
        <v>202.68299163899911</v>
      </c>
      <c r="AB47" s="57">
        <f>AB46*2</f>
        <v>25.395497837514625</v>
      </c>
      <c r="AC47" s="24"/>
      <c r="AD47" s="24"/>
      <c r="AE47" s="24"/>
      <c r="AF47" s="24"/>
      <c r="AG47" s="24"/>
      <c r="AH47" s="24"/>
      <c r="AI47" s="24"/>
    </row>
    <row r="48" spans="2:38" x14ac:dyDescent="0.25">
      <c r="B48" s="26"/>
      <c r="L48" s="24"/>
      <c r="M48" s="24"/>
      <c r="N48" s="24"/>
      <c r="O48" s="24"/>
      <c r="P48" s="24"/>
      <c r="Q48" s="24"/>
      <c r="R48" s="22" t="s">
        <v>894</v>
      </c>
      <c r="S48" s="22"/>
      <c r="T48" s="22"/>
      <c r="U48" s="22"/>
      <c r="V48" s="22"/>
      <c r="W48" s="57">
        <f>W44</f>
        <v>1537.6038453213571</v>
      </c>
      <c r="X48" s="57"/>
      <c r="Y48" s="22"/>
      <c r="Z48" s="22"/>
      <c r="AA48" s="22"/>
      <c r="AB48" s="22"/>
      <c r="AC48" s="22"/>
      <c r="AD48" s="22"/>
      <c r="AE48" s="24"/>
      <c r="AF48" s="24"/>
      <c r="AG48" s="24"/>
      <c r="AH48" s="22" t="s">
        <v>406</v>
      </c>
      <c r="AI48" s="24" t="s">
        <v>1281</v>
      </c>
      <c r="AJ48" s="53">
        <f>(X46*rho_cement_slurry*$AM$62)</f>
        <v>1157866.9974876377</v>
      </c>
      <c r="AK48" s="53">
        <f>(X46*rho_cement_slurry*$AL$62)</f>
        <v>463146.79899505514</v>
      </c>
      <c r="AL48" s="53">
        <f>((Z46+AB46)*AI57)</f>
        <v>598913.59482563089</v>
      </c>
    </row>
    <row r="49" spans="2:41" x14ac:dyDescent="0.25">
      <c r="B49" s="29" t="s">
        <v>137</v>
      </c>
      <c r="L49" s="24"/>
      <c r="M49" s="24"/>
      <c r="N49" s="24"/>
      <c r="O49" s="24"/>
      <c r="P49" s="24"/>
      <c r="Q49" s="24"/>
      <c r="R49" s="418" t="s">
        <v>348</v>
      </c>
      <c r="S49" s="418"/>
      <c r="T49" s="418"/>
      <c r="U49" s="418"/>
      <c r="V49" s="418"/>
      <c r="W49" s="419">
        <f>SUM(W47:W48)</f>
        <v>7369.0468685149108</v>
      </c>
      <c r="X49" s="419"/>
      <c r="Y49" s="22"/>
      <c r="Z49" s="24"/>
      <c r="AA49" s="24"/>
      <c r="AB49" s="24"/>
      <c r="AC49" s="57"/>
      <c r="AD49" s="57"/>
      <c r="AE49" s="57"/>
      <c r="AF49" s="57"/>
      <c r="AG49" s="57"/>
      <c r="AH49" s="24"/>
      <c r="AI49" s="22" t="s">
        <v>397</v>
      </c>
      <c r="AJ49" s="128">
        <f>AJ48/O45</f>
        <v>144.73337468595471</v>
      </c>
      <c r="AK49" s="128">
        <f>AK48/O45</f>
        <v>57.89334987438189</v>
      </c>
      <c r="AL49" s="128">
        <f>AL48/O45</f>
        <v>74.864199353203858</v>
      </c>
    </row>
    <row r="50" spans="2:41" x14ac:dyDescent="0.25">
      <c r="B50" s="26"/>
      <c r="L50" s="24"/>
      <c r="M50" s="24"/>
      <c r="N50" s="24"/>
      <c r="O50" s="24"/>
      <c r="P50" s="24"/>
      <c r="Q50" s="24"/>
      <c r="R50" s="24"/>
      <c r="S50" s="24"/>
      <c r="T50" s="24"/>
      <c r="U50" s="24"/>
      <c r="V50" s="24"/>
      <c r="W50" s="24"/>
      <c r="X50" s="24"/>
      <c r="Y50" s="24" t="s">
        <v>363</v>
      </c>
      <c r="Z50" s="24"/>
      <c r="AA50" s="24"/>
      <c r="AB50" s="24"/>
      <c r="AC50" s="465">
        <f>AC46/Plant_parameters!$E$7</f>
        <v>8.3375377278430113E-2</v>
      </c>
      <c r="AD50" s="465">
        <f>AD46/Plant_parameters!$E$7</f>
        <v>2.4875369764140669E-2</v>
      </c>
      <c r="AE50" s="24" t="s">
        <v>364</v>
      </c>
      <c r="AF50" s="24"/>
      <c r="AG50" s="24"/>
      <c r="AJ50" s="339"/>
    </row>
    <row r="51" spans="2:41" x14ac:dyDescent="0.25">
      <c r="B51" s="30" t="s">
        <v>138</v>
      </c>
      <c r="R51" s="24"/>
      <c r="AD51" s="53"/>
    </row>
    <row r="52" spans="2:41" x14ac:dyDescent="0.25">
      <c r="B52" s="30" t="s">
        <v>139</v>
      </c>
      <c r="N52" t="s">
        <v>1511</v>
      </c>
      <c r="O52" t="s">
        <v>1512</v>
      </c>
      <c r="P52" t="s">
        <v>1515</v>
      </c>
    </row>
    <row r="53" spans="2:41" x14ac:dyDescent="0.25">
      <c r="B53" s="30" t="s">
        <v>140</v>
      </c>
      <c r="L53" t="s">
        <v>1507</v>
      </c>
      <c r="M53" t="s">
        <v>1508</v>
      </c>
      <c r="N53">
        <f>S40</f>
        <v>76.2</v>
      </c>
      <c r="O53">
        <v>100</v>
      </c>
      <c r="P53" s="460">
        <f>PI()*((N53/100/2)^2*O53)</f>
        <v>45.6036731187748</v>
      </c>
    </row>
    <row r="54" spans="2:41" x14ac:dyDescent="0.25">
      <c r="B54" s="30" t="s">
        <v>141</v>
      </c>
      <c r="M54" t="s">
        <v>1510</v>
      </c>
      <c r="N54">
        <f>S41</f>
        <v>47.307499999999997</v>
      </c>
      <c r="O54">
        <v>50</v>
      </c>
      <c r="P54" s="460">
        <f>PI()*((N54/100/2)^2*O54)</f>
        <v>8.7886037058152695</v>
      </c>
    </row>
    <row r="55" spans="2:41" x14ac:dyDescent="0.25">
      <c r="B55" s="30" t="s">
        <v>142</v>
      </c>
      <c r="M55" t="s">
        <v>1509</v>
      </c>
      <c r="N55">
        <f>S42</f>
        <v>33.972500000000004</v>
      </c>
      <c r="O55">
        <v>50</v>
      </c>
      <c r="P55" s="460">
        <f>PI()*((N55/100/2)^2*O55)</f>
        <v>4.5322608813962919</v>
      </c>
      <c r="AL55" s="353" t="s">
        <v>1086</v>
      </c>
    </row>
    <row r="56" spans="2:41" x14ac:dyDescent="0.25">
      <c r="M56" t="s">
        <v>1514</v>
      </c>
      <c r="P56" s="460">
        <f>SUM(P53:P55)</f>
        <v>58.92453770598636</v>
      </c>
      <c r="AF56" s="50"/>
      <c r="AG56" s="351" t="s">
        <v>1085</v>
      </c>
      <c r="AH56" s="50"/>
      <c r="AI56" s="50"/>
      <c r="AJ56" s="50"/>
      <c r="AL56" s="353"/>
      <c r="AM56" s="354" t="s">
        <v>1088</v>
      </c>
      <c r="AN56" s="354"/>
      <c r="AO56" s="354"/>
    </row>
    <row r="57" spans="2:41" x14ac:dyDescent="0.25">
      <c r="L57" t="s">
        <v>1516</v>
      </c>
      <c r="AF57" s="50" t="s">
        <v>394</v>
      </c>
      <c r="AG57" s="50" t="s">
        <v>392</v>
      </c>
      <c r="AH57" s="50"/>
      <c r="AI57" s="50">
        <v>7800</v>
      </c>
      <c r="AJ57" s="50" t="s">
        <v>393</v>
      </c>
      <c r="AL57" s="354" t="s">
        <v>1087</v>
      </c>
      <c r="AM57" s="354" t="s">
        <v>1089</v>
      </c>
      <c r="AN57" s="354"/>
      <c r="AO57" s="354"/>
    </row>
    <row r="58" spans="2:41" x14ac:dyDescent="0.25">
      <c r="AF58" s="50" t="s">
        <v>396</v>
      </c>
      <c r="AG58" s="50" t="s">
        <v>395</v>
      </c>
      <c r="AH58" s="50"/>
      <c r="AI58" s="50">
        <v>1900</v>
      </c>
      <c r="AJ58" s="50" t="s">
        <v>393</v>
      </c>
      <c r="AL58" s="354" t="s">
        <v>1090</v>
      </c>
      <c r="AM58" s="354"/>
      <c r="AN58" s="354"/>
      <c r="AO58" s="354"/>
    </row>
    <row r="59" spans="2:41" x14ac:dyDescent="0.25">
      <c r="AF59" s="50"/>
      <c r="AG59" s="50" t="s">
        <v>1086</v>
      </c>
      <c r="AH59" s="50">
        <v>1400</v>
      </c>
      <c r="AI59" s="50">
        <v>2300</v>
      </c>
      <c r="AJ59" s="50" t="s">
        <v>393</v>
      </c>
      <c r="AK59" t="s">
        <v>1091</v>
      </c>
      <c r="AL59" s="354"/>
      <c r="AM59" s="354"/>
      <c r="AN59" s="354"/>
      <c r="AO59" s="354"/>
    </row>
    <row r="60" spans="2:41" x14ac:dyDescent="0.25">
      <c r="AF60" s="50"/>
      <c r="AG60" s="50"/>
      <c r="AH60" s="50" t="s">
        <v>1092</v>
      </c>
      <c r="AI60" s="50">
        <v>2000</v>
      </c>
      <c r="AJ60" s="50" t="s">
        <v>393</v>
      </c>
      <c r="AL60" s="353" t="s">
        <v>1093</v>
      </c>
      <c r="AM60" s="353"/>
      <c r="AN60" s="354"/>
      <c r="AO60" s="354"/>
    </row>
    <row r="61" spans="2:41" x14ac:dyDescent="0.25">
      <c r="M61" t="s">
        <v>365</v>
      </c>
      <c r="N61" s="58" t="s">
        <v>1007</v>
      </c>
      <c r="O61" s="345" t="s">
        <v>1008</v>
      </c>
      <c r="P61" t="s">
        <v>366</v>
      </c>
      <c r="Q61" t="s">
        <v>1009</v>
      </c>
      <c r="AF61" s="50"/>
      <c r="AG61" s="50"/>
      <c r="AH61" s="50"/>
      <c r="AI61" s="50"/>
      <c r="AJ61" s="50"/>
      <c r="AL61" s="354">
        <v>0.4</v>
      </c>
      <c r="AM61" s="354">
        <v>1</v>
      </c>
      <c r="AN61" s="354"/>
      <c r="AO61" s="354"/>
    </row>
    <row r="62" spans="2:41" x14ac:dyDescent="0.25">
      <c r="M62" t="s">
        <v>367</v>
      </c>
      <c r="N62" s="31">
        <v>0.8</v>
      </c>
      <c r="Q62" t="s">
        <v>873</v>
      </c>
      <c r="AF62" s="50"/>
      <c r="AG62" s="50"/>
      <c r="AH62" s="50"/>
      <c r="AI62" s="50"/>
      <c r="AJ62" s="50"/>
      <c r="AK62" t="s">
        <v>1096</v>
      </c>
      <c r="AL62" s="355">
        <f>AL61/SUM(AL61:AM61)</f>
        <v>0.28571428571428575</v>
      </c>
      <c r="AM62" s="355">
        <f>AM61/SUM(AL61:AM61)</f>
        <v>0.7142857142857143</v>
      </c>
      <c r="AN62" s="354"/>
      <c r="AO62" s="354"/>
    </row>
    <row r="63" spans="2:41" x14ac:dyDescent="0.25">
      <c r="M63" t="s">
        <v>1010</v>
      </c>
      <c r="N63" s="53">
        <f>'Drilling - time'!F18*2</f>
        <v>15.902777777777779</v>
      </c>
      <c r="P63" t="s">
        <v>370</v>
      </c>
      <c r="Q63" t="s">
        <v>369</v>
      </c>
      <c r="AF63" s="50"/>
      <c r="AG63" s="352" t="s">
        <v>852</v>
      </c>
      <c r="AH63" s="50" t="s">
        <v>393</v>
      </c>
      <c r="AI63" s="50"/>
      <c r="AJ63" s="50"/>
    </row>
    <row r="64" spans="2:41" x14ac:dyDescent="0.25">
      <c r="K64" s="15" t="s">
        <v>372</v>
      </c>
      <c r="M64" t="s">
        <v>1006</v>
      </c>
      <c r="N64" s="53">
        <f>'Drilling - time'!F42</f>
        <v>87.5</v>
      </c>
      <c r="AF64" s="50"/>
      <c r="AG64" s="50" t="s">
        <v>853</v>
      </c>
      <c r="AH64" s="50" t="s">
        <v>854</v>
      </c>
      <c r="AI64" s="50" t="s">
        <v>855</v>
      </c>
      <c r="AJ64" s="50"/>
    </row>
    <row r="65" spans="11:38" x14ac:dyDescent="0.25">
      <c r="K65">
        <f>N65/(N44*2)*1000</f>
        <v>95.416666666666686</v>
      </c>
      <c r="L65" t="s">
        <v>368</v>
      </c>
      <c r="M65" t="s">
        <v>1032</v>
      </c>
      <c r="N65" s="53">
        <f>N63*24*N62*O61</f>
        <v>1526.666666666667</v>
      </c>
      <c r="O65" t="s">
        <v>371</v>
      </c>
      <c r="P65" s="52">
        <f>N65/(O45*2)</f>
        <v>9.5416666666666691E-2</v>
      </c>
      <c r="AF65" s="50"/>
      <c r="AG65" s="50" t="s">
        <v>856</v>
      </c>
      <c r="AH65" s="50" t="s">
        <v>857</v>
      </c>
      <c r="AI65" s="50">
        <v>1800</v>
      </c>
      <c r="AJ65" s="50"/>
    </row>
    <row r="66" spans="11:38" x14ac:dyDescent="0.25">
      <c r="K66">
        <f>N66/well_length_horizontal*1000</f>
        <v>200</v>
      </c>
      <c r="M66" t="s">
        <v>887</v>
      </c>
      <c r="N66" s="53">
        <f>N64*24*N62*O61</f>
        <v>8400</v>
      </c>
      <c r="O66" t="s">
        <v>371</v>
      </c>
      <c r="P66">
        <f>N66/O46</f>
        <v>0.2</v>
      </c>
      <c r="AF66" s="50"/>
      <c r="AG66" s="50"/>
      <c r="AH66" s="50" t="s">
        <v>858</v>
      </c>
      <c r="AI66" s="50">
        <v>2300</v>
      </c>
      <c r="AJ66" s="50"/>
      <c r="AL66" t="s">
        <v>1110</v>
      </c>
    </row>
    <row r="67" spans="11:38" x14ac:dyDescent="0.25">
      <c r="M67" t="s">
        <v>1033</v>
      </c>
      <c r="N67" s="53">
        <f>(N63+N64)*24*N62*O61</f>
        <v>9926.6666666666661</v>
      </c>
      <c r="O67" t="s">
        <v>371</v>
      </c>
      <c r="AF67" s="50"/>
      <c r="AG67" s="50"/>
      <c r="AH67" s="50" t="s">
        <v>859</v>
      </c>
      <c r="AI67" s="50">
        <v>2600</v>
      </c>
      <c r="AJ67" s="50"/>
      <c r="AL67" t="s">
        <v>1111</v>
      </c>
    </row>
    <row r="68" spans="11:38" x14ac:dyDescent="0.25">
      <c r="N68" s="347">
        <f>N67*1000/O47</f>
        <v>171.14942528735631</v>
      </c>
      <c r="O68" s="32" t="s">
        <v>372</v>
      </c>
      <c r="AF68" s="50"/>
      <c r="AG68" s="50"/>
      <c r="AH68" s="50" t="s">
        <v>860</v>
      </c>
      <c r="AI68" s="50">
        <v>2400</v>
      </c>
      <c r="AJ68" s="50"/>
      <c r="AL68" t="s">
        <v>1112</v>
      </c>
    </row>
    <row r="69" spans="11:38" x14ac:dyDescent="0.25">
      <c r="M69" t="s">
        <v>1021</v>
      </c>
      <c r="N69" s="346">
        <f>N61*0.1</f>
        <v>0.4</v>
      </c>
      <c r="O69" s="346">
        <f>O61*0.1</f>
        <v>0.5</v>
      </c>
      <c r="P69" t="s">
        <v>366</v>
      </c>
      <c r="Q69" t="s">
        <v>1022</v>
      </c>
      <c r="AF69" s="50"/>
      <c r="AG69" s="50"/>
      <c r="AH69" s="50" t="s">
        <v>861</v>
      </c>
      <c r="AI69" s="50">
        <v>1200</v>
      </c>
      <c r="AJ69" s="50"/>
    </row>
    <row r="70" spans="11:38" x14ac:dyDescent="0.25">
      <c r="M70" t="s">
        <v>367</v>
      </c>
      <c r="N70">
        <v>0.8</v>
      </c>
      <c r="O70" s="346"/>
      <c r="AF70" s="50"/>
      <c r="AG70" s="50"/>
      <c r="AH70" s="50"/>
      <c r="AI70" s="50"/>
      <c r="AJ70" s="50"/>
    </row>
    <row r="71" spans="11:38" x14ac:dyDescent="0.25">
      <c r="M71" t="s">
        <v>1028</v>
      </c>
      <c r="N71">
        <f>'Drilling - time'!F28*2</f>
        <v>42</v>
      </c>
      <c r="Q71" t="s">
        <v>1029</v>
      </c>
      <c r="AF71" s="50"/>
      <c r="AG71" s="50" t="s">
        <v>862</v>
      </c>
      <c r="AH71" s="50" t="s">
        <v>863</v>
      </c>
      <c r="AI71" s="50">
        <v>2620</v>
      </c>
      <c r="AJ71" s="50"/>
    </row>
    <row r="72" spans="11:38" x14ac:dyDescent="0.25">
      <c r="M72" t="s">
        <v>1023</v>
      </c>
      <c r="N72" s="346">
        <f>N71*24*N70*O69</f>
        <v>403.20000000000005</v>
      </c>
      <c r="O72" t="s">
        <v>371</v>
      </c>
      <c r="AF72" s="50"/>
      <c r="AG72" s="50"/>
      <c r="AH72" s="50" t="s">
        <v>864</v>
      </c>
      <c r="AI72" s="50">
        <v>3300</v>
      </c>
      <c r="AJ72" s="50"/>
    </row>
    <row r="73" spans="11:38" x14ac:dyDescent="0.25">
      <c r="N73">
        <f>N72*1000/(O47)</f>
        <v>6.9517241379310351</v>
      </c>
      <c r="O73" t="s">
        <v>372</v>
      </c>
      <c r="Q73" t="s">
        <v>1030</v>
      </c>
      <c r="AF73" s="50"/>
      <c r="AG73" s="50"/>
      <c r="AH73" s="50" t="s">
        <v>865</v>
      </c>
      <c r="AI73" s="50">
        <v>2720</v>
      </c>
      <c r="AJ73" s="50"/>
    </row>
    <row r="74" spans="11:38" x14ac:dyDescent="0.25">
      <c r="M74" t="s">
        <v>1024</v>
      </c>
      <c r="N74" s="53" t="s">
        <v>1025</v>
      </c>
      <c r="AF74" s="50"/>
      <c r="AG74" s="50"/>
      <c r="AH74" s="50"/>
      <c r="AI74" s="50"/>
      <c r="AJ74" s="50"/>
    </row>
    <row r="75" spans="11:38" x14ac:dyDescent="0.25">
      <c r="AF75" s="50"/>
      <c r="AG75" s="50" t="s">
        <v>866</v>
      </c>
      <c r="AH75" s="50">
        <v>2700</v>
      </c>
      <c r="AI75" s="50" t="s">
        <v>393</v>
      </c>
      <c r="AJ75" s="50"/>
    </row>
    <row r="76" spans="11:38" x14ac:dyDescent="0.25">
      <c r="N76" s="60">
        <f>N73+N68</f>
        <v>178.10114942528733</v>
      </c>
      <c r="O76" s="59" t="s">
        <v>372</v>
      </c>
      <c r="Q76" s="53">
        <f>1.2*1000*1000/7000</f>
        <v>171.42857142857142</v>
      </c>
      <c r="R76" t="s">
        <v>372</v>
      </c>
      <c r="S76" t="s">
        <v>457</v>
      </c>
      <c r="AF76" s="50"/>
      <c r="AG76" s="50" t="s">
        <v>867</v>
      </c>
      <c r="AH76" s="50">
        <v>2350</v>
      </c>
      <c r="AI76" s="50" t="s">
        <v>393</v>
      </c>
      <c r="AJ76" s="50"/>
    </row>
    <row r="77" spans="11:38" x14ac:dyDescent="0.25">
      <c r="N77" s="60">
        <f>N76*MJ_per_kWh</f>
        <v>641.16413793103436</v>
      </c>
      <c r="O77" s="59" t="s">
        <v>1031</v>
      </c>
      <c r="AF77" s="50"/>
      <c r="AG77" s="50" t="s">
        <v>868</v>
      </c>
      <c r="AH77" s="50"/>
      <c r="AI77" s="50"/>
      <c r="AJ77" s="50"/>
    </row>
    <row r="78" spans="11:38" x14ac:dyDescent="0.25">
      <c r="M78" t="s">
        <v>2102</v>
      </c>
      <c r="N78" t="s">
        <v>372</v>
      </c>
      <c r="O78" s="53">
        <f>K65+N76</f>
        <v>273.51781609195405</v>
      </c>
      <c r="P78" s="53"/>
      <c r="AF78" s="50"/>
      <c r="AG78" s="50" t="s">
        <v>869</v>
      </c>
      <c r="AH78" s="50"/>
      <c r="AI78" s="50"/>
      <c r="AJ78" s="50"/>
    </row>
    <row r="79" spans="11:38" x14ac:dyDescent="0.25">
      <c r="M79" t="s">
        <v>2103</v>
      </c>
      <c r="N79" t="s">
        <v>372</v>
      </c>
      <c r="O79">
        <f>K66</f>
        <v>200</v>
      </c>
      <c r="AG79" s="50"/>
      <c r="AH79" s="50"/>
      <c r="AI79" s="50"/>
      <c r="AJ79" s="50"/>
    </row>
  </sheetData>
  <pageMargins left="0.7" right="0.7" top="0.75" bottom="0.75" header="0.3" footer="0.3"/>
  <pageSetup paperSize="9"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2B16-4A66-427C-BD11-FBD3337A3297}">
  <sheetPr>
    <tabColor theme="7" tint="-0.249977111117893"/>
  </sheetPr>
  <dimension ref="B4:AO79"/>
  <sheetViews>
    <sheetView topLeftCell="F44" workbookViewId="0">
      <selection activeCell="O78" sqref="O78"/>
    </sheetView>
  </sheetViews>
  <sheetFormatPr defaultRowHeight="15" x14ac:dyDescent="0.25"/>
  <cols>
    <col min="13" max="13" width="23.140625" customWidth="1"/>
    <col min="14" max="14" width="11" bestFit="1" customWidth="1"/>
    <col min="16" max="16" width="12" bestFit="1" customWidth="1"/>
    <col min="23" max="24" width="12.7109375" customWidth="1"/>
    <col min="25" max="25" width="18.5703125" bestFit="1" customWidth="1"/>
    <col min="26" max="28" width="18.5703125" customWidth="1"/>
    <col min="33" max="33" width="15.140625" customWidth="1"/>
    <col min="34" max="34" width="23.140625" customWidth="1"/>
    <col min="37" max="37" width="12" bestFit="1" customWidth="1"/>
    <col min="38" max="39" width="11" bestFit="1" customWidth="1"/>
  </cols>
  <sheetData>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30" x14ac:dyDescent="0.25">
      <c r="B17" s="25" t="s">
        <v>114</v>
      </c>
      <c r="Z17" s="311" t="s">
        <v>852</v>
      </c>
      <c r="AA17" s="311"/>
      <c r="AB17" s="311"/>
      <c r="AC17" s="312" t="s">
        <v>393</v>
      </c>
      <c r="AD17" s="312"/>
    </row>
    <row r="18" spans="2:30" x14ac:dyDescent="0.25">
      <c r="B18" s="25" t="s">
        <v>115</v>
      </c>
      <c r="Z18" s="312" t="s">
        <v>853</v>
      </c>
      <c r="AA18" s="312"/>
      <c r="AB18" s="312"/>
      <c r="AC18" s="312" t="s">
        <v>854</v>
      </c>
      <c r="AD18" s="312" t="s">
        <v>855</v>
      </c>
    </row>
    <row r="19" spans="2:30" x14ac:dyDescent="0.25">
      <c r="B19" s="26"/>
      <c r="Z19" s="312" t="s">
        <v>856</v>
      </c>
      <c r="AA19" s="312"/>
      <c r="AB19" s="312"/>
      <c r="AC19" s="312" t="s">
        <v>857</v>
      </c>
      <c r="AD19" s="312">
        <v>1800</v>
      </c>
    </row>
    <row r="20" spans="2:30" x14ac:dyDescent="0.25">
      <c r="B20" s="26"/>
      <c r="Z20" s="312"/>
      <c r="AA20" s="312"/>
      <c r="AB20" s="312"/>
      <c r="AC20" s="312" t="s">
        <v>858</v>
      </c>
      <c r="AD20" s="312">
        <v>2300</v>
      </c>
    </row>
    <row r="21" spans="2:30" x14ac:dyDescent="0.25">
      <c r="B21" s="25" t="s">
        <v>116</v>
      </c>
      <c r="Z21" s="312"/>
      <c r="AA21" s="312"/>
      <c r="AB21" s="312"/>
      <c r="AC21" s="312" t="s">
        <v>859</v>
      </c>
      <c r="AD21" s="312">
        <v>2600</v>
      </c>
    </row>
    <row r="22" spans="2:30" x14ac:dyDescent="0.25">
      <c r="B22" s="25" t="s">
        <v>117</v>
      </c>
      <c r="Z22" s="312"/>
      <c r="AA22" s="312"/>
      <c r="AB22" s="312"/>
      <c r="AC22" s="312" t="s">
        <v>860</v>
      </c>
      <c r="AD22" s="312">
        <v>2400</v>
      </c>
    </row>
    <row r="23" spans="2:30" x14ac:dyDescent="0.25">
      <c r="B23" s="25" t="s">
        <v>118</v>
      </c>
      <c r="Z23" s="312"/>
      <c r="AA23" s="312"/>
      <c r="AB23" s="312"/>
      <c r="AC23" s="312" t="s">
        <v>861</v>
      </c>
      <c r="AD23" s="312">
        <v>1200</v>
      </c>
    </row>
    <row r="24" spans="2:30" x14ac:dyDescent="0.25">
      <c r="B24" s="25" t="s">
        <v>119</v>
      </c>
      <c r="M24" s="350" t="s">
        <v>144</v>
      </c>
      <c r="Z24" s="312"/>
      <c r="AA24" s="312"/>
      <c r="AB24" s="312"/>
      <c r="AC24" s="312"/>
      <c r="AD24" s="312"/>
    </row>
    <row r="25" spans="2:30" x14ac:dyDescent="0.25">
      <c r="B25" s="25" t="s">
        <v>120</v>
      </c>
      <c r="M25" s="350" t="s">
        <v>145</v>
      </c>
      <c r="Z25" s="312" t="s">
        <v>862</v>
      </c>
      <c r="AA25" s="312"/>
      <c r="AB25" s="312"/>
      <c r="AC25" s="312" t="s">
        <v>863</v>
      </c>
      <c r="AD25" s="312">
        <v>2620</v>
      </c>
    </row>
    <row r="26" spans="2:30" x14ac:dyDescent="0.25">
      <c r="B26" s="25" t="s">
        <v>121</v>
      </c>
      <c r="M26" s="350" t="s">
        <v>146</v>
      </c>
      <c r="Z26" s="312"/>
      <c r="AA26" s="312"/>
      <c r="AB26" s="312"/>
      <c r="AC26" s="312" t="s">
        <v>864</v>
      </c>
      <c r="AD26" s="312">
        <v>3300</v>
      </c>
    </row>
    <row r="27" spans="2:30" x14ac:dyDescent="0.25">
      <c r="B27" s="25" t="s">
        <v>122</v>
      </c>
      <c r="Z27" s="312"/>
      <c r="AA27" s="312"/>
      <c r="AB27" s="312"/>
      <c r="AC27" s="312" t="s">
        <v>865</v>
      </c>
      <c r="AD27" s="312">
        <v>2720</v>
      </c>
    </row>
    <row r="28" spans="2:30" x14ac:dyDescent="0.25">
      <c r="B28" s="25" t="s">
        <v>123</v>
      </c>
      <c r="Z28" s="312"/>
      <c r="AA28" s="312"/>
      <c r="AB28" s="312"/>
      <c r="AC28" s="312"/>
      <c r="AD28" s="312"/>
    </row>
    <row r="29" spans="2:30" x14ac:dyDescent="0.25">
      <c r="B29" s="25" t="s">
        <v>124</v>
      </c>
      <c r="M29" s="32" t="s">
        <v>147</v>
      </c>
      <c r="Z29" s="312" t="s">
        <v>866</v>
      </c>
      <c r="AA29" s="312"/>
      <c r="AB29" s="312"/>
      <c r="AC29" s="312">
        <v>2700</v>
      </c>
      <c r="AD29" s="312" t="s">
        <v>393</v>
      </c>
    </row>
    <row r="30" spans="2:30" x14ac:dyDescent="0.25">
      <c r="B30" s="29" t="s">
        <v>125</v>
      </c>
      <c r="M30" t="s">
        <v>143</v>
      </c>
      <c r="N30" t="s">
        <v>148</v>
      </c>
      <c r="O30" s="31">
        <v>1.5</v>
      </c>
      <c r="P30" t="s">
        <v>344</v>
      </c>
      <c r="Z30" s="312" t="s">
        <v>867</v>
      </c>
      <c r="AA30" s="312"/>
      <c r="AB30" s="312"/>
      <c r="AC30" s="312">
        <v>2350</v>
      </c>
      <c r="AD30" s="312" t="s">
        <v>393</v>
      </c>
    </row>
    <row r="31" spans="2:30" x14ac:dyDescent="0.25">
      <c r="B31" s="29" t="s">
        <v>126</v>
      </c>
      <c r="M31" t="s">
        <v>149</v>
      </c>
      <c r="N31" t="s">
        <v>150</v>
      </c>
      <c r="O31" s="31">
        <v>6</v>
      </c>
      <c r="P31" t="s">
        <v>344</v>
      </c>
      <c r="Q31" t="s">
        <v>151</v>
      </c>
      <c r="Z31" s="312" t="s">
        <v>868</v>
      </c>
      <c r="AA31" s="312"/>
      <c r="AB31" s="312"/>
      <c r="AC31" s="312"/>
      <c r="AD31" s="312"/>
    </row>
    <row r="32" spans="2:30" x14ac:dyDescent="0.25">
      <c r="B32" s="29" t="s">
        <v>127</v>
      </c>
      <c r="Z32" s="312" t="s">
        <v>869</v>
      </c>
      <c r="AA32" s="312"/>
      <c r="AB32" s="312"/>
      <c r="AC32" s="312"/>
      <c r="AD32" s="312"/>
    </row>
    <row r="33" spans="2:38" x14ac:dyDescent="0.25">
      <c r="B33" s="26"/>
    </row>
    <row r="34" spans="2:38" x14ac:dyDescent="0.25">
      <c r="B34" s="29" t="s">
        <v>128</v>
      </c>
    </row>
    <row r="35" spans="2:38" x14ac:dyDescent="0.25">
      <c r="B35" s="29" t="s">
        <v>129</v>
      </c>
      <c r="M35" t="s">
        <v>336</v>
      </c>
      <c r="AI35" s="313" t="s">
        <v>874</v>
      </c>
    </row>
    <row r="36" spans="2:38" x14ac:dyDescent="0.25">
      <c r="B36" s="26"/>
      <c r="AI36" t="s">
        <v>391</v>
      </c>
    </row>
    <row r="37" spans="2:38" x14ac:dyDescent="0.25">
      <c r="B37" s="29" t="s">
        <v>130</v>
      </c>
      <c r="L37" s="24"/>
      <c r="M37" s="24"/>
      <c r="N37" s="24"/>
      <c r="O37" s="24"/>
      <c r="P37" s="55" t="s">
        <v>1513</v>
      </c>
      <c r="Q37" s="55"/>
      <c r="R37" s="55" t="s">
        <v>405</v>
      </c>
      <c r="S37" s="55"/>
      <c r="T37" s="55"/>
      <c r="U37" s="55" t="s">
        <v>1547</v>
      </c>
      <c r="V37" s="55"/>
      <c r="W37" s="304" t="s">
        <v>341</v>
      </c>
      <c r="X37" s="478" t="s">
        <v>1086</v>
      </c>
      <c r="Y37" s="304"/>
      <c r="Z37" s="478" t="s">
        <v>1475</v>
      </c>
      <c r="AA37" s="304"/>
      <c r="AB37" s="478" t="s">
        <v>1475</v>
      </c>
      <c r="AC37" s="24"/>
      <c r="AD37" s="24"/>
      <c r="AE37" s="304" t="s">
        <v>388</v>
      </c>
      <c r="AF37" s="55"/>
      <c r="AG37" s="55"/>
      <c r="AH37" s="24"/>
      <c r="AI37" s="304" t="s">
        <v>390</v>
      </c>
    </row>
    <row r="38" spans="2:38" ht="45" x14ac:dyDescent="0.25">
      <c r="B38" s="26"/>
      <c r="K38" t="s">
        <v>1558</v>
      </c>
      <c r="L38" s="24"/>
      <c r="M38" s="22" t="str">
        <f>'Drilling - well design'!I16</f>
        <v>Section</v>
      </c>
      <c r="N38" s="22" t="str">
        <f>'Drilling - well design'!J16</f>
        <v>Depth from table left</v>
      </c>
      <c r="O38" s="61" t="str">
        <f>'Drilling - well design'!L16</f>
        <v>length_m</v>
      </c>
      <c r="P38" s="326"/>
      <c r="Q38" s="326"/>
      <c r="R38" s="326"/>
      <c r="S38" s="326"/>
      <c r="T38" s="301" t="s">
        <v>399</v>
      </c>
      <c r="U38" s="326"/>
      <c r="V38" s="326"/>
      <c r="W38" s="328" t="s">
        <v>1559</v>
      </c>
      <c r="X38" s="328" t="s">
        <v>1549</v>
      </c>
      <c r="Y38" s="328" t="s">
        <v>1548</v>
      </c>
      <c r="Z38" s="328" t="s">
        <v>1550</v>
      </c>
      <c r="AA38" s="328" t="s">
        <v>1560</v>
      </c>
      <c r="AB38" s="328" t="s">
        <v>1561</v>
      </c>
      <c r="AC38" s="22" t="s">
        <v>343</v>
      </c>
      <c r="AD38" s="22"/>
      <c r="AE38" s="303"/>
      <c r="AG38" s="301" t="s">
        <v>405</v>
      </c>
      <c r="AH38" s="22" t="s">
        <v>400</v>
      </c>
      <c r="AI38" s="303"/>
      <c r="AJ38" s="22" t="s">
        <v>1095</v>
      </c>
      <c r="AK38" t="s">
        <v>1094</v>
      </c>
      <c r="AL38" s="22" t="s">
        <v>398</v>
      </c>
    </row>
    <row r="39" spans="2:38" x14ac:dyDescent="0.25">
      <c r="B39" s="29" t="s">
        <v>131</v>
      </c>
      <c r="L39" s="24"/>
      <c r="M39" s="22"/>
      <c r="N39" s="22" t="s">
        <v>54</v>
      </c>
      <c r="O39" s="22" t="s">
        <v>54</v>
      </c>
      <c r="P39" s="301" t="s">
        <v>95</v>
      </c>
      <c r="Q39" s="301" t="s">
        <v>96</v>
      </c>
      <c r="R39" s="301" t="s">
        <v>95</v>
      </c>
      <c r="S39" s="301" t="s">
        <v>96</v>
      </c>
      <c r="T39" s="301" t="s">
        <v>95</v>
      </c>
      <c r="U39" s="326" t="s">
        <v>95</v>
      </c>
      <c r="V39" s="326" t="s">
        <v>96</v>
      </c>
      <c r="W39" s="303" t="s">
        <v>342</v>
      </c>
      <c r="X39" s="303" t="s">
        <v>342</v>
      </c>
      <c r="Y39" s="303" t="s">
        <v>342</v>
      </c>
      <c r="Z39" s="303" t="s">
        <v>342</v>
      </c>
      <c r="AA39" s="303" t="s">
        <v>342</v>
      </c>
      <c r="AB39" s="303" t="s">
        <v>342</v>
      </c>
      <c r="AC39" s="22" t="s">
        <v>345</v>
      </c>
      <c r="AD39" s="22" t="s">
        <v>347</v>
      </c>
      <c r="AE39" s="303"/>
      <c r="AG39" s="301" t="s">
        <v>96</v>
      </c>
      <c r="AH39" s="22"/>
      <c r="AI39" s="303"/>
      <c r="AJ39" s="22" t="s">
        <v>397</v>
      </c>
      <c r="AK39" s="22" t="s">
        <v>397</v>
      </c>
      <c r="AL39" s="22" t="s">
        <v>397</v>
      </c>
    </row>
    <row r="40" spans="2:38" x14ac:dyDescent="0.25">
      <c r="B40" s="26"/>
      <c r="K40">
        <f>O40</f>
        <v>250</v>
      </c>
      <c r="L40" s="24" t="s">
        <v>337</v>
      </c>
      <c r="M40" s="24" t="str">
        <f>'Drilling - well design'!I17</f>
        <v>Surface Conductor</v>
      </c>
      <c r="N40" s="24">
        <f>'Drilling - well design'!J17</f>
        <v>0</v>
      </c>
      <c r="O40" s="24">
        <f>'Drilling - well design'!L17</f>
        <v>250</v>
      </c>
      <c r="P40" s="55">
        <f>'Drilling - well design'!N17</f>
        <v>24</v>
      </c>
      <c r="Q40" s="55">
        <f>P40*cm_per_inch</f>
        <v>60.96</v>
      </c>
      <c r="R40" s="55">
        <f>'Drilling - well design'!P17</f>
        <v>20</v>
      </c>
      <c r="S40" s="55">
        <f>R40*cm_per_inch</f>
        <v>50.8</v>
      </c>
      <c r="T40" s="327">
        <f>'Drilling - energy_material_6km'!T40</f>
        <v>0.5</v>
      </c>
      <c r="U40" s="327">
        <f>T40+R40</f>
        <v>20.5</v>
      </c>
      <c r="V40" s="55">
        <f>S40+T40*cm_per_inch</f>
        <v>52.07</v>
      </c>
      <c r="W40" s="306">
        <f>PI()*((Q40/100/2)^2*$O$40)</f>
        <v>72.965876990039675</v>
      </c>
      <c r="X40" s="306">
        <f>(PI()*((Q40/2)/100)^2*K40)-((PI()*((V40/2)/100)^2*K40))</f>
        <v>19.729922467358811</v>
      </c>
      <c r="Y40" s="306">
        <f>PI()*((V40/100/2)^2*K40)</f>
        <v>53.235954522680863</v>
      </c>
      <c r="Z40" s="306">
        <f>Y40-PI()*((S40/100/2)^2*K40)</f>
        <v>2.5652066129310853</v>
      </c>
      <c r="AA40" s="306"/>
      <c r="AB40" s="306"/>
      <c r="AC40" s="23">
        <f>O40*MJ_per_m</f>
        <v>182291.76470588235</v>
      </c>
      <c r="AD40" s="57">
        <f>O40*kWh_per_m_ppgd</f>
        <v>47823.456790123448</v>
      </c>
      <c r="AE40" s="306"/>
      <c r="AG40" s="302"/>
      <c r="AH40" s="23" t="s">
        <v>401</v>
      </c>
      <c r="AI40" s="305"/>
      <c r="AJ40" s="53">
        <f>(X40*rho_cement_slurry*$AM$62)/K40</f>
        <v>95.831051984314243</v>
      </c>
      <c r="AK40" s="53">
        <f>(X40*rho_cement_slurry*$AL$62)/K40</f>
        <v>38.332420793725703</v>
      </c>
      <c r="AL40" s="53">
        <f>Z40*$AI$57/K40</f>
        <v>80.03444632344987</v>
      </c>
    </row>
    <row r="41" spans="2:38" x14ac:dyDescent="0.25">
      <c r="B41" s="29" t="s">
        <v>132</v>
      </c>
      <c r="K41">
        <f>O41+O40</f>
        <v>2000</v>
      </c>
      <c r="L41" s="24" t="s">
        <v>338</v>
      </c>
      <c r="M41" s="24" t="str">
        <f>'Drilling - well design'!I18</f>
        <v>Surface casing</v>
      </c>
      <c r="N41" s="24">
        <f>'Drilling - well design'!J18</f>
        <v>250</v>
      </c>
      <c r="O41" s="24">
        <f>'Drilling - well design'!L18</f>
        <v>1750</v>
      </c>
      <c r="P41" s="55">
        <f>'Drilling - well design'!N18</f>
        <v>17.5</v>
      </c>
      <c r="Q41" s="55">
        <f>P41*cm_per_inch</f>
        <v>44.45</v>
      </c>
      <c r="R41" s="55">
        <f>'Drilling - well design'!P18</f>
        <v>13.375</v>
      </c>
      <c r="S41" s="55">
        <f>R41*cm_per_inch</f>
        <v>33.972500000000004</v>
      </c>
      <c r="T41" s="327">
        <f>'Drilling - energy_material_6km'!T41</f>
        <v>0.4</v>
      </c>
      <c r="U41" s="327">
        <f>T41+R41</f>
        <v>13.775</v>
      </c>
      <c r="V41" s="55">
        <f>S41+T41*cm_per_inch</f>
        <v>34.988500000000002</v>
      </c>
      <c r="W41" s="306">
        <f>PI()*((Q41/100/2)^2*$O$41)</f>
        <v>271.56353957881521</v>
      </c>
      <c r="X41" s="306">
        <f t="shared" ref="X41:X43" si="0">(PI()*((Q41/2)/100)^2*K41)-((PI()*((V41/2)/100)^2*K41))</f>
        <v>118.06220924536811</v>
      </c>
      <c r="Y41" s="306">
        <f>PI()*((V41/100/2)^2*K41)</f>
        <v>192.29612170184927</v>
      </c>
      <c r="Z41" s="306">
        <f>Y41-PI()*((S41/100/2)^2*K41)</f>
        <v>11.005686445997583</v>
      </c>
      <c r="AA41" s="306"/>
      <c r="AB41" s="306"/>
      <c r="AC41" s="23">
        <f>O41*MJ_per_m</f>
        <v>1276042.3529411764</v>
      </c>
      <c r="AD41" s="57">
        <f>O41*kWh_per_m_ppgd</f>
        <v>334764.19753086416</v>
      </c>
      <c r="AE41" s="306"/>
      <c r="AG41" s="302"/>
      <c r="AH41" s="23" t="s">
        <v>402</v>
      </c>
      <c r="AI41" s="305"/>
      <c r="AJ41" s="53">
        <f>(X41*rho_cement_slurry*$AM$62)/K41</f>
        <v>71.680627041830633</v>
      </c>
      <c r="AK41" s="53">
        <f>(X41*rho_cement_slurry*$AL$62)/K41</f>
        <v>28.672250816732259</v>
      </c>
      <c r="AL41" s="53">
        <f>AI41*$AI$57/O41</f>
        <v>0</v>
      </c>
    </row>
    <row r="42" spans="2:38" x14ac:dyDescent="0.25">
      <c r="B42" s="29" t="s">
        <v>133</v>
      </c>
      <c r="K42">
        <f>SUM(O40:O42)</f>
        <v>3000</v>
      </c>
      <c r="L42" s="24" t="s">
        <v>339</v>
      </c>
      <c r="M42" s="24" t="str">
        <f>'Drilling - well design'!I19</f>
        <v>Intermediate casing</v>
      </c>
      <c r="N42" s="24">
        <f>'Drilling - well design'!J19</f>
        <v>2000</v>
      </c>
      <c r="O42" s="24">
        <f>N43-N42</f>
        <v>1000</v>
      </c>
      <c r="P42" s="55">
        <f>'Drilling - well design'!N19</f>
        <v>12.25</v>
      </c>
      <c r="Q42" s="55">
        <f>P42*cm_per_inch</f>
        <v>31.115000000000002</v>
      </c>
      <c r="R42" s="55">
        <f>'Drilling - well design'!P19</f>
        <v>9.625</v>
      </c>
      <c r="S42" s="55">
        <f>R42*cm_per_inch</f>
        <v>24.447500000000002</v>
      </c>
      <c r="T42" s="327">
        <f>'Drilling - energy_material_6km'!T42</f>
        <v>0.38</v>
      </c>
      <c r="U42" s="327">
        <f>T42+R42</f>
        <v>10.005000000000001</v>
      </c>
      <c r="V42" s="55">
        <f>S42+T42*cm_per_inch</f>
        <v>25.412700000000001</v>
      </c>
      <c r="W42" s="306">
        <f>PI()*((Q42/100/2)^2*$O$42)</f>
        <v>76.037791082068267</v>
      </c>
      <c r="X42" s="306">
        <f t="shared" si="0"/>
        <v>75.949079270165299</v>
      </c>
      <c r="Y42" s="306">
        <f>PI()*((V42/100/2)^2*K42)</f>
        <v>152.16429397603952</v>
      </c>
      <c r="Z42" s="306">
        <f t="shared" ref="Z42:Z43" si="1">Y42-PI()*((S42/100/2)^2*K42)</f>
        <v>11.339201308739604</v>
      </c>
      <c r="AA42" s="306"/>
      <c r="AB42" s="306"/>
      <c r="AC42" s="23">
        <f>O42*MJ_per_m</f>
        <v>729167.0588235294</v>
      </c>
      <c r="AD42" s="57">
        <f>O42*kWh_per_m_ppgd</f>
        <v>191293.82716049379</v>
      </c>
      <c r="AE42" s="306"/>
      <c r="AG42" s="302"/>
      <c r="AH42" s="23" t="s">
        <v>403</v>
      </c>
      <c r="AI42" s="305"/>
      <c r="AJ42" s="53">
        <f>(X42*rho_cement_slurry*$AM$62)/K42</f>
        <v>30.741293990305003</v>
      </c>
      <c r="AK42" s="53">
        <f>(X42*rho_cement_slurry*$AL$62)/K42</f>
        <v>12.296517596122003</v>
      </c>
      <c r="AL42" s="53">
        <f>AI42*$AI$57/O42</f>
        <v>0</v>
      </c>
    </row>
    <row r="43" spans="2:38" x14ac:dyDescent="0.25">
      <c r="B43" s="29" t="s">
        <v>134</v>
      </c>
      <c r="K43">
        <f>SUM(O40:O43)</f>
        <v>4500</v>
      </c>
      <c r="L43" s="24" t="s">
        <v>384</v>
      </c>
      <c r="M43" s="24" t="str">
        <f>'Drilling - well design'!I20</f>
        <v>production casing</v>
      </c>
      <c r="N43" s="417">
        <v>3000</v>
      </c>
      <c r="O43" s="24">
        <f>N44-N43</f>
        <v>1500</v>
      </c>
      <c r="P43" s="55">
        <f>'Drilling - well design'!N20</f>
        <v>8.5</v>
      </c>
      <c r="Q43" s="55">
        <f>P43*cm_per_inch</f>
        <v>21.59</v>
      </c>
      <c r="R43" s="55">
        <f>'Drilling - well design'!P20</f>
        <v>7</v>
      </c>
      <c r="S43" s="55">
        <f>R43*cm_per_inch</f>
        <v>17.78</v>
      </c>
      <c r="T43" s="327">
        <f>'Drilling - energy_material_6km'!T43</f>
        <v>0.30399999999999999</v>
      </c>
      <c r="U43" s="327">
        <f>T43+R43</f>
        <v>7.3040000000000003</v>
      </c>
      <c r="V43" s="55">
        <f>S43+T43*cm_per_inch</f>
        <v>18.552160000000001</v>
      </c>
      <c r="W43" s="306">
        <f>PI()*((Q43/100/2)^2*$O$43)</f>
        <v>54.91442304719132</v>
      </c>
      <c r="X43" s="306">
        <f t="shared" si="0"/>
        <v>43.099082908153179</v>
      </c>
      <c r="Y43" s="306">
        <f>PI()*((V43/100/2)^2*K43)</f>
        <v>121.64418623342077</v>
      </c>
      <c r="Z43" s="306">
        <f t="shared" si="1"/>
        <v>9.9151870924224994</v>
      </c>
      <c r="AA43" s="306"/>
      <c r="AB43" s="306"/>
      <c r="AC43" s="23">
        <f>O43*MJ_per_m</f>
        <v>1093750.588235294</v>
      </c>
      <c r="AD43" s="57">
        <f>O43*kWh_per_m_ppgd</f>
        <v>286940.74074074073</v>
      </c>
      <c r="AE43" s="306"/>
      <c r="AG43" s="302"/>
      <c r="AH43" s="23" t="s">
        <v>404</v>
      </c>
      <c r="AI43" s="305"/>
      <c r="AJ43" s="53">
        <f>(X43*rho_cement_slurry*$AM$62)/K43</f>
        <v>11.629911260930223</v>
      </c>
      <c r="AK43" s="53">
        <f>(X43*rho_cement_slurry*$AL$62)/K43</f>
        <v>4.6519645043720903</v>
      </c>
      <c r="AL43" s="53">
        <f>AI43*$AI$57/O43</f>
        <v>0</v>
      </c>
    </row>
    <row r="44" spans="2:38" x14ac:dyDescent="0.25">
      <c r="B44" s="29" t="s">
        <v>135</v>
      </c>
      <c r="L44" s="24" t="s">
        <v>340</v>
      </c>
      <c r="M44" s="24" t="str">
        <f>'Drilling - well design'!I21</f>
        <v>horizontal section</v>
      </c>
      <c r="N44" s="417">
        <v>4500</v>
      </c>
      <c r="O44" s="24">
        <f>'Drilling - well design'!L21*loops</f>
        <v>42000</v>
      </c>
      <c r="P44" s="55">
        <f>'Drilling - well design'!N21</f>
        <v>6.5</v>
      </c>
      <c r="Q44" s="55">
        <f>P44*cm_per_inch</f>
        <v>16.510000000000002</v>
      </c>
      <c r="R44" s="55" t="s">
        <v>102</v>
      </c>
      <c r="S44" s="55" t="str">
        <f>'Drilling - well design'!Q21</f>
        <v>open hole</v>
      </c>
      <c r="T44" s="55"/>
      <c r="U44" s="55"/>
      <c r="V44" s="55"/>
      <c r="W44" s="306">
        <f>PI()*((Q44/100/2)^2*$O$44)</f>
        <v>899.15242165850998</v>
      </c>
      <c r="X44" s="306"/>
      <c r="Y44" s="306" t="s">
        <v>389</v>
      </c>
      <c r="Z44" s="306"/>
      <c r="AA44" s="306"/>
      <c r="AB44" s="306"/>
      <c r="AC44" s="23">
        <f>O44*MJ_per_m</f>
        <v>30625016.470588233</v>
      </c>
      <c r="AD44" s="57">
        <f>O44*kWh_per_m_ppgd</f>
        <v>8034340.7407407397</v>
      </c>
      <c r="AE44" s="306"/>
      <c r="AF44" s="56"/>
      <c r="AG44" s="327">
        <f>5*cm_per_inch</f>
        <v>12.7</v>
      </c>
      <c r="AH44" s="23"/>
      <c r="AI44" s="306"/>
    </row>
    <row r="45" spans="2:38" x14ac:dyDescent="0.25">
      <c r="B45" s="26"/>
      <c r="L45" s="24"/>
      <c r="M45" s="24" t="str">
        <f>'Drilling - well design'!I23</f>
        <v>Total vertical length</v>
      </c>
      <c r="N45" s="24"/>
      <c r="O45" s="24">
        <f>SUM(O40:O43)</f>
        <v>4500</v>
      </c>
      <c r="P45" s="24"/>
      <c r="Q45" s="24"/>
      <c r="R45" s="24"/>
      <c r="S45" s="24"/>
      <c r="T45" s="24"/>
      <c r="U45" s="24"/>
      <c r="V45" s="24"/>
      <c r="W45" s="24"/>
      <c r="X45" s="24"/>
      <c r="Y45" s="24"/>
      <c r="Z45" s="24"/>
      <c r="AA45" s="24"/>
      <c r="AB45" s="24"/>
      <c r="AC45" s="344" t="s">
        <v>1005</v>
      </c>
      <c r="AD45" s="24"/>
      <c r="AE45" s="24"/>
      <c r="AF45" s="24"/>
      <c r="AG45" s="24"/>
      <c r="AH45" s="24"/>
      <c r="AI45" s="24"/>
    </row>
    <row r="46" spans="2:38" x14ac:dyDescent="0.25">
      <c r="B46" s="29" t="s">
        <v>136</v>
      </c>
      <c r="L46" s="24"/>
      <c r="M46" s="24" t="str">
        <f>'Drilling - well design'!I24</f>
        <v>Total horizontal length</v>
      </c>
      <c r="N46" s="24"/>
      <c r="O46" s="24">
        <f>O44</f>
        <v>42000</v>
      </c>
      <c r="P46" s="24"/>
      <c r="Q46" s="24"/>
      <c r="R46" s="342" t="s">
        <v>893</v>
      </c>
      <c r="S46" s="342" t="s">
        <v>342</v>
      </c>
      <c r="T46" s="342"/>
      <c r="U46" s="342"/>
      <c r="V46" s="342"/>
      <c r="W46" s="343">
        <f>SUM(W40:W44)</f>
        <v>1374.6340523566246</v>
      </c>
      <c r="X46" s="419">
        <f>SUM(X40:X44)</f>
        <v>256.84029389104541</v>
      </c>
      <c r="Y46" s="418"/>
      <c r="Z46" s="419">
        <f>SUM(Z40:Z44)</f>
        <v>34.825281460090771</v>
      </c>
      <c r="AA46" s="419">
        <f>PI()*((AG44/100/2)^2*K43)</f>
        <v>57.004591398468499</v>
      </c>
      <c r="AB46" s="57">
        <f>PI()*((((AG44+T43*cm_per_inch)/2/100)^2*K43))-AA46</f>
        <v>7.1424837668009857</v>
      </c>
      <c r="AC46" s="57">
        <f>SUM(AC40:AC43)*2+AC44</f>
        <v>37187520</v>
      </c>
      <c r="AD46" s="57">
        <f>SUM(AD40:AD43)*2+AD44</f>
        <v>9755985.1851851828</v>
      </c>
      <c r="AE46" s="24"/>
      <c r="AF46" s="24"/>
      <c r="AG46" s="24"/>
      <c r="AH46" s="24"/>
      <c r="AI46" s="24"/>
    </row>
    <row r="47" spans="2:38" x14ac:dyDescent="0.25">
      <c r="B47" s="26"/>
      <c r="L47" s="24"/>
      <c r="M47" s="22" t="str">
        <f>'Drilling - well design'!I25</f>
        <v>Total drilling length, injection&amp;production well</v>
      </c>
      <c r="N47" s="22"/>
      <c r="O47" s="22">
        <f>2*O45+well_length_horizontal</f>
        <v>51000</v>
      </c>
      <c r="P47" s="22"/>
      <c r="Q47" s="22"/>
      <c r="R47" s="22" t="s">
        <v>892</v>
      </c>
      <c r="S47" s="22" t="s">
        <v>342</v>
      </c>
      <c r="T47" s="22"/>
      <c r="U47" s="22"/>
      <c r="V47" s="22"/>
      <c r="W47" s="57">
        <f>W46*2</f>
        <v>2749.2681047132492</v>
      </c>
      <c r="X47" s="57">
        <f>X46*2</f>
        <v>513.68058778209081</v>
      </c>
      <c r="Y47" s="418"/>
      <c r="Z47" s="57">
        <f>Z46*2</f>
        <v>69.650562920181542</v>
      </c>
      <c r="AA47" s="57">
        <f>AA46*2</f>
        <v>114.009182796937</v>
      </c>
      <c r="AB47" s="57">
        <f>AB46*2</f>
        <v>14.284967533601971</v>
      </c>
      <c r="AC47" s="24"/>
      <c r="AD47" s="24"/>
      <c r="AE47" s="24"/>
      <c r="AF47" s="24"/>
      <c r="AG47" s="24"/>
      <c r="AH47" s="24"/>
      <c r="AI47" s="24"/>
    </row>
    <row r="48" spans="2:38" x14ac:dyDescent="0.25">
      <c r="B48" s="26"/>
      <c r="L48" s="24"/>
      <c r="M48" s="24"/>
      <c r="N48" s="24"/>
      <c r="O48" s="24"/>
      <c r="P48" s="24"/>
      <c r="Q48" s="24"/>
      <c r="R48" s="22" t="s">
        <v>894</v>
      </c>
      <c r="S48" s="22"/>
      <c r="T48" s="22"/>
      <c r="U48" s="22"/>
      <c r="V48" s="22"/>
      <c r="W48" s="57">
        <f>W44</f>
        <v>899.15242165850998</v>
      </c>
      <c r="X48" s="57"/>
      <c r="Y48" s="22"/>
      <c r="Z48" s="22"/>
      <c r="AA48" s="22"/>
      <c r="AB48" s="22"/>
      <c r="AC48" s="22"/>
      <c r="AD48" s="22"/>
      <c r="AE48" s="24"/>
      <c r="AF48" s="24"/>
      <c r="AG48" s="24"/>
      <c r="AH48" s="22" t="s">
        <v>406</v>
      </c>
      <c r="AI48" s="24" t="s">
        <v>1281</v>
      </c>
      <c r="AJ48" s="53">
        <f>(X46*rho_cement_slurry*$AM$62)</f>
        <v>311877.49972484086</v>
      </c>
      <c r="AK48" s="53">
        <f>(X46*rho_cement_slurry*$AL$62)</f>
        <v>124750.99988993637</v>
      </c>
      <c r="AL48" s="53">
        <f>((Z46+AB46)*AI57)</f>
        <v>327348.56876975572</v>
      </c>
    </row>
    <row r="49" spans="2:41" x14ac:dyDescent="0.25">
      <c r="B49" s="29" t="s">
        <v>137</v>
      </c>
      <c r="L49" s="24"/>
      <c r="M49" s="24"/>
      <c r="N49" s="24"/>
      <c r="O49" s="24"/>
      <c r="P49" s="24"/>
      <c r="Q49" s="24"/>
      <c r="R49" s="418" t="s">
        <v>348</v>
      </c>
      <c r="S49" s="418"/>
      <c r="T49" s="418"/>
      <c r="U49" s="418"/>
      <c r="V49" s="418"/>
      <c r="W49" s="419">
        <f>SUM(W47:W48)</f>
        <v>3648.420526371759</v>
      </c>
      <c r="X49" s="419"/>
      <c r="Y49" s="22"/>
      <c r="Z49" s="24"/>
      <c r="AA49" s="24"/>
      <c r="AB49" s="24"/>
      <c r="AC49" s="57"/>
      <c r="AD49" s="57"/>
      <c r="AE49" s="57"/>
      <c r="AF49" s="57"/>
      <c r="AG49" s="57"/>
      <c r="AH49" s="24"/>
      <c r="AI49" s="22" t="s">
        <v>397</v>
      </c>
      <c r="AJ49" s="128">
        <f>AJ48/O45</f>
        <v>69.306111049964642</v>
      </c>
      <c r="AK49" s="128">
        <f>AK48/O45</f>
        <v>27.722444419985859</v>
      </c>
      <c r="AL49" s="128">
        <f>AL48/O45</f>
        <v>72.744126393279046</v>
      </c>
    </row>
    <row r="50" spans="2:41" x14ac:dyDescent="0.25">
      <c r="B50" s="26"/>
      <c r="L50" s="24"/>
      <c r="M50" s="24"/>
      <c r="N50" s="24"/>
      <c r="O50" s="24"/>
      <c r="P50" s="24"/>
      <c r="Q50" s="24"/>
      <c r="R50" s="24"/>
      <c r="S50" s="24"/>
      <c r="T50" s="24"/>
      <c r="U50" s="24"/>
      <c r="V50" s="24"/>
      <c r="W50" s="24"/>
      <c r="X50" s="24"/>
      <c r="Y50" s="24" t="s">
        <v>363</v>
      </c>
      <c r="Z50" s="24"/>
      <c r="AA50" s="24"/>
      <c r="AB50" s="24"/>
      <c r="AC50" s="465">
        <f>AC46/Plant_parameters!$E$7</f>
        <v>8.3375377278430127E-2</v>
      </c>
      <c r="AD50" s="465">
        <f>AD46/Plant_parameters!$E$7</f>
        <v>2.1873169965020242E-2</v>
      </c>
      <c r="AE50" s="24" t="s">
        <v>364</v>
      </c>
      <c r="AF50" s="24"/>
      <c r="AG50" s="24"/>
      <c r="AJ50" s="339"/>
    </row>
    <row r="51" spans="2:41" x14ac:dyDescent="0.25">
      <c r="B51" s="30" t="s">
        <v>138</v>
      </c>
      <c r="R51" s="24"/>
      <c r="S51" cm="1">
        <f t="array" ref="S51">TREND(R40:R43,P40:P43,P44)</f>
        <v>4.9359250949257856</v>
      </c>
      <c r="AD51" s="53"/>
    </row>
    <row r="52" spans="2:41" x14ac:dyDescent="0.25">
      <c r="B52" s="30" t="s">
        <v>139</v>
      </c>
      <c r="N52" t="s">
        <v>1511</v>
      </c>
      <c r="O52" t="s">
        <v>1512</v>
      </c>
      <c r="P52" t="s">
        <v>1515</v>
      </c>
    </row>
    <row r="53" spans="2:41" x14ac:dyDescent="0.25">
      <c r="B53" s="30" t="s">
        <v>140</v>
      </c>
      <c r="L53" t="s">
        <v>1507</v>
      </c>
      <c r="M53" t="s">
        <v>1508</v>
      </c>
      <c r="N53">
        <f>S40</f>
        <v>50.8</v>
      </c>
      <c r="O53">
        <v>100</v>
      </c>
      <c r="P53" s="460">
        <f>PI()*((N53/100/2)^2*O53)</f>
        <v>20.268299163899908</v>
      </c>
    </row>
    <row r="54" spans="2:41" x14ac:dyDescent="0.25">
      <c r="B54" s="30" t="s">
        <v>141</v>
      </c>
      <c r="M54" t="s">
        <v>1510</v>
      </c>
      <c r="N54">
        <f>S41</f>
        <v>33.972500000000004</v>
      </c>
      <c r="O54">
        <v>50</v>
      </c>
      <c r="P54" s="460">
        <f>PI()*((N54/100/2)^2*O54)</f>
        <v>4.5322608813962919</v>
      </c>
    </row>
    <row r="55" spans="2:41" x14ac:dyDescent="0.25">
      <c r="B55" s="30" t="s">
        <v>142</v>
      </c>
      <c r="M55" t="s">
        <v>1509</v>
      </c>
      <c r="N55">
        <f>S42</f>
        <v>24.447500000000002</v>
      </c>
      <c r="O55">
        <v>50</v>
      </c>
      <c r="P55" s="460">
        <f>PI()*((N55/100/2)^2*O55)</f>
        <v>2.347084877788332</v>
      </c>
      <c r="AL55" s="353" t="s">
        <v>1086</v>
      </c>
    </row>
    <row r="56" spans="2:41" x14ac:dyDescent="0.25">
      <c r="M56" t="s">
        <v>1514</v>
      </c>
      <c r="P56" s="460">
        <f>SUM(P53:P55)</f>
        <v>27.147644923084535</v>
      </c>
      <c r="AF56" s="50"/>
      <c r="AG56" s="351" t="s">
        <v>1085</v>
      </c>
      <c r="AH56" s="50"/>
      <c r="AI56" s="50"/>
      <c r="AJ56" s="50"/>
      <c r="AL56" s="353"/>
      <c r="AM56" s="354" t="s">
        <v>1088</v>
      </c>
      <c r="AN56" s="354"/>
      <c r="AO56" s="354"/>
    </row>
    <row r="57" spans="2:41" x14ac:dyDescent="0.25">
      <c r="L57" t="s">
        <v>1516</v>
      </c>
      <c r="AF57" s="50" t="s">
        <v>394</v>
      </c>
      <c r="AG57" s="50" t="s">
        <v>392</v>
      </c>
      <c r="AH57" s="50"/>
      <c r="AI57" s="50">
        <v>7800</v>
      </c>
      <c r="AJ57" s="50" t="s">
        <v>393</v>
      </c>
      <c r="AL57" s="354" t="s">
        <v>1087</v>
      </c>
      <c r="AM57" s="354" t="s">
        <v>1089</v>
      </c>
      <c r="AN57" s="354"/>
      <c r="AO57" s="354"/>
    </row>
    <row r="58" spans="2:41" x14ac:dyDescent="0.25">
      <c r="AF58" s="50" t="s">
        <v>396</v>
      </c>
      <c r="AG58" s="50" t="s">
        <v>395</v>
      </c>
      <c r="AH58" s="50"/>
      <c r="AI58" s="50">
        <v>1900</v>
      </c>
      <c r="AJ58" s="50" t="s">
        <v>393</v>
      </c>
      <c r="AL58" s="354" t="s">
        <v>1090</v>
      </c>
      <c r="AM58" s="354"/>
      <c r="AN58" s="354"/>
      <c r="AO58" s="354"/>
    </row>
    <row r="59" spans="2:41" x14ac:dyDescent="0.25">
      <c r="AF59" s="50"/>
      <c r="AG59" s="50" t="s">
        <v>1462</v>
      </c>
      <c r="AH59" s="50">
        <v>1400</v>
      </c>
      <c r="AI59" s="50">
        <v>2300</v>
      </c>
      <c r="AJ59" s="50" t="s">
        <v>393</v>
      </c>
      <c r="AK59" t="s">
        <v>1091</v>
      </c>
      <c r="AL59" s="354"/>
      <c r="AM59" s="354"/>
      <c r="AN59" s="354"/>
      <c r="AO59" s="354"/>
    </row>
    <row r="60" spans="2:41" x14ac:dyDescent="0.25">
      <c r="AF60" s="50"/>
      <c r="AG60" s="50"/>
      <c r="AH60" s="431" t="s">
        <v>1092</v>
      </c>
      <c r="AI60" s="431">
        <v>1700</v>
      </c>
      <c r="AJ60" s="50" t="s">
        <v>393</v>
      </c>
      <c r="AL60" s="353" t="s">
        <v>1093</v>
      </c>
      <c r="AM60" s="353"/>
      <c r="AN60" s="354"/>
      <c r="AO60" s="354"/>
    </row>
    <row r="61" spans="2:41" x14ac:dyDescent="0.25">
      <c r="M61" t="s">
        <v>365</v>
      </c>
      <c r="N61" s="58" t="s">
        <v>1007</v>
      </c>
      <c r="O61" s="345" t="s">
        <v>1008</v>
      </c>
      <c r="P61" t="s">
        <v>366</v>
      </c>
      <c r="Q61" t="s">
        <v>1009</v>
      </c>
      <c r="AF61" s="50"/>
      <c r="AG61" s="50"/>
      <c r="AH61" s="50"/>
      <c r="AI61" s="50"/>
      <c r="AJ61" s="50"/>
      <c r="AL61" s="354">
        <v>0.4</v>
      </c>
      <c r="AM61" s="354">
        <v>1</v>
      </c>
      <c r="AN61" s="354"/>
      <c r="AO61" s="354"/>
    </row>
    <row r="62" spans="2:41" x14ac:dyDescent="0.25">
      <c r="M62" t="s">
        <v>367</v>
      </c>
      <c r="N62" s="31">
        <v>0.8</v>
      </c>
      <c r="Q62" t="s">
        <v>873</v>
      </c>
      <c r="AF62" s="50"/>
      <c r="AG62" s="50"/>
      <c r="AH62" s="50"/>
      <c r="AI62" s="50"/>
      <c r="AJ62" s="50"/>
      <c r="AK62" t="s">
        <v>1096</v>
      </c>
      <c r="AL62" s="355">
        <f>AL61/SUM(AL61:AM61)</f>
        <v>0.28571428571428575</v>
      </c>
      <c r="AM62" s="355">
        <f>AM61/SUM(AL61:AM61)</f>
        <v>0.7142857142857143</v>
      </c>
      <c r="AN62" s="354"/>
      <c r="AO62" s="354"/>
    </row>
    <row r="63" spans="2:41" x14ac:dyDescent="0.25">
      <c r="M63" t="s">
        <v>1010</v>
      </c>
      <c r="N63" s="53">
        <f>'Drilling - time'!F18*2</f>
        <v>15.902777777777779</v>
      </c>
      <c r="P63" t="s">
        <v>370</v>
      </c>
      <c r="Q63" t="s">
        <v>369</v>
      </c>
      <c r="AF63" s="50"/>
      <c r="AG63" s="352" t="s">
        <v>852</v>
      </c>
      <c r="AH63" s="50" t="s">
        <v>393</v>
      </c>
      <c r="AI63" s="50"/>
      <c r="AJ63" s="50"/>
    </row>
    <row r="64" spans="2:41" x14ac:dyDescent="0.25">
      <c r="K64" s="15" t="s">
        <v>372</v>
      </c>
      <c r="M64" t="s">
        <v>1006</v>
      </c>
      <c r="N64" s="53">
        <f>'Drilling - time'!F42</f>
        <v>87.5</v>
      </c>
      <c r="AF64" s="50"/>
      <c r="AG64" s="50" t="s">
        <v>853</v>
      </c>
      <c r="AH64" s="50" t="s">
        <v>854</v>
      </c>
      <c r="AI64" s="50" t="s">
        <v>855</v>
      </c>
      <c r="AJ64" s="50"/>
    </row>
    <row r="65" spans="11:38" x14ac:dyDescent="0.25">
      <c r="K65">
        <f>N65/(N44*2)*1000</f>
        <v>169.62962962962965</v>
      </c>
      <c r="L65" t="s">
        <v>368</v>
      </c>
      <c r="M65" t="s">
        <v>1032</v>
      </c>
      <c r="N65" s="53">
        <f>N63*24*N62*O61</f>
        <v>1526.666666666667</v>
      </c>
      <c r="O65" t="s">
        <v>371</v>
      </c>
      <c r="P65" s="52">
        <f>N65/(O45*2)</f>
        <v>0.16962962962962966</v>
      </c>
      <c r="AF65" s="50"/>
      <c r="AG65" s="50" t="s">
        <v>856</v>
      </c>
      <c r="AH65" s="50" t="s">
        <v>857</v>
      </c>
      <c r="AI65" s="50">
        <v>1800</v>
      </c>
      <c r="AJ65" s="50"/>
    </row>
    <row r="66" spans="11:38" x14ac:dyDescent="0.25">
      <c r="K66">
        <f>N66/well_length_horizontal*1000</f>
        <v>200</v>
      </c>
      <c r="M66" t="s">
        <v>887</v>
      </c>
      <c r="N66" s="53">
        <f>N64*24*N62*O61</f>
        <v>8400</v>
      </c>
      <c r="O66" t="s">
        <v>371</v>
      </c>
      <c r="P66">
        <f>N66/O46</f>
        <v>0.2</v>
      </c>
      <c r="AF66" s="50"/>
      <c r="AG66" s="50"/>
      <c r="AH66" s="50" t="s">
        <v>858</v>
      </c>
      <c r="AI66" s="50">
        <v>2300</v>
      </c>
      <c r="AJ66" s="50"/>
      <c r="AL66" t="s">
        <v>1110</v>
      </c>
    </row>
    <row r="67" spans="11:38" x14ac:dyDescent="0.25">
      <c r="M67" t="s">
        <v>1033</v>
      </c>
      <c r="N67" s="53">
        <f>(N63+N64)*24*N62*O61</f>
        <v>9926.6666666666661</v>
      </c>
      <c r="O67" t="s">
        <v>371</v>
      </c>
      <c r="AF67" s="50"/>
      <c r="AG67" s="50"/>
      <c r="AH67" s="50" t="s">
        <v>859</v>
      </c>
      <c r="AI67" s="50">
        <v>2600</v>
      </c>
      <c r="AJ67" s="50"/>
      <c r="AL67" t="s">
        <v>1111</v>
      </c>
    </row>
    <row r="68" spans="11:38" x14ac:dyDescent="0.25">
      <c r="N68" s="347">
        <f>N67*1000/O47</f>
        <v>194.64052287581697</v>
      </c>
      <c r="O68" s="32" t="s">
        <v>372</v>
      </c>
      <c r="AF68" s="50"/>
      <c r="AG68" s="50"/>
      <c r="AH68" s="50" t="s">
        <v>860</v>
      </c>
      <c r="AI68" s="50">
        <v>2400</v>
      </c>
      <c r="AJ68" s="50"/>
      <c r="AL68" t="s">
        <v>1112</v>
      </c>
    </row>
    <row r="69" spans="11:38" x14ac:dyDescent="0.25">
      <c r="M69" t="s">
        <v>1021</v>
      </c>
      <c r="N69" s="346">
        <f>N61*0.1</f>
        <v>0.4</v>
      </c>
      <c r="O69" s="346">
        <f>O61*0.1</f>
        <v>0.5</v>
      </c>
      <c r="P69" t="s">
        <v>366</v>
      </c>
      <c r="Q69" t="s">
        <v>1022</v>
      </c>
      <c r="AF69" s="50"/>
      <c r="AG69" s="50"/>
      <c r="AH69" s="50" t="s">
        <v>861</v>
      </c>
      <c r="AI69" s="50">
        <v>1200</v>
      </c>
      <c r="AJ69" s="50"/>
    </row>
    <row r="70" spans="11:38" x14ac:dyDescent="0.25">
      <c r="M70" t="s">
        <v>367</v>
      </c>
      <c r="N70">
        <v>0.8</v>
      </c>
      <c r="O70" s="346"/>
      <c r="AF70" s="50"/>
      <c r="AG70" s="50"/>
      <c r="AH70" s="50"/>
      <c r="AI70" s="50"/>
      <c r="AJ70" s="50"/>
    </row>
    <row r="71" spans="11:38" x14ac:dyDescent="0.25">
      <c r="M71" t="s">
        <v>1028</v>
      </c>
      <c r="N71">
        <f>'Drilling - time'!F28*2</f>
        <v>42</v>
      </c>
      <c r="Q71" t="s">
        <v>1029</v>
      </c>
      <c r="AF71" s="50"/>
      <c r="AG71" s="50" t="s">
        <v>862</v>
      </c>
      <c r="AH71" s="50" t="s">
        <v>863</v>
      </c>
      <c r="AI71" s="50">
        <v>2620</v>
      </c>
      <c r="AJ71" s="50"/>
    </row>
    <row r="72" spans="11:38" x14ac:dyDescent="0.25">
      <c r="M72" t="s">
        <v>1023</v>
      </c>
      <c r="N72" s="346">
        <f>N71*24*N70*O69</f>
        <v>403.20000000000005</v>
      </c>
      <c r="O72" t="s">
        <v>371</v>
      </c>
      <c r="AF72" s="50"/>
      <c r="AG72" s="50"/>
      <c r="AH72" s="50" t="s">
        <v>864</v>
      </c>
      <c r="AI72" s="50">
        <v>3300</v>
      </c>
      <c r="AJ72" s="50"/>
    </row>
    <row r="73" spans="11:38" x14ac:dyDescent="0.25">
      <c r="N73">
        <f>N72*1000/(O47)</f>
        <v>7.9058823529411777</v>
      </c>
      <c r="O73" t="s">
        <v>372</v>
      </c>
      <c r="Q73" t="s">
        <v>1030</v>
      </c>
      <c r="AF73" s="50"/>
      <c r="AG73" s="50"/>
      <c r="AH73" s="50" t="s">
        <v>865</v>
      </c>
      <c r="AI73" s="50">
        <v>2720</v>
      </c>
      <c r="AJ73" s="50"/>
    </row>
    <row r="74" spans="11:38" x14ac:dyDescent="0.25">
      <c r="M74" t="s">
        <v>1024</v>
      </c>
      <c r="N74" s="53" t="s">
        <v>1025</v>
      </c>
      <c r="AF74" s="50"/>
      <c r="AG74" s="50"/>
      <c r="AH74" s="50"/>
      <c r="AI74" s="50"/>
      <c r="AJ74" s="50"/>
    </row>
    <row r="75" spans="11:38" x14ac:dyDescent="0.25">
      <c r="AF75" s="50"/>
      <c r="AG75" s="50" t="s">
        <v>866</v>
      </c>
      <c r="AH75" s="50">
        <v>2700</v>
      </c>
      <c r="AI75" s="50" t="s">
        <v>393</v>
      </c>
      <c r="AJ75" s="50"/>
    </row>
    <row r="76" spans="11:38" x14ac:dyDescent="0.25">
      <c r="N76" s="60">
        <f>N73+N68</f>
        <v>202.54640522875815</v>
      </c>
      <c r="O76" s="59" t="s">
        <v>372</v>
      </c>
      <c r="Q76" s="53">
        <f>1.2*1000*1000/7000</f>
        <v>171.42857142857142</v>
      </c>
      <c r="R76" t="s">
        <v>372</v>
      </c>
      <c r="S76" t="s">
        <v>457</v>
      </c>
      <c r="AF76" s="50"/>
      <c r="AG76" s="50" t="s">
        <v>867</v>
      </c>
      <c r="AH76" s="50">
        <v>2350</v>
      </c>
      <c r="AI76" s="50" t="s">
        <v>393</v>
      </c>
      <c r="AJ76" s="50"/>
    </row>
    <row r="77" spans="11:38" x14ac:dyDescent="0.25">
      <c r="N77" s="60">
        <f>N76*MJ_per_kWh</f>
        <v>729.16705882352937</v>
      </c>
      <c r="O77" s="59" t="s">
        <v>1031</v>
      </c>
      <c r="AF77" s="50"/>
      <c r="AG77" s="50" t="s">
        <v>868</v>
      </c>
      <c r="AH77" s="50"/>
      <c r="AI77" s="50"/>
      <c r="AJ77" s="50"/>
    </row>
    <row r="78" spans="11:38" x14ac:dyDescent="0.25">
      <c r="M78" t="s">
        <v>2102</v>
      </c>
      <c r="N78" t="s">
        <v>372</v>
      </c>
      <c r="O78" s="53">
        <f>N73+K65</f>
        <v>177.53551198257082</v>
      </c>
      <c r="P78" s="53"/>
      <c r="AF78" s="50"/>
      <c r="AG78" s="50" t="s">
        <v>869</v>
      </c>
      <c r="AH78" s="50"/>
      <c r="AI78" s="50"/>
      <c r="AJ78" s="50"/>
    </row>
    <row r="79" spans="11:38" x14ac:dyDescent="0.25">
      <c r="M79" t="s">
        <v>2103</v>
      </c>
      <c r="N79" t="s">
        <v>372</v>
      </c>
      <c r="O79">
        <f>K66</f>
        <v>200</v>
      </c>
      <c r="AG79" s="50"/>
      <c r="AH79" s="50"/>
      <c r="AI79" s="50"/>
      <c r="AJ79" s="50"/>
    </row>
  </sheetData>
  <pageMargins left="0.7" right="0.7" top="0.75" bottom="0.75" header="0.3" footer="0.3"/>
  <pageSetup paperSize="9"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358DA-1C37-4F3E-9641-AEAA68CBE80E}">
  <sheetPr>
    <tabColor theme="7" tint="-0.249977111117893"/>
  </sheetPr>
  <dimension ref="B6:O76"/>
  <sheetViews>
    <sheetView topLeftCell="A4" workbookViewId="0">
      <selection activeCell="F21" sqref="F21"/>
    </sheetView>
  </sheetViews>
  <sheetFormatPr defaultRowHeight="15" x14ac:dyDescent="0.25"/>
  <cols>
    <col min="3" max="3" width="54.140625" bestFit="1" customWidth="1"/>
    <col min="6" max="6" width="77" customWidth="1"/>
  </cols>
  <sheetData>
    <row r="6" spans="2:15" x14ac:dyDescent="0.25">
      <c r="G6" s="62" t="s">
        <v>422</v>
      </c>
      <c r="H6" s="62" t="s">
        <v>415</v>
      </c>
      <c r="I6" s="62" t="s">
        <v>416</v>
      </c>
      <c r="J6" s="62" t="s">
        <v>423</v>
      </c>
      <c r="K6" s="62" t="s">
        <v>418</v>
      </c>
      <c r="L6" s="62" t="s">
        <v>439</v>
      </c>
      <c r="M6" s="62" t="s">
        <v>425</v>
      </c>
      <c r="N6" s="62" t="s">
        <v>424</v>
      </c>
      <c r="O6" s="62" t="s">
        <v>420</v>
      </c>
    </row>
    <row r="7" spans="2:15" ht="45" x14ac:dyDescent="0.25">
      <c r="B7" t="s">
        <v>1782</v>
      </c>
      <c r="C7" t="s">
        <v>1783</v>
      </c>
      <c r="D7" t="s">
        <v>444</v>
      </c>
      <c r="E7">
        <f>D76</f>
        <v>0.5</v>
      </c>
      <c r="F7" s="300" t="s">
        <v>1797</v>
      </c>
      <c r="G7" s="63" t="s">
        <v>1783</v>
      </c>
      <c r="H7" s="63"/>
      <c r="I7" s="63" t="s">
        <v>428</v>
      </c>
      <c r="J7" s="63">
        <f>'Drilling - fluid'!E7</f>
        <v>0.5</v>
      </c>
      <c r="K7" s="63"/>
      <c r="L7" t="str">
        <f>biospherev310</f>
        <v>ecoinvent-3.10.1-biosphere</v>
      </c>
      <c r="M7" t="s">
        <v>435</v>
      </c>
    </row>
    <row r="8" spans="2:15" x14ac:dyDescent="0.25">
      <c r="C8" t="s">
        <v>1784</v>
      </c>
      <c r="D8" t="s">
        <v>442</v>
      </c>
      <c r="E8">
        <v>20</v>
      </c>
      <c r="F8" s="300" t="s">
        <v>1798</v>
      </c>
      <c r="G8" s="63" t="s">
        <v>1869</v>
      </c>
      <c r="H8" t="s">
        <v>1868</v>
      </c>
      <c r="I8" t="s">
        <v>417</v>
      </c>
      <c r="J8">
        <f>E8</f>
        <v>20</v>
      </c>
      <c r="K8" s="63" t="s">
        <v>462</v>
      </c>
      <c r="L8" s="63" t="str">
        <f t="shared" ref="L8:L14" si="0">ecoinventv310</f>
        <v>ecoinvent-3.10.1-cutoff</v>
      </c>
      <c r="M8" s="65" t="s">
        <v>429</v>
      </c>
    </row>
    <row r="9" spans="2:15" ht="30" x14ac:dyDescent="0.25">
      <c r="C9" t="s">
        <v>1785</v>
      </c>
      <c r="D9" t="s">
        <v>442</v>
      </c>
      <c r="E9">
        <v>15</v>
      </c>
      <c r="F9" s="300" t="s">
        <v>1799</v>
      </c>
      <c r="G9" t="s">
        <v>1875</v>
      </c>
      <c r="H9" t="s">
        <v>1874</v>
      </c>
      <c r="I9" t="s">
        <v>417</v>
      </c>
      <c r="J9">
        <f t="shared" ref="J9:J20" si="1">E9</f>
        <v>15</v>
      </c>
      <c r="K9" t="s">
        <v>462</v>
      </c>
      <c r="L9" s="63" t="str">
        <f t="shared" si="0"/>
        <v>ecoinvent-3.10.1-cutoff</v>
      </c>
      <c r="M9" s="65" t="s">
        <v>429</v>
      </c>
    </row>
    <row r="10" spans="2:15" x14ac:dyDescent="0.25">
      <c r="C10" t="s">
        <v>1786</v>
      </c>
      <c r="D10" t="s">
        <v>442</v>
      </c>
      <c r="E10">
        <v>17.5</v>
      </c>
      <c r="F10" s="300" t="s">
        <v>1798</v>
      </c>
      <c r="G10" s="63" t="s">
        <v>1871</v>
      </c>
      <c r="H10" s="63" t="s">
        <v>1870</v>
      </c>
      <c r="I10" t="s">
        <v>417</v>
      </c>
      <c r="J10">
        <f t="shared" si="1"/>
        <v>17.5</v>
      </c>
      <c r="K10" s="63" t="s">
        <v>432</v>
      </c>
      <c r="L10" s="63" t="str">
        <f t="shared" si="0"/>
        <v>ecoinvent-3.10.1-cutoff</v>
      </c>
      <c r="M10" s="65" t="s">
        <v>429</v>
      </c>
    </row>
    <row r="11" spans="2:15" ht="30" x14ac:dyDescent="0.25">
      <c r="C11" t="s">
        <v>1787</v>
      </c>
      <c r="D11" t="s">
        <v>442</v>
      </c>
      <c r="E11">
        <v>20</v>
      </c>
      <c r="F11" s="300" t="s">
        <v>1800</v>
      </c>
      <c r="G11" t="s">
        <v>1873</v>
      </c>
      <c r="H11" t="s">
        <v>1872</v>
      </c>
      <c r="I11" t="s">
        <v>417</v>
      </c>
      <c r="J11">
        <f t="shared" si="1"/>
        <v>20</v>
      </c>
      <c r="K11" t="s">
        <v>462</v>
      </c>
      <c r="L11" s="63" t="str">
        <f t="shared" si="0"/>
        <v>ecoinvent-3.10.1-cutoff</v>
      </c>
      <c r="M11" s="65" t="s">
        <v>429</v>
      </c>
    </row>
    <row r="12" spans="2:15" x14ac:dyDescent="0.25">
      <c r="C12" t="s">
        <v>1788</v>
      </c>
      <c r="D12" t="s">
        <v>442</v>
      </c>
      <c r="E12">
        <v>1</v>
      </c>
      <c r="F12" s="300" t="s">
        <v>1798</v>
      </c>
      <c r="G12" t="s">
        <v>1877</v>
      </c>
      <c r="H12" t="s">
        <v>1876</v>
      </c>
      <c r="I12" t="s">
        <v>417</v>
      </c>
      <c r="J12">
        <f t="shared" si="1"/>
        <v>1</v>
      </c>
      <c r="K12" t="s">
        <v>419</v>
      </c>
      <c r="L12" s="63" t="str">
        <f t="shared" si="0"/>
        <v>ecoinvent-3.10.1-cutoff</v>
      </c>
      <c r="M12" s="65" t="s">
        <v>429</v>
      </c>
    </row>
    <row r="13" spans="2:15" x14ac:dyDescent="0.25">
      <c r="C13" t="s">
        <v>1789</v>
      </c>
      <c r="D13" t="s">
        <v>442</v>
      </c>
      <c r="E13">
        <v>20</v>
      </c>
      <c r="F13" s="300" t="s">
        <v>1798</v>
      </c>
      <c r="G13" t="s">
        <v>1879</v>
      </c>
      <c r="H13" t="s">
        <v>1878</v>
      </c>
      <c r="I13" t="s">
        <v>417</v>
      </c>
      <c r="J13">
        <f t="shared" si="1"/>
        <v>20</v>
      </c>
      <c r="K13" t="s">
        <v>462</v>
      </c>
      <c r="L13" s="63" t="str">
        <f t="shared" si="0"/>
        <v>ecoinvent-3.10.1-cutoff</v>
      </c>
      <c r="M13" s="65" t="s">
        <v>429</v>
      </c>
    </row>
    <row r="14" spans="2:15" x14ac:dyDescent="0.25">
      <c r="C14" t="s">
        <v>1790</v>
      </c>
      <c r="D14" t="s">
        <v>442</v>
      </c>
      <c r="E14">
        <v>6</v>
      </c>
      <c r="F14" s="300" t="s">
        <v>1801</v>
      </c>
      <c r="G14" t="s">
        <v>1881</v>
      </c>
      <c r="H14" t="s">
        <v>1880</v>
      </c>
      <c r="I14" t="s">
        <v>417</v>
      </c>
      <c r="J14">
        <f t="shared" si="1"/>
        <v>6</v>
      </c>
      <c r="K14" t="s">
        <v>462</v>
      </c>
      <c r="L14" s="63" t="str">
        <f t="shared" si="0"/>
        <v>ecoinvent-3.10.1-cutoff</v>
      </c>
      <c r="M14" s="65" t="s">
        <v>429</v>
      </c>
    </row>
    <row r="15" spans="2:15" x14ac:dyDescent="0.25">
      <c r="C15" t="s">
        <v>1791</v>
      </c>
      <c r="D15" t="s">
        <v>442</v>
      </c>
      <c r="E15">
        <v>3</v>
      </c>
      <c r="F15" s="497" t="s">
        <v>1802</v>
      </c>
      <c r="G15" t="s">
        <v>1791</v>
      </c>
      <c r="I15" t="s">
        <v>417</v>
      </c>
      <c r="J15">
        <f t="shared" si="1"/>
        <v>3</v>
      </c>
      <c r="L15" t="str">
        <f>biospherev310</f>
        <v>ecoinvent-3.10.1-biosphere</v>
      </c>
      <c r="M15" t="s">
        <v>435</v>
      </c>
      <c r="N15" t="s">
        <v>1884</v>
      </c>
    </row>
    <row r="16" spans="2:15" x14ac:dyDescent="0.25">
      <c r="C16" t="s">
        <v>1792</v>
      </c>
      <c r="D16" t="s">
        <v>442</v>
      </c>
      <c r="E16">
        <v>0.3</v>
      </c>
      <c r="F16" s="497" t="s">
        <v>1802</v>
      </c>
      <c r="G16" t="s">
        <v>1792</v>
      </c>
      <c r="I16" t="s">
        <v>417</v>
      </c>
      <c r="J16">
        <f t="shared" si="1"/>
        <v>0.3</v>
      </c>
      <c r="L16" t="str">
        <f>biospherev310</f>
        <v>ecoinvent-3.10.1-biosphere</v>
      </c>
      <c r="M16" t="s">
        <v>435</v>
      </c>
      <c r="N16" t="s">
        <v>1884</v>
      </c>
    </row>
    <row r="17" spans="3:14" x14ac:dyDescent="0.25">
      <c r="C17" t="s">
        <v>1793</v>
      </c>
      <c r="D17" t="s">
        <v>442</v>
      </c>
      <c r="E17">
        <v>0.9</v>
      </c>
      <c r="F17" s="497" t="s">
        <v>1802</v>
      </c>
      <c r="G17" t="s">
        <v>1882</v>
      </c>
      <c r="I17" t="s">
        <v>417</v>
      </c>
      <c r="J17">
        <f t="shared" si="1"/>
        <v>0.9</v>
      </c>
      <c r="L17" t="str">
        <f>biospherev310</f>
        <v>ecoinvent-3.10.1-biosphere</v>
      </c>
      <c r="M17" t="s">
        <v>435</v>
      </c>
      <c r="N17" t="s">
        <v>1884</v>
      </c>
    </row>
    <row r="18" spans="3:14" x14ac:dyDescent="0.25">
      <c r="C18" t="s">
        <v>1794</v>
      </c>
      <c r="D18" t="s">
        <v>442</v>
      </c>
      <c r="E18">
        <v>6</v>
      </c>
      <c r="F18" s="497" t="s">
        <v>1802</v>
      </c>
      <c r="G18" t="s">
        <v>1883</v>
      </c>
      <c r="I18" t="s">
        <v>417</v>
      </c>
      <c r="J18">
        <f t="shared" si="1"/>
        <v>6</v>
      </c>
      <c r="L18" t="str">
        <f>biospherev310</f>
        <v>ecoinvent-3.10.1-biosphere</v>
      </c>
      <c r="M18" t="s">
        <v>435</v>
      </c>
      <c r="N18" t="s">
        <v>1884</v>
      </c>
    </row>
    <row r="19" spans="3:14" x14ac:dyDescent="0.25">
      <c r="C19" t="s">
        <v>1795</v>
      </c>
      <c r="D19" t="s">
        <v>442</v>
      </c>
      <c r="E19">
        <v>0.3</v>
      </c>
      <c r="F19" s="300" t="s">
        <v>1803</v>
      </c>
      <c r="G19" t="s">
        <v>1795</v>
      </c>
      <c r="I19" t="s">
        <v>417</v>
      </c>
      <c r="J19">
        <f t="shared" si="1"/>
        <v>0.3</v>
      </c>
      <c r="L19" t="str">
        <f>biospherev310</f>
        <v>ecoinvent-3.10.1-biosphere</v>
      </c>
      <c r="M19" t="s">
        <v>435</v>
      </c>
      <c r="N19" t="s">
        <v>1884</v>
      </c>
    </row>
    <row r="20" spans="3:14" ht="75" x14ac:dyDescent="0.25">
      <c r="C20" t="s">
        <v>1796</v>
      </c>
      <c r="D20" t="s">
        <v>444</v>
      </c>
      <c r="E20">
        <f>E7+0.1</f>
        <v>0.6</v>
      </c>
      <c r="F20" s="300" t="s">
        <v>1804</v>
      </c>
      <c r="G20" t="s">
        <v>554</v>
      </c>
      <c r="H20" t="s">
        <v>553</v>
      </c>
      <c r="J20">
        <f t="shared" si="1"/>
        <v>0.6</v>
      </c>
      <c r="K20" t="s">
        <v>432</v>
      </c>
      <c r="L20" s="63" t="str">
        <f>ecoinventv310</f>
        <v>ecoinvent-3.10.1-cutoff</v>
      </c>
    </row>
    <row r="26" spans="3:14" x14ac:dyDescent="0.25">
      <c r="C26" s="498" t="s">
        <v>1805</v>
      </c>
      <c r="D26" s="499"/>
      <c r="E26" s="499"/>
      <c r="F26" s="499"/>
      <c r="G26" s="499"/>
    </row>
    <row r="27" spans="3:14" x14ac:dyDescent="0.25">
      <c r="C27" s="499"/>
      <c r="D27" s="499"/>
      <c r="E27" s="499"/>
      <c r="F27" s="499"/>
      <c r="G27" s="499"/>
    </row>
    <row r="28" spans="3:14" x14ac:dyDescent="0.25">
      <c r="C28" s="499" t="s">
        <v>1806</v>
      </c>
      <c r="D28" s="499" t="s">
        <v>1807</v>
      </c>
      <c r="E28" s="499"/>
      <c r="F28" s="499"/>
      <c r="G28" s="499"/>
    </row>
    <row r="29" spans="3:14" x14ac:dyDescent="0.25">
      <c r="C29" s="499"/>
      <c r="D29" s="499" t="s">
        <v>1808</v>
      </c>
      <c r="E29" s="499"/>
      <c r="F29" s="499"/>
      <c r="G29" s="499"/>
    </row>
    <row r="30" spans="3:14" x14ac:dyDescent="0.25">
      <c r="C30" s="499"/>
      <c r="D30" s="499"/>
      <c r="E30" s="499"/>
      <c r="F30" s="499"/>
      <c r="G30" s="499"/>
    </row>
    <row r="31" spans="3:14" x14ac:dyDescent="0.25">
      <c r="C31" s="499" t="s">
        <v>1809</v>
      </c>
      <c r="D31" s="499"/>
      <c r="E31" s="499"/>
      <c r="F31" s="499"/>
      <c r="G31" s="499"/>
    </row>
    <row r="32" spans="3:14" x14ac:dyDescent="0.25">
      <c r="C32" s="499" t="s">
        <v>1810</v>
      </c>
      <c r="D32" s="499">
        <v>5000</v>
      </c>
      <c r="E32" s="499" t="s">
        <v>1811</v>
      </c>
      <c r="F32" s="499"/>
      <c r="G32" s="499"/>
    </row>
    <row r="33" spans="3:11" x14ac:dyDescent="0.25">
      <c r="C33" s="500" t="s">
        <v>1812</v>
      </c>
      <c r="D33" s="498">
        <v>0.2</v>
      </c>
      <c r="E33" s="498" t="s">
        <v>1813</v>
      </c>
      <c r="F33" s="499"/>
      <c r="G33" s="499"/>
    </row>
    <row r="34" spans="3:11" x14ac:dyDescent="0.25">
      <c r="C34" s="499"/>
      <c r="D34" s="499"/>
      <c r="E34" s="499"/>
      <c r="F34" s="499"/>
      <c r="G34" s="499"/>
    </row>
    <row r="35" spans="3:11" x14ac:dyDescent="0.25">
      <c r="C35" s="499"/>
      <c r="D35" s="499"/>
      <c r="E35" s="499"/>
      <c r="F35" s="499"/>
      <c r="G35" s="499"/>
    </row>
    <row r="36" spans="3:11" x14ac:dyDescent="0.25">
      <c r="C36" s="499" t="s">
        <v>1814</v>
      </c>
      <c r="D36" s="499" t="s">
        <v>1815</v>
      </c>
      <c r="E36" s="499"/>
      <c r="F36" s="499"/>
      <c r="G36" s="499"/>
    </row>
    <row r="37" spans="3:11" x14ac:dyDescent="0.25">
      <c r="C37" s="499" t="s">
        <v>1816</v>
      </c>
      <c r="D37" s="499" t="s">
        <v>1817</v>
      </c>
      <c r="E37" s="499"/>
      <c r="F37" s="499"/>
      <c r="G37" s="499"/>
    </row>
    <row r="38" spans="3:11" x14ac:dyDescent="0.25">
      <c r="C38" s="499" t="s">
        <v>1818</v>
      </c>
      <c r="D38" s="499"/>
      <c r="E38" s="499"/>
      <c r="F38" s="499"/>
      <c r="G38" s="499"/>
    </row>
    <row r="39" spans="3:11" x14ac:dyDescent="0.25">
      <c r="C39" s="499" t="s">
        <v>1819</v>
      </c>
      <c r="D39" s="499"/>
      <c r="E39" s="499"/>
      <c r="F39" s="499"/>
      <c r="G39" s="499"/>
      <c r="H39" s="501"/>
      <c r="I39" s="501"/>
      <c r="J39" s="501"/>
      <c r="K39" s="501"/>
    </row>
    <row r="40" spans="3:11" x14ac:dyDescent="0.25">
      <c r="C40" s="499"/>
      <c r="D40" s="499"/>
      <c r="E40" s="499"/>
      <c r="F40" s="499"/>
      <c r="G40" s="499"/>
      <c r="H40" s="501"/>
      <c r="I40" s="501"/>
      <c r="J40" s="501"/>
      <c r="K40" s="501"/>
    </row>
    <row r="41" spans="3:11" x14ac:dyDescent="0.25">
      <c r="C41" s="499"/>
      <c r="D41" s="499"/>
      <c r="E41" s="499"/>
      <c r="F41" s="499"/>
      <c r="G41" s="499"/>
      <c r="H41" s="501"/>
      <c r="I41" s="501"/>
      <c r="J41" s="501"/>
      <c r="K41" s="501"/>
    </row>
    <row r="42" spans="3:11" x14ac:dyDescent="0.25">
      <c r="C42" s="499" t="s">
        <v>1820</v>
      </c>
      <c r="D42" s="499" t="s">
        <v>1786</v>
      </c>
      <c r="E42" s="499">
        <v>35</v>
      </c>
      <c r="F42" s="499" t="s">
        <v>442</v>
      </c>
      <c r="G42" s="499" t="s">
        <v>1821</v>
      </c>
      <c r="H42" s="501"/>
      <c r="I42" s="501"/>
      <c r="J42" s="501"/>
      <c r="K42" s="501"/>
    </row>
    <row r="43" spans="3:11" x14ac:dyDescent="0.25">
      <c r="C43" s="499" t="s">
        <v>1822</v>
      </c>
      <c r="D43" s="499" t="s">
        <v>1788</v>
      </c>
      <c r="E43" s="499">
        <v>2</v>
      </c>
      <c r="F43" s="499" t="s">
        <v>442</v>
      </c>
      <c r="G43" s="499" t="s">
        <v>1823</v>
      </c>
      <c r="H43" s="501"/>
      <c r="I43" s="501"/>
      <c r="J43" s="501"/>
      <c r="K43" s="501"/>
    </row>
    <row r="44" spans="3:11" x14ac:dyDescent="0.25">
      <c r="C44" s="499" t="s">
        <v>1824</v>
      </c>
      <c r="D44" s="499" t="s">
        <v>1825</v>
      </c>
      <c r="E44" s="499">
        <v>300</v>
      </c>
      <c r="F44" s="499" t="s">
        <v>442</v>
      </c>
      <c r="G44" s="499" t="s">
        <v>1826</v>
      </c>
      <c r="H44" s="501"/>
      <c r="I44" s="501"/>
      <c r="J44" s="501"/>
      <c r="K44" s="501"/>
    </row>
    <row r="45" spans="3:11" x14ac:dyDescent="0.25">
      <c r="C45" s="499"/>
      <c r="D45" s="499" t="s">
        <v>1827</v>
      </c>
      <c r="E45" s="499">
        <v>42</v>
      </c>
      <c r="F45" s="499" t="s">
        <v>442</v>
      </c>
      <c r="G45" s="499" t="s">
        <v>1828</v>
      </c>
      <c r="H45" s="501"/>
      <c r="I45" s="501"/>
      <c r="J45" s="501"/>
      <c r="K45" s="501"/>
    </row>
    <row r="46" spans="3:11" x14ac:dyDescent="0.25">
      <c r="C46" s="499"/>
      <c r="D46" s="499" t="s">
        <v>1829</v>
      </c>
      <c r="E46" s="499">
        <v>50</v>
      </c>
      <c r="F46" s="499" t="s">
        <v>442</v>
      </c>
      <c r="G46" s="499" t="s">
        <v>1818</v>
      </c>
      <c r="H46" s="501"/>
      <c r="I46" s="501"/>
      <c r="J46" s="501"/>
      <c r="K46" s="501"/>
    </row>
    <row r="47" spans="3:11" x14ac:dyDescent="0.25">
      <c r="C47" s="499" t="s">
        <v>1830</v>
      </c>
      <c r="D47" s="499" t="s">
        <v>499</v>
      </c>
      <c r="E47" s="499">
        <v>1000</v>
      </c>
      <c r="F47" s="499" t="s">
        <v>442</v>
      </c>
      <c r="G47" s="499" t="s">
        <v>1830</v>
      </c>
      <c r="H47" s="501"/>
      <c r="I47" s="501"/>
      <c r="J47" s="501"/>
      <c r="K47" s="501"/>
    </row>
    <row r="50" spans="3:13" x14ac:dyDescent="0.25">
      <c r="C50" s="502" t="s">
        <v>1831</v>
      </c>
      <c r="D50" s="503"/>
      <c r="E50" s="503"/>
      <c r="F50" s="503"/>
      <c r="G50" s="503"/>
      <c r="H50" s="503"/>
      <c r="I50" s="503"/>
      <c r="J50" s="503"/>
      <c r="K50" s="503"/>
      <c r="L50" s="504"/>
      <c r="M50" s="504"/>
    </row>
    <row r="51" spans="3:13" x14ac:dyDescent="0.25">
      <c r="C51" s="504"/>
      <c r="D51" s="504"/>
      <c r="E51" s="504"/>
      <c r="F51" s="504"/>
      <c r="G51" s="504"/>
      <c r="H51" s="504"/>
      <c r="I51" s="504"/>
      <c r="J51" s="504"/>
      <c r="K51" s="504"/>
      <c r="L51" s="504"/>
      <c r="M51" s="504"/>
    </row>
    <row r="52" spans="3:13" x14ac:dyDescent="0.25">
      <c r="C52" s="503" t="s">
        <v>1806</v>
      </c>
      <c r="D52" s="503" t="s">
        <v>1832</v>
      </c>
      <c r="E52" s="503"/>
      <c r="F52" s="503"/>
      <c r="G52" s="503"/>
      <c r="H52" s="503"/>
      <c r="I52" s="503"/>
      <c r="J52" s="503"/>
      <c r="K52" s="503"/>
      <c r="L52" s="504"/>
      <c r="M52" s="504"/>
    </row>
    <row r="53" spans="3:13" x14ac:dyDescent="0.25">
      <c r="C53" s="504"/>
      <c r="D53" s="504"/>
      <c r="E53" s="504"/>
      <c r="F53" s="504"/>
      <c r="G53" s="504"/>
      <c r="H53" s="504"/>
      <c r="I53" s="504"/>
      <c r="J53" s="504"/>
      <c r="K53" s="504"/>
      <c r="L53" s="504"/>
      <c r="M53" s="504"/>
    </row>
    <row r="54" spans="3:13" x14ac:dyDescent="0.25">
      <c r="C54" s="502" t="s">
        <v>1833</v>
      </c>
      <c r="D54" s="503"/>
      <c r="E54" s="503"/>
      <c r="F54" s="503"/>
      <c r="G54" s="503"/>
      <c r="H54" s="503"/>
      <c r="I54" s="503"/>
      <c r="J54" s="503"/>
      <c r="K54" s="502" t="s">
        <v>1834</v>
      </c>
      <c r="L54" s="504"/>
      <c r="M54" s="504"/>
    </row>
    <row r="55" spans="3:13" x14ac:dyDescent="0.25">
      <c r="C55" s="503"/>
      <c r="D55" s="503"/>
      <c r="E55" s="503"/>
      <c r="F55" s="503"/>
      <c r="G55" s="503"/>
      <c r="H55" s="503"/>
      <c r="I55" s="503"/>
      <c r="J55" s="503"/>
      <c r="K55" s="503" t="s">
        <v>1102</v>
      </c>
      <c r="L55" s="503">
        <v>0.5</v>
      </c>
      <c r="M55" s="503" t="s">
        <v>444</v>
      </c>
    </row>
    <row r="56" spans="3:13" x14ac:dyDescent="0.25">
      <c r="C56" s="502" t="s">
        <v>1577</v>
      </c>
      <c r="D56" s="502" t="s">
        <v>1835</v>
      </c>
      <c r="E56" s="503"/>
      <c r="F56" s="503"/>
      <c r="G56" s="503"/>
      <c r="H56" s="503"/>
      <c r="I56" s="503"/>
      <c r="J56" s="503"/>
      <c r="K56" s="503" t="s">
        <v>1836</v>
      </c>
      <c r="L56" s="503">
        <v>25</v>
      </c>
      <c r="M56" s="503" t="s">
        <v>442</v>
      </c>
    </row>
    <row r="57" spans="3:13" x14ac:dyDescent="0.25">
      <c r="C57" s="503" t="s">
        <v>1837</v>
      </c>
      <c r="D57" s="503" t="s">
        <v>1838</v>
      </c>
      <c r="E57" s="503"/>
      <c r="F57" s="503"/>
      <c r="G57" s="503"/>
      <c r="H57" s="503"/>
      <c r="I57" s="503"/>
      <c r="J57" s="503"/>
      <c r="K57" s="503" t="s">
        <v>1786</v>
      </c>
      <c r="L57" s="503">
        <v>17.5</v>
      </c>
      <c r="M57" s="503" t="s">
        <v>442</v>
      </c>
    </row>
    <row r="58" spans="3:13" x14ac:dyDescent="0.25">
      <c r="C58" s="503" t="s">
        <v>1818</v>
      </c>
      <c r="D58" s="503" t="s">
        <v>1839</v>
      </c>
      <c r="E58" s="503"/>
      <c r="F58" s="503"/>
      <c r="G58" s="503"/>
      <c r="H58" s="503"/>
      <c r="I58" s="503"/>
      <c r="J58" s="503"/>
      <c r="K58" s="503" t="s">
        <v>1788</v>
      </c>
      <c r="L58" s="503">
        <v>1</v>
      </c>
      <c r="M58" s="503" t="s">
        <v>442</v>
      </c>
    </row>
    <row r="59" spans="3:13" x14ac:dyDescent="0.25">
      <c r="C59" s="503" t="s">
        <v>1840</v>
      </c>
      <c r="D59" s="503" t="s">
        <v>1841</v>
      </c>
      <c r="E59" s="503"/>
      <c r="F59" s="503"/>
      <c r="G59" s="503"/>
      <c r="H59" s="503"/>
      <c r="I59" s="503"/>
      <c r="J59" s="503"/>
      <c r="K59" s="503" t="s">
        <v>1825</v>
      </c>
      <c r="L59" s="503">
        <v>150</v>
      </c>
      <c r="M59" s="503" t="s">
        <v>442</v>
      </c>
    </row>
    <row r="60" spans="3:13" x14ac:dyDescent="0.25">
      <c r="C60" s="503" t="s">
        <v>1842</v>
      </c>
      <c r="D60" s="503" t="s">
        <v>1843</v>
      </c>
      <c r="E60" s="503"/>
      <c r="F60" s="503"/>
      <c r="G60" s="503"/>
      <c r="H60" s="503"/>
      <c r="I60" s="503"/>
      <c r="J60" s="503"/>
      <c r="K60" s="503" t="s">
        <v>1827</v>
      </c>
      <c r="L60" s="503">
        <v>21</v>
      </c>
      <c r="M60" s="503" t="s">
        <v>442</v>
      </c>
    </row>
    <row r="61" spans="3:13" x14ac:dyDescent="0.25">
      <c r="C61" s="503" t="s">
        <v>1844</v>
      </c>
      <c r="D61" s="503" t="s">
        <v>1845</v>
      </c>
      <c r="E61" s="503"/>
      <c r="F61" s="503"/>
      <c r="G61" s="503"/>
      <c r="H61" s="503"/>
      <c r="I61" s="503"/>
      <c r="J61" s="503"/>
      <c r="K61" s="503" t="s">
        <v>1846</v>
      </c>
      <c r="L61" s="503"/>
      <c r="M61" s="503"/>
    </row>
    <row r="62" spans="3:13" x14ac:dyDescent="0.25">
      <c r="C62" s="503" t="s">
        <v>1847</v>
      </c>
      <c r="D62" s="503" t="s">
        <v>1843</v>
      </c>
      <c r="E62" s="503"/>
      <c r="F62" s="503"/>
      <c r="G62" s="503"/>
      <c r="H62" s="503"/>
      <c r="I62" s="503"/>
      <c r="J62" s="503"/>
      <c r="K62" s="503" t="s">
        <v>1848</v>
      </c>
      <c r="L62" s="503"/>
      <c r="M62" s="503"/>
    </row>
    <row r="63" spans="3:13" x14ac:dyDescent="0.25">
      <c r="C63" s="503" t="s">
        <v>1849</v>
      </c>
      <c r="D63" s="503" t="s">
        <v>1841</v>
      </c>
      <c r="E63" s="503"/>
      <c r="F63" s="503"/>
      <c r="G63" s="503"/>
      <c r="H63" s="503"/>
      <c r="I63" s="503"/>
      <c r="J63" s="503"/>
      <c r="K63" s="503"/>
      <c r="L63" s="503"/>
      <c r="M63" s="503"/>
    </row>
    <row r="64" spans="3:13" x14ac:dyDescent="0.25">
      <c r="C64" s="503" t="s">
        <v>1850</v>
      </c>
      <c r="D64" s="503" t="s">
        <v>1851</v>
      </c>
      <c r="E64" s="503"/>
      <c r="F64" s="503"/>
      <c r="G64" s="503"/>
      <c r="H64" s="503"/>
      <c r="I64" s="503"/>
      <c r="J64" s="503"/>
      <c r="K64" s="503"/>
      <c r="L64" s="503"/>
      <c r="M64" s="503"/>
    </row>
    <row r="65" spans="3:13" x14ac:dyDescent="0.25">
      <c r="C65" s="504"/>
      <c r="D65" s="504"/>
      <c r="E65" s="504"/>
      <c r="F65" s="504"/>
      <c r="G65" s="504"/>
      <c r="H65" s="504"/>
      <c r="I65" s="504"/>
      <c r="J65" s="504"/>
      <c r="K65" s="504"/>
      <c r="L65" s="504"/>
      <c r="M65" s="504"/>
    </row>
    <row r="66" spans="3:13" x14ac:dyDescent="0.25">
      <c r="C66" s="504"/>
      <c r="D66" s="504"/>
      <c r="E66" s="504"/>
      <c r="F66" s="504"/>
      <c r="G66" s="504"/>
      <c r="H66" s="504"/>
      <c r="I66" s="504"/>
      <c r="J66" s="504"/>
      <c r="K66" s="504"/>
      <c r="L66" s="504"/>
      <c r="M66" s="504"/>
    </row>
    <row r="67" spans="3:13" x14ac:dyDescent="0.25">
      <c r="C67" s="502" t="s">
        <v>1852</v>
      </c>
      <c r="D67" s="503"/>
      <c r="E67" s="503"/>
      <c r="F67" s="503"/>
      <c r="G67" s="503"/>
      <c r="H67" s="503"/>
      <c r="I67" s="503"/>
      <c r="J67" s="503"/>
      <c r="K67" s="503"/>
      <c r="L67" s="503"/>
      <c r="M67" s="503"/>
    </row>
    <row r="68" spans="3:13" x14ac:dyDescent="0.25">
      <c r="C68" s="503"/>
      <c r="D68" s="503"/>
      <c r="E68" s="503" t="s">
        <v>1853</v>
      </c>
      <c r="F68" s="503"/>
      <c r="G68" s="503" t="s">
        <v>1854</v>
      </c>
      <c r="H68" s="503" t="s">
        <v>1855</v>
      </c>
      <c r="I68" s="503"/>
      <c r="J68" s="503"/>
      <c r="K68" s="503"/>
      <c r="L68" s="503"/>
      <c r="M68" s="503"/>
    </row>
    <row r="69" spans="3:13" x14ac:dyDescent="0.25">
      <c r="C69" s="503" t="s">
        <v>1856</v>
      </c>
      <c r="D69" s="503" t="s">
        <v>1857</v>
      </c>
      <c r="E69" s="503">
        <v>1000</v>
      </c>
      <c r="F69" s="503" t="s">
        <v>444</v>
      </c>
      <c r="G69" s="503">
        <v>960</v>
      </c>
      <c r="H69" s="505">
        <v>1.0416666666666667</v>
      </c>
      <c r="I69" s="505" t="s">
        <v>1813</v>
      </c>
      <c r="J69" s="503"/>
      <c r="K69" s="503"/>
      <c r="L69" s="503"/>
      <c r="M69" s="503"/>
    </row>
    <row r="70" spans="3:13" x14ac:dyDescent="0.25">
      <c r="C70" s="503" t="s">
        <v>1858</v>
      </c>
      <c r="D70" s="503" t="s">
        <v>1859</v>
      </c>
      <c r="E70" s="503">
        <v>1200</v>
      </c>
      <c r="F70" s="503" t="s">
        <v>444</v>
      </c>
      <c r="G70" s="503">
        <v>3042</v>
      </c>
      <c r="H70" s="505">
        <v>0.39447731755424065</v>
      </c>
      <c r="I70" s="505" t="s">
        <v>1813</v>
      </c>
      <c r="J70" s="503"/>
      <c r="K70" s="503"/>
      <c r="L70" s="503"/>
      <c r="M70" s="503"/>
    </row>
    <row r="71" spans="3:13" x14ac:dyDescent="0.25">
      <c r="C71" s="503" t="s">
        <v>1860</v>
      </c>
      <c r="D71" s="503" t="s">
        <v>1861</v>
      </c>
      <c r="E71" s="503">
        <v>400</v>
      </c>
      <c r="F71" s="503" t="s">
        <v>444</v>
      </c>
      <c r="G71" s="503">
        <v>448</v>
      </c>
      <c r="H71" s="505">
        <v>0.8928571428571429</v>
      </c>
      <c r="I71" s="505" t="s">
        <v>1813</v>
      </c>
      <c r="J71" s="504"/>
      <c r="K71" s="504"/>
      <c r="L71" s="504"/>
      <c r="M71" s="504"/>
    </row>
    <row r="72" spans="3:13" x14ac:dyDescent="0.25">
      <c r="C72" s="503" t="s">
        <v>1862</v>
      </c>
      <c r="D72" s="503" t="s">
        <v>1863</v>
      </c>
      <c r="E72" s="503" t="s">
        <v>1864</v>
      </c>
      <c r="F72" s="503" t="s">
        <v>444</v>
      </c>
      <c r="G72" s="503"/>
      <c r="H72" s="503"/>
      <c r="I72" s="503"/>
      <c r="J72" s="504"/>
      <c r="K72" s="504"/>
      <c r="L72" s="504"/>
      <c r="M72" s="504"/>
    </row>
    <row r="73" spans="3:13" x14ac:dyDescent="0.25">
      <c r="C73" s="503"/>
      <c r="D73" s="503"/>
      <c r="E73" s="503"/>
      <c r="F73" s="503"/>
      <c r="G73" s="502" t="s">
        <v>1865</v>
      </c>
      <c r="H73" s="502">
        <v>0.5842696629213483</v>
      </c>
      <c r="I73" s="506" t="s">
        <v>1813</v>
      </c>
      <c r="J73" s="504"/>
      <c r="K73" s="504"/>
      <c r="L73" s="504"/>
      <c r="M73" s="504"/>
    </row>
    <row r="75" spans="3:13" x14ac:dyDescent="0.25">
      <c r="C75" s="507" t="s">
        <v>1866</v>
      </c>
      <c r="D75" s="507"/>
      <c r="E75" s="507"/>
    </row>
    <row r="76" spans="3:13" x14ac:dyDescent="0.25">
      <c r="C76" s="507"/>
      <c r="D76" s="507">
        <v>0.5</v>
      </c>
      <c r="E76" s="507" t="s">
        <v>1813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9BF9-9769-4A7D-87A8-529EB3BFF1F4}">
  <dimension ref="A1"/>
  <sheetViews>
    <sheetView workbookViewId="0"/>
  </sheetViews>
  <sheetFormatPr defaultRowHeight="1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8D9E4-312D-427E-A01D-32FC1782C10D}">
  <dimension ref="A1"/>
  <sheetViews>
    <sheetView workbookViewId="0"/>
  </sheetViews>
  <sheetFormatPr defaultRowHeight="15" x14ac:dyDescent="0.2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4171E-CEBF-429C-AC5B-C99F85F04C3D}">
  <dimension ref="B3:B4"/>
  <sheetViews>
    <sheetView workbookViewId="0"/>
  </sheetViews>
  <sheetFormatPr defaultRowHeight="15" x14ac:dyDescent="0.25"/>
  <sheetData>
    <row r="3" spans="2:2" x14ac:dyDescent="0.25">
      <c r="B3" s="9" t="s">
        <v>830</v>
      </c>
    </row>
    <row r="4" spans="2:2" x14ac:dyDescent="0.25">
      <c r="B4" t="s">
        <v>870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5FE53-7E8C-4D1A-A083-4EA9AF4F5B0B}">
  <dimension ref="B3:M8"/>
  <sheetViews>
    <sheetView workbookViewId="0"/>
  </sheetViews>
  <sheetFormatPr defaultRowHeight="15" x14ac:dyDescent="0.25"/>
  <cols>
    <col min="12" max="12" width="20.42578125" bestFit="1" customWidth="1"/>
    <col min="13" max="13" width="21.7109375" bestFit="1" customWidth="1"/>
  </cols>
  <sheetData>
    <row r="3" spans="2:13" x14ac:dyDescent="0.25">
      <c r="B3" t="s">
        <v>152</v>
      </c>
      <c r="L3" s="9" t="s">
        <v>160</v>
      </c>
    </row>
    <row r="4" spans="2:13" x14ac:dyDescent="0.25">
      <c r="D4" s="9" t="s">
        <v>156</v>
      </c>
      <c r="E4" s="9" t="s">
        <v>157</v>
      </c>
      <c r="F4" s="9" t="s">
        <v>158</v>
      </c>
      <c r="G4" s="9" t="s">
        <v>159</v>
      </c>
      <c r="L4" t="s">
        <v>161</v>
      </c>
      <c r="M4" t="s">
        <v>162</v>
      </c>
    </row>
    <row r="5" spans="2:13" x14ac:dyDescent="0.25">
      <c r="B5" s="9" t="s">
        <v>153</v>
      </c>
      <c r="C5" s="9" t="s">
        <v>154</v>
      </c>
      <c r="D5" s="33">
        <v>76.144476700000155</v>
      </c>
      <c r="E5" s="33">
        <v>1.561423183215608</v>
      </c>
      <c r="F5" s="33">
        <v>17.801212433006519</v>
      </c>
      <c r="G5" s="33">
        <v>123.99369975185353</v>
      </c>
      <c r="L5" t="s">
        <v>163</v>
      </c>
      <c r="M5" t="s">
        <v>164</v>
      </c>
    </row>
    <row r="6" spans="2:13" x14ac:dyDescent="0.25">
      <c r="B6" s="9"/>
      <c r="C6" s="9" t="s">
        <v>155</v>
      </c>
      <c r="D6" s="33">
        <v>88.792904300000117</v>
      </c>
      <c r="E6" s="33">
        <v>1.886578689425686</v>
      </c>
      <c r="F6" s="33">
        <v>2.8482996622062791</v>
      </c>
      <c r="G6" s="33">
        <v>90.469075921876893</v>
      </c>
      <c r="L6" t="s">
        <v>166</v>
      </c>
    </row>
    <row r="7" spans="2:13" x14ac:dyDescent="0.25">
      <c r="B7" s="9" t="s">
        <v>165</v>
      </c>
      <c r="C7" s="9" t="s">
        <v>154</v>
      </c>
      <c r="D7" s="33">
        <v>53.689028600000036</v>
      </c>
      <c r="E7" s="33">
        <v>1.5112173714631696</v>
      </c>
      <c r="F7" s="33">
        <v>15.252961862842053</v>
      </c>
      <c r="G7" s="33">
        <v>138.12363977672007</v>
      </c>
      <c r="L7" t="s">
        <v>334</v>
      </c>
    </row>
    <row r="8" spans="2:13" x14ac:dyDescent="0.25">
      <c r="B8" s="9"/>
      <c r="C8" s="9" t="s">
        <v>155</v>
      </c>
      <c r="D8" s="33">
        <v>87.409132400000146</v>
      </c>
      <c r="E8" s="310">
        <v>1.885782209063388</v>
      </c>
      <c r="F8" s="33">
        <v>2.8098899699570712</v>
      </c>
      <c r="G8" s="310">
        <v>91.097363866379993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89CCC-CEF4-4626-A79E-2D8083927858}">
  <sheetPr>
    <tabColor theme="8" tint="-0.249977111117893"/>
  </sheetPr>
  <dimension ref="A1:AD133"/>
  <sheetViews>
    <sheetView workbookViewId="0"/>
  </sheetViews>
  <sheetFormatPr defaultColWidth="9.140625" defaultRowHeight="12.75" x14ac:dyDescent="0.2"/>
  <cols>
    <col min="1" max="1" width="5.28515625" style="40" bestFit="1" customWidth="1"/>
    <col min="2" max="2" width="22.140625" style="40" bestFit="1" customWidth="1"/>
    <col min="3" max="3" width="10.7109375" style="40" customWidth="1"/>
    <col min="4" max="5" width="12" style="40" bestFit="1" customWidth="1"/>
    <col min="6" max="6" width="10.7109375" style="40" bestFit="1" customWidth="1"/>
    <col min="7" max="7" width="13.140625" style="41" bestFit="1" customWidth="1"/>
    <col min="8" max="8" width="29.28515625" style="33" bestFit="1" customWidth="1"/>
    <col min="9" max="9" width="25.7109375" style="33" bestFit="1" customWidth="1"/>
    <col min="10" max="10" width="46.5703125" style="33" bestFit="1" customWidth="1"/>
    <col min="11" max="11" width="37.7109375" style="42" bestFit="1" customWidth="1"/>
    <col min="12" max="12" width="46.28515625" style="33" bestFit="1" customWidth="1"/>
    <col min="13" max="13" width="36.85546875" style="42" bestFit="1" customWidth="1"/>
    <col min="14" max="14" width="30.42578125" style="33" customWidth="1"/>
    <col min="15" max="15" width="29.28515625" style="33" customWidth="1"/>
    <col min="16" max="16" width="34.85546875" style="33" customWidth="1"/>
    <col min="17" max="17" width="33" style="33" customWidth="1"/>
    <col min="18" max="18" width="33.42578125" style="33" customWidth="1"/>
    <col min="19" max="19" width="40" style="33" customWidth="1"/>
    <col min="20" max="20" width="35.28515625" style="33" customWidth="1"/>
    <col min="21" max="21" width="29.85546875" style="42" customWidth="1"/>
    <col min="22" max="22" width="32.42578125" style="40" bestFit="1" customWidth="1"/>
    <col min="23" max="23" width="29" style="40" bestFit="1" customWidth="1"/>
    <col min="24" max="24" width="32.42578125" style="40" bestFit="1" customWidth="1"/>
    <col min="25" max="25" width="29" style="40" bestFit="1" customWidth="1"/>
    <col min="26" max="26" width="26.28515625" style="40" bestFit="1" customWidth="1"/>
    <col min="27" max="27" width="26.28515625" style="40" customWidth="1"/>
    <col min="28" max="28" width="25.5703125" style="40" bestFit="1" customWidth="1"/>
    <col min="29" max="16384" width="9.140625" style="40"/>
  </cols>
  <sheetData>
    <row r="1" spans="1:30" x14ac:dyDescent="0.2">
      <c r="A1" s="34" t="s">
        <v>167</v>
      </c>
      <c r="B1" s="34" t="s">
        <v>168</v>
      </c>
      <c r="C1" s="34" t="s">
        <v>169</v>
      </c>
      <c r="D1" s="36" t="s">
        <v>172</v>
      </c>
      <c r="E1" s="36" t="s">
        <v>173</v>
      </c>
      <c r="F1" s="35" t="s">
        <v>174</v>
      </c>
      <c r="G1" s="43" t="s">
        <v>175</v>
      </c>
      <c r="H1" s="45" t="s">
        <v>183</v>
      </c>
      <c r="I1" s="45" t="s">
        <v>184</v>
      </c>
      <c r="J1" s="47" t="s">
        <v>187</v>
      </c>
      <c r="K1" s="38" t="s">
        <v>188</v>
      </c>
      <c r="L1" s="47" t="s">
        <v>189</v>
      </c>
      <c r="M1" s="38" t="s">
        <v>190</v>
      </c>
      <c r="N1" s="39" t="s">
        <v>191</v>
      </c>
      <c r="O1" s="39" t="s">
        <v>192</v>
      </c>
      <c r="P1" s="39" t="s">
        <v>193</v>
      </c>
      <c r="Q1" s="39" t="s">
        <v>194</v>
      </c>
      <c r="R1" s="39" t="s">
        <v>195</v>
      </c>
      <c r="S1" s="39" t="s">
        <v>196</v>
      </c>
      <c r="T1" s="39" t="s">
        <v>197</v>
      </c>
      <c r="U1" s="38" t="s">
        <v>198</v>
      </c>
      <c r="V1" s="40" t="s">
        <v>408</v>
      </c>
      <c r="W1" s="40" t="s">
        <v>409</v>
      </c>
      <c r="X1" s="40" t="s">
        <v>410</v>
      </c>
      <c r="Y1" s="40" t="s">
        <v>411</v>
      </c>
      <c r="Z1" s="40" t="s">
        <v>385</v>
      </c>
      <c r="AA1" s="40" t="s">
        <v>407</v>
      </c>
      <c r="AB1" s="40" t="s">
        <v>328</v>
      </c>
      <c r="AC1" s="40" t="s">
        <v>412</v>
      </c>
      <c r="AD1" s="40" t="s">
        <v>1272</v>
      </c>
    </row>
    <row r="2" spans="1:30" x14ac:dyDescent="0.2">
      <c r="A2" s="40">
        <v>0</v>
      </c>
      <c r="B2" s="40" t="s">
        <v>199</v>
      </c>
      <c r="C2" s="40">
        <v>380</v>
      </c>
      <c r="D2" s="40">
        <v>719083.34909999999</v>
      </c>
      <c r="E2" s="40">
        <v>80432.968510000006</v>
      </c>
      <c r="F2" s="40">
        <v>136</v>
      </c>
      <c r="G2" s="41">
        <f>F2/(PI()*(8.5/(2*PI()))^2)</f>
        <v>23.654344685852564</v>
      </c>
      <c r="H2" s="46">
        <v>0</v>
      </c>
      <c r="I2" s="48">
        <v>8</v>
      </c>
      <c r="J2" s="46">
        <v>1.885782209063388</v>
      </c>
      <c r="K2" s="42">
        <f>J2*G2</f>
        <v>44.606942375633864</v>
      </c>
      <c r="L2" s="46">
        <v>2.8098899699570712</v>
      </c>
      <c r="M2" s="42">
        <f t="shared" ref="M2:M33" si="0">L2*G2</f>
        <v>66.466105878684473</v>
      </c>
      <c r="N2" s="33">
        <v>91.097363866379993</v>
      </c>
      <c r="O2" s="33">
        <v>38.116932457710448</v>
      </c>
      <c r="P2" s="33">
        <v>1.4788673190221859</v>
      </c>
      <c r="Q2" s="33">
        <v>0</v>
      </c>
      <c r="R2" s="33">
        <v>0</v>
      </c>
      <c r="S2" s="33">
        <v>0.96156082862165793</v>
      </c>
      <c r="T2" s="33">
        <v>7.1045008288680265</v>
      </c>
      <c r="U2" s="42">
        <v>47.661861434222317</v>
      </c>
      <c r="AD2" s="33">
        <f>H2+I2</f>
        <v>8</v>
      </c>
    </row>
    <row r="3" spans="1:30" x14ac:dyDescent="0.2">
      <c r="A3" s="40">
        <v>1</v>
      </c>
      <c r="B3" s="40" t="s">
        <v>200</v>
      </c>
      <c r="C3" s="40">
        <v>220</v>
      </c>
      <c r="D3" s="40">
        <v>590018.35600000003</v>
      </c>
      <c r="E3" s="40">
        <v>97892.569199999896</v>
      </c>
      <c r="F3" s="40">
        <v>341</v>
      </c>
      <c r="G3" s="41">
        <f t="shared" ref="G3:G66" si="1">F3/(PI()*(8.5/(2*PI()))^2)</f>
        <v>59.309790719674439</v>
      </c>
      <c r="H3" s="46">
        <v>0</v>
      </c>
      <c r="I3" s="46">
        <v>8</v>
      </c>
      <c r="J3" s="46">
        <v>1.885782209063388</v>
      </c>
      <c r="K3" s="42">
        <f t="shared" ref="K3:K33" si="2">J3*G3</f>
        <v>111.84534816243489</v>
      </c>
      <c r="L3" s="46">
        <v>2.8098899699570712</v>
      </c>
      <c r="M3" s="42">
        <f t="shared" si="0"/>
        <v>166.65398606346619</v>
      </c>
      <c r="N3" s="33">
        <v>91.097363866379993</v>
      </c>
      <c r="O3" s="33">
        <v>38.116932457710448</v>
      </c>
      <c r="P3" s="33">
        <v>1.4788673190221859</v>
      </c>
      <c r="Q3" s="33">
        <v>0</v>
      </c>
      <c r="R3" s="33">
        <v>0</v>
      </c>
      <c r="S3" s="33">
        <v>0.96156082862165793</v>
      </c>
      <c r="T3" s="33">
        <v>7.1045008288680265</v>
      </c>
      <c r="U3" s="42">
        <v>47.661861434222317</v>
      </c>
      <c r="AD3" s="33">
        <f t="shared" ref="AD3:AD66" si="3">H3+I3</f>
        <v>8</v>
      </c>
    </row>
    <row r="4" spans="1:30" x14ac:dyDescent="0.2">
      <c r="A4" s="40">
        <v>2</v>
      </c>
      <c r="B4" s="40" t="s">
        <v>201</v>
      </c>
      <c r="C4" s="40">
        <v>220</v>
      </c>
      <c r="D4" s="40">
        <v>640127.96019999904</v>
      </c>
      <c r="E4" s="40">
        <v>103848.8263</v>
      </c>
      <c r="F4" s="40">
        <v>581</v>
      </c>
      <c r="G4" s="41">
        <f t="shared" si="1"/>
        <v>101.05275193000249</v>
      </c>
      <c r="H4" s="46">
        <v>0</v>
      </c>
      <c r="I4" s="46">
        <v>8</v>
      </c>
      <c r="J4" s="46">
        <v>1.885782209063388</v>
      </c>
      <c r="K4" s="42">
        <f t="shared" si="2"/>
        <v>190.56348176649465</v>
      </c>
      <c r="L4" s="46">
        <v>2.8098899699570712</v>
      </c>
      <c r="M4" s="42">
        <f t="shared" si="0"/>
        <v>283.94711408467407</v>
      </c>
      <c r="N4" s="33">
        <v>91.097363866379993</v>
      </c>
      <c r="O4" s="33">
        <v>38.116932457710448</v>
      </c>
      <c r="P4" s="33">
        <v>1.4788673190221859</v>
      </c>
      <c r="Q4" s="33">
        <v>0</v>
      </c>
      <c r="R4" s="33">
        <v>0</v>
      </c>
      <c r="S4" s="33">
        <v>0.96156082862165793</v>
      </c>
      <c r="T4" s="33">
        <v>7.1045008288680265</v>
      </c>
      <c r="U4" s="42">
        <v>47.661861434222317</v>
      </c>
      <c r="AD4" s="33">
        <f t="shared" si="3"/>
        <v>8</v>
      </c>
    </row>
    <row r="5" spans="1:30" x14ac:dyDescent="0.2">
      <c r="A5" s="40">
        <v>3</v>
      </c>
      <c r="B5" s="40" t="s">
        <v>202</v>
      </c>
      <c r="C5" s="40">
        <v>220</v>
      </c>
      <c r="D5" s="40">
        <v>562195.61040000001</v>
      </c>
      <c r="E5" s="40">
        <v>100097.2069</v>
      </c>
      <c r="F5" s="40">
        <v>112</v>
      </c>
      <c r="G5" s="41">
        <f t="shared" si="1"/>
        <v>19.480048564819757</v>
      </c>
      <c r="H5" s="46">
        <v>0</v>
      </c>
      <c r="I5" s="46">
        <v>8</v>
      </c>
      <c r="J5" s="46">
        <v>1.885782209063388</v>
      </c>
      <c r="K5" s="42">
        <f t="shared" si="2"/>
        <v>36.735129015227884</v>
      </c>
      <c r="L5" s="46">
        <v>2.8098899699570712</v>
      </c>
      <c r="M5" s="42">
        <f t="shared" si="0"/>
        <v>54.736793076563679</v>
      </c>
      <c r="N5" s="33">
        <v>91.097363866379993</v>
      </c>
      <c r="O5" s="33">
        <v>38.116932457710448</v>
      </c>
      <c r="P5" s="33">
        <v>1.4788673190221859</v>
      </c>
      <c r="Q5" s="33">
        <v>0</v>
      </c>
      <c r="R5" s="33">
        <v>0</v>
      </c>
      <c r="S5" s="33">
        <v>0.96156082862165793</v>
      </c>
      <c r="T5" s="33">
        <v>7.1045008288680265</v>
      </c>
      <c r="U5" s="42">
        <v>47.661861434222317</v>
      </c>
      <c r="AD5" s="33">
        <f t="shared" si="3"/>
        <v>8</v>
      </c>
    </row>
    <row r="6" spans="1:30" x14ac:dyDescent="0.2">
      <c r="A6" s="40">
        <v>4</v>
      </c>
      <c r="B6" s="40" t="s">
        <v>203</v>
      </c>
      <c r="C6" s="40">
        <v>220</v>
      </c>
      <c r="D6" s="40">
        <v>562833.85400000005</v>
      </c>
      <c r="E6" s="40">
        <v>101258.644</v>
      </c>
      <c r="F6" s="40">
        <v>71</v>
      </c>
      <c r="G6" s="41">
        <f t="shared" si="1"/>
        <v>12.348959358055382</v>
      </c>
      <c r="H6" s="46">
        <v>0</v>
      </c>
      <c r="I6" s="46">
        <v>8</v>
      </c>
      <c r="J6" s="46">
        <v>1.885782209063388</v>
      </c>
      <c r="K6" s="42">
        <f t="shared" si="2"/>
        <v>23.287447857867676</v>
      </c>
      <c r="L6" s="46">
        <v>2.8098899699570712</v>
      </c>
      <c r="M6" s="42">
        <f t="shared" si="0"/>
        <v>34.699217039607326</v>
      </c>
      <c r="N6" s="33">
        <v>91.097363866379993</v>
      </c>
      <c r="O6" s="33">
        <v>38.116932457710448</v>
      </c>
      <c r="P6" s="33">
        <v>1.4788673190221859</v>
      </c>
      <c r="Q6" s="33">
        <v>0</v>
      </c>
      <c r="R6" s="33">
        <v>0</v>
      </c>
      <c r="S6" s="33">
        <v>0.96156082862165793</v>
      </c>
      <c r="T6" s="33">
        <v>7.1045008288680265</v>
      </c>
      <c r="U6" s="42">
        <v>47.661861434222317</v>
      </c>
      <c r="AD6" s="33">
        <f t="shared" si="3"/>
        <v>8</v>
      </c>
    </row>
    <row r="7" spans="1:30" x14ac:dyDescent="0.2">
      <c r="A7" s="40">
        <v>5</v>
      </c>
      <c r="B7" s="40" t="s">
        <v>204</v>
      </c>
      <c r="C7" s="40">
        <v>380</v>
      </c>
      <c r="D7" s="40">
        <v>570903.01509999903</v>
      </c>
      <c r="E7" s="40">
        <v>106761.3006</v>
      </c>
      <c r="F7" s="40">
        <v>238</v>
      </c>
      <c r="G7" s="41">
        <f t="shared" si="1"/>
        <v>41.395103200241984</v>
      </c>
      <c r="H7" s="46">
        <v>0</v>
      </c>
      <c r="I7" s="46">
        <v>8</v>
      </c>
      <c r="J7" s="46">
        <v>1.885782209063388</v>
      </c>
      <c r="K7" s="42">
        <f t="shared" si="2"/>
        <v>78.062149157359244</v>
      </c>
      <c r="L7" s="46">
        <v>2.8098899699570712</v>
      </c>
      <c r="M7" s="42">
        <f t="shared" si="0"/>
        <v>116.3156852876978</v>
      </c>
      <c r="N7" s="33">
        <v>91.097363866379993</v>
      </c>
      <c r="O7" s="33">
        <v>38.116932457710448</v>
      </c>
      <c r="P7" s="33">
        <v>1.4788673190221859</v>
      </c>
      <c r="Q7" s="33">
        <v>0</v>
      </c>
      <c r="R7" s="33">
        <v>0</v>
      </c>
      <c r="S7" s="33">
        <v>0.96156082862165793</v>
      </c>
      <c r="T7" s="33">
        <v>7.1045008288680265</v>
      </c>
      <c r="U7" s="42">
        <v>47.661861434222317</v>
      </c>
      <c r="AD7" s="33">
        <f t="shared" si="3"/>
        <v>8</v>
      </c>
    </row>
    <row r="8" spans="1:30" x14ac:dyDescent="0.2">
      <c r="A8" s="40">
        <v>6</v>
      </c>
      <c r="B8" s="40" t="s">
        <v>205</v>
      </c>
      <c r="C8" s="40">
        <v>220</v>
      </c>
      <c r="D8" s="40">
        <v>582373.90610000002</v>
      </c>
      <c r="E8" s="40">
        <v>112076.34059999901</v>
      </c>
      <c r="F8" s="40">
        <v>151</v>
      </c>
      <c r="G8" s="41">
        <f t="shared" si="1"/>
        <v>26.263279761498065</v>
      </c>
      <c r="H8" s="46">
        <v>0</v>
      </c>
      <c r="I8" s="46">
        <v>8</v>
      </c>
      <c r="J8" s="46">
        <v>1.885782209063388</v>
      </c>
      <c r="K8" s="42">
        <f t="shared" si="2"/>
        <v>49.526825725887591</v>
      </c>
      <c r="L8" s="46">
        <v>2.8098899699570712</v>
      </c>
      <c r="M8" s="42">
        <f t="shared" si="0"/>
        <v>73.79692638000995</v>
      </c>
      <c r="N8" s="33">
        <v>91.097363866379993</v>
      </c>
      <c r="O8" s="33">
        <v>38.116932457710448</v>
      </c>
      <c r="P8" s="33">
        <v>1.4788673190221859</v>
      </c>
      <c r="Q8" s="33">
        <v>0</v>
      </c>
      <c r="R8" s="33">
        <v>0</v>
      </c>
      <c r="S8" s="33">
        <v>0.96156082862165793</v>
      </c>
      <c r="T8" s="33">
        <v>7.1045008288680265</v>
      </c>
      <c r="U8" s="42">
        <v>47.661861434222317</v>
      </c>
      <c r="AD8" s="33">
        <f t="shared" si="3"/>
        <v>8</v>
      </c>
    </row>
    <row r="9" spans="1:30" x14ac:dyDescent="0.2">
      <c r="A9" s="40">
        <v>7</v>
      </c>
      <c r="B9" s="40" t="s">
        <v>206</v>
      </c>
      <c r="C9" s="40">
        <v>220</v>
      </c>
      <c r="D9" s="40">
        <v>590044.28370000003</v>
      </c>
      <c r="E9" s="40">
        <v>97908.418539999897</v>
      </c>
      <c r="F9" s="40">
        <v>420</v>
      </c>
      <c r="G9" s="41">
        <f t="shared" si="1"/>
        <v>73.05018211807409</v>
      </c>
      <c r="H9" s="46">
        <v>0</v>
      </c>
      <c r="I9" s="46">
        <v>8</v>
      </c>
      <c r="J9" s="46">
        <v>1.885782209063388</v>
      </c>
      <c r="K9" s="42">
        <f t="shared" si="2"/>
        <v>137.75673380710455</v>
      </c>
      <c r="L9" s="46">
        <v>2.8098899699570712</v>
      </c>
      <c r="M9" s="42">
        <f t="shared" si="0"/>
        <v>205.26297403711379</v>
      </c>
      <c r="N9" s="33">
        <v>91.097363866379993</v>
      </c>
      <c r="O9" s="33">
        <v>38.116932457710448</v>
      </c>
      <c r="P9" s="33">
        <v>1.4788673190221859</v>
      </c>
      <c r="Q9" s="33">
        <v>0</v>
      </c>
      <c r="R9" s="33">
        <v>0</v>
      </c>
      <c r="S9" s="33">
        <v>0.96156082862165793</v>
      </c>
      <c r="T9" s="33">
        <v>7.1045008288680265</v>
      </c>
      <c r="U9" s="42">
        <v>47.661861434222317</v>
      </c>
      <c r="AD9" s="33">
        <f t="shared" si="3"/>
        <v>8</v>
      </c>
    </row>
    <row r="10" spans="1:30" x14ac:dyDescent="0.2">
      <c r="A10" s="40">
        <v>8</v>
      </c>
      <c r="B10" s="40" t="s">
        <v>207</v>
      </c>
      <c r="C10" s="40">
        <v>220</v>
      </c>
      <c r="D10" s="40">
        <v>714780.82559999905</v>
      </c>
      <c r="E10" s="40">
        <v>98716.252539999899</v>
      </c>
      <c r="F10" s="40">
        <v>250</v>
      </c>
      <c r="G10" s="41">
        <f t="shared" si="1"/>
        <v>43.482251260758389</v>
      </c>
      <c r="H10" s="46">
        <v>0</v>
      </c>
      <c r="I10" s="46">
        <v>8</v>
      </c>
      <c r="J10" s="46">
        <v>1.885782209063388</v>
      </c>
      <c r="K10" s="42">
        <f t="shared" si="2"/>
        <v>81.998055837562248</v>
      </c>
      <c r="L10" s="46">
        <v>2.8098899699570712</v>
      </c>
      <c r="M10" s="42">
        <f t="shared" si="0"/>
        <v>122.1803416887582</v>
      </c>
      <c r="N10" s="33">
        <v>91.097363866379993</v>
      </c>
      <c r="O10" s="33">
        <v>38.116932457710448</v>
      </c>
      <c r="P10" s="33">
        <v>1.4788673190221859</v>
      </c>
      <c r="Q10" s="33">
        <v>0</v>
      </c>
      <c r="R10" s="33">
        <v>0</v>
      </c>
      <c r="S10" s="33">
        <v>0.96156082862165793</v>
      </c>
      <c r="T10" s="33">
        <v>7.1045008288680265</v>
      </c>
      <c r="U10" s="42">
        <v>47.661861434222317</v>
      </c>
      <c r="AD10" s="33">
        <f t="shared" si="3"/>
        <v>8</v>
      </c>
    </row>
    <row r="11" spans="1:30" x14ac:dyDescent="0.2">
      <c r="A11" s="40">
        <v>9</v>
      </c>
      <c r="B11" s="40" t="s">
        <v>208</v>
      </c>
      <c r="C11" s="40">
        <v>220</v>
      </c>
      <c r="D11" s="40">
        <v>698993.70929999906</v>
      </c>
      <c r="E11" s="40">
        <v>110005.44629999901</v>
      </c>
      <c r="F11" s="40">
        <v>137</v>
      </c>
      <c r="G11" s="41">
        <f t="shared" si="1"/>
        <v>23.828273690895596</v>
      </c>
      <c r="H11" s="46">
        <v>0</v>
      </c>
      <c r="I11" s="46">
        <v>8</v>
      </c>
      <c r="J11" s="46">
        <v>1.885782209063388</v>
      </c>
      <c r="K11" s="42">
        <f t="shared" si="2"/>
        <v>44.934934598984107</v>
      </c>
      <c r="L11" s="46">
        <v>2.8098899699570712</v>
      </c>
      <c r="M11" s="42">
        <f t="shared" si="0"/>
        <v>66.954827245439503</v>
      </c>
      <c r="N11" s="33">
        <v>91.097363866379993</v>
      </c>
      <c r="O11" s="33">
        <v>38.116932457710448</v>
      </c>
      <c r="P11" s="33">
        <v>1.4788673190221859</v>
      </c>
      <c r="Q11" s="33">
        <v>0</v>
      </c>
      <c r="R11" s="33">
        <v>0</v>
      </c>
      <c r="S11" s="33">
        <v>0.96156082862165793</v>
      </c>
      <c r="T11" s="33">
        <v>7.1045008288680265</v>
      </c>
      <c r="U11" s="42">
        <v>47.661861434222317</v>
      </c>
      <c r="AD11" s="33">
        <f t="shared" si="3"/>
        <v>8</v>
      </c>
    </row>
    <row r="12" spans="1:30" x14ac:dyDescent="0.2">
      <c r="A12" s="40">
        <v>10</v>
      </c>
      <c r="B12" s="40" t="s">
        <v>209</v>
      </c>
      <c r="C12" s="40">
        <v>220</v>
      </c>
      <c r="D12" s="40">
        <v>652579.70869999903</v>
      </c>
      <c r="E12" s="40">
        <v>113224.568799999</v>
      </c>
      <c r="F12" s="40">
        <v>47</v>
      </c>
      <c r="G12" s="41">
        <f t="shared" si="1"/>
        <v>8.1746632370225765</v>
      </c>
      <c r="H12" s="46">
        <v>0</v>
      </c>
      <c r="I12" s="46">
        <v>8</v>
      </c>
      <c r="J12" s="46">
        <v>1.885782209063388</v>
      </c>
      <c r="K12" s="42">
        <f t="shared" si="2"/>
        <v>15.415634497461701</v>
      </c>
      <c r="L12" s="46">
        <v>2.8098899699570712</v>
      </c>
      <c r="M12" s="42">
        <f t="shared" si="0"/>
        <v>22.969904237486542</v>
      </c>
      <c r="N12" s="33">
        <v>91.097363866379993</v>
      </c>
      <c r="O12" s="33">
        <v>38.116932457710448</v>
      </c>
      <c r="P12" s="33">
        <v>1.4788673190221859</v>
      </c>
      <c r="Q12" s="33">
        <v>0</v>
      </c>
      <c r="R12" s="33">
        <v>0</v>
      </c>
      <c r="S12" s="33">
        <v>0.96156082862165793</v>
      </c>
      <c r="T12" s="33">
        <v>7.1045008288680265</v>
      </c>
      <c r="U12" s="42">
        <v>47.661861434222317</v>
      </c>
      <c r="AD12" s="33">
        <f t="shared" si="3"/>
        <v>8</v>
      </c>
    </row>
    <row r="13" spans="1:30" x14ac:dyDescent="0.2">
      <c r="A13" s="40">
        <v>11</v>
      </c>
      <c r="B13" s="40" t="s">
        <v>210</v>
      </c>
      <c r="C13" s="40">
        <v>220</v>
      </c>
      <c r="D13" s="40">
        <v>585444.48470000003</v>
      </c>
      <c r="E13" s="40">
        <v>115049.813299999</v>
      </c>
      <c r="F13" s="40">
        <v>204</v>
      </c>
      <c r="G13" s="41">
        <f t="shared" si="1"/>
        <v>35.481517028778846</v>
      </c>
      <c r="H13" s="46">
        <v>0</v>
      </c>
      <c r="I13" s="46">
        <v>8</v>
      </c>
      <c r="J13" s="46">
        <v>1.885782209063388</v>
      </c>
      <c r="K13" s="42">
        <f t="shared" si="2"/>
        <v>66.910413563450788</v>
      </c>
      <c r="L13" s="46">
        <v>2.8098899699570712</v>
      </c>
      <c r="M13" s="42">
        <f t="shared" si="0"/>
        <v>99.699158818026703</v>
      </c>
      <c r="N13" s="33">
        <v>91.097363866379993</v>
      </c>
      <c r="O13" s="33">
        <v>38.116932457710448</v>
      </c>
      <c r="P13" s="33">
        <v>1.4788673190221859</v>
      </c>
      <c r="Q13" s="33">
        <v>0</v>
      </c>
      <c r="R13" s="33">
        <v>0</v>
      </c>
      <c r="S13" s="33">
        <v>0.96156082862165793</v>
      </c>
      <c r="T13" s="33">
        <v>7.1045008288680265</v>
      </c>
      <c r="U13" s="42">
        <v>47.661861434222317</v>
      </c>
      <c r="AD13" s="33">
        <f t="shared" si="3"/>
        <v>8</v>
      </c>
    </row>
    <row r="14" spans="1:30" x14ac:dyDescent="0.2">
      <c r="A14" s="40">
        <v>12</v>
      </c>
      <c r="B14" s="40" t="s">
        <v>211</v>
      </c>
      <c r="C14" s="40">
        <v>220</v>
      </c>
      <c r="D14" s="40">
        <v>713877.57720000006</v>
      </c>
      <c r="E14" s="40">
        <v>113482.8285</v>
      </c>
      <c r="F14" s="40">
        <v>210</v>
      </c>
      <c r="G14" s="41">
        <f t="shared" si="1"/>
        <v>36.525091059037045</v>
      </c>
      <c r="H14" s="46">
        <v>0</v>
      </c>
      <c r="I14" s="46">
        <v>8</v>
      </c>
      <c r="J14" s="46">
        <v>1.885782209063388</v>
      </c>
      <c r="K14" s="42">
        <f t="shared" si="2"/>
        <v>68.878366903552276</v>
      </c>
      <c r="L14" s="46">
        <v>2.8098899699570712</v>
      </c>
      <c r="M14" s="42">
        <f t="shared" si="0"/>
        <v>102.6314870185569</v>
      </c>
      <c r="N14" s="33">
        <v>91.097363866379993</v>
      </c>
      <c r="O14" s="33">
        <v>38.116932457710448</v>
      </c>
      <c r="P14" s="33">
        <v>1.4788673190221859</v>
      </c>
      <c r="Q14" s="33">
        <v>0</v>
      </c>
      <c r="R14" s="33">
        <v>0</v>
      </c>
      <c r="S14" s="33">
        <v>0.96156082862165793</v>
      </c>
      <c r="T14" s="33">
        <v>7.1045008288680265</v>
      </c>
      <c r="U14" s="42">
        <v>47.661861434222317</v>
      </c>
      <c r="AD14" s="33">
        <f t="shared" si="3"/>
        <v>8</v>
      </c>
    </row>
    <row r="15" spans="1:30" x14ac:dyDescent="0.2">
      <c r="A15" s="40">
        <v>13</v>
      </c>
      <c r="B15" s="40" t="s">
        <v>212</v>
      </c>
      <c r="C15" s="40">
        <v>220</v>
      </c>
      <c r="D15" s="40">
        <v>648832.42579999904</v>
      </c>
      <c r="E15" s="40">
        <v>115531.1621</v>
      </c>
      <c r="F15" s="40">
        <v>128</v>
      </c>
      <c r="G15" s="41">
        <f t="shared" si="1"/>
        <v>22.262912645508294</v>
      </c>
      <c r="H15" s="46">
        <v>0</v>
      </c>
      <c r="I15" s="46">
        <v>8</v>
      </c>
      <c r="J15" s="46">
        <v>1.885782209063388</v>
      </c>
      <c r="K15" s="42">
        <f t="shared" si="2"/>
        <v>41.983004588831868</v>
      </c>
      <c r="L15" s="46">
        <v>2.8098899699570712</v>
      </c>
      <c r="M15" s="42">
        <f t="shared" si="0"/>
        <v>62.556334944644199</v>
      </c>
      <c r="N15" s="33">
        <v>91.097363866379993</v>
      </c>
      <c r="O15" s="33">
        <v>38.116932457710448</v>
      </c>
      <c r="P15" s="33">
        <v>1.4788673190221859</v>
      </c>
      <c r="Q15" s="33">
        <v>0</v>
      </c>
      <c r="R15" s="33">
        <v>0</v>
      </c>
      <c r="S15" s="33">
        <v>0.96156082862165793</v>
      </c>
      <c r="T15" s="33">
        <v>7.1045008288680265</v>
      </c>
      <c r="U15" s="42">
        <v>47.661861434222317</v>
      </c>
      <c r="AD15" s="33">
        <f t="shared" si="3"/>
        <v>8</v>
      </c>
    </row>
    <row r="16" spans="1:30" x14ac:dyDescent="0.2">
      <c r="A16" s="40">
        <v>14</v>
      </c>
      <c r="B16" s="40" t="s">
        <v>213</v>
      </c>
      <c r="C16" s="40">
        <v>380</v>
      </c>
      <c r="D16" s="40">
        <v>558222.72299999895</v>
      </c>
      <c r="E16" s="40">
        <v>101366.637</v>
      </c>
      <c r="F16" s="40">
        <v>83</v>
      </c>
      <c r="G16" s="41">
        <f t="shared" si="1"/>
        <v>14.436107418571785</v>
      </c>
      <c r="H16" s="46">
        <v>0</v>
      </c>
      <c r="I16" s="46">
        <v>8</v>
      </c>
      <c r="J16" s="46">
        <v>1.885782209063388</v>
      </c>
      <c r="K16" s="42">
        <f t="shared" si="2"/>
        <v>27.223354538070666</v>
      </c>
      <c r="L16" s="46">
        <v>2.8098899699570712</v>
      </c>
      <c r="M16" s="42">
        <f t="shared" si="0"/>
        <v>40.563873440667727</v>
      </c>
      <c r="N16" s="33">
        <v>91.097363866379993</v>
      </c>
      <c r="O16" s="33">
        <v>38.116932457710448</v>
      </c>
      <c r="P16" s="33">
        <v>1.4788673190221859</v>
      </c>
      <c r="Q16" s="33">
        <v>0</v>
      </c>
      <c r="R16" s="33">
        <v>0</v>
      </c>
      <c r="S16" s="33">
        <v>0.96156082862165793</v>
      </c>
      <c r="T16" s="33">
        <v>7.1045008288680265</v>
      </c>
      <c r="U16" s="42">
        <v>47.661861434222317</v>
      </c>
      <c r="AD16" s="33">
        <f t="shared" si="3"/>
        <v>8</v>
      </c>
    </row>
    <row r="17" spans="1:30" x14ac:dyDescent="0.2">
      <c r="A17" s="40">
        <v>15</v>
      </c>
      <c r="B17" s="40" t="s">
        <v>214</v>
      </c>
      <c r="C17" s="40">
        <v>220</v>
      </c>
      <c r="D17" s="40">
        <v>564250.81169999903</v>
      </c>
      <c r="E17" s="40">
        <v>124189.2289</v>
      </c>
      <c r="F17" s="40">
        <v>411</v>
      </c>
      <c r="G17" s="41">
        <f t="shared" si="1"/>
        <v>71.484821072686785</v>
      </c>
      <c r="H17" s="46">
        <v>0</v>
      </c>
      <c r="I17" s="46">
        <v>8</v>
      </c>
      <c r="J17" s="46">
        <v>1.885782209063388</v>
      </c>
      <c r="K17" s="42">
        <f t="shared" si="2"/>
        <v>134.80480379695231</v>
      </c>
      <c r="L17" s="46">
        <v>2.8098899699570712</v>
      </c>
      <c r="M17" s="42">
        <f t="shared" si="0"/>
        <v>200.86448173631848</v>
      </c>
      <c r="N17" s="33">
        <v>91.097363866379993</v>
      </c>
      <c r="O17" s="33">
        <v>38.116932457710448</v>
      </c>
      <c r="P17" s="33">
        <v>1.4788673190221859</v>
      </c>
      <c r="Q17" s="33">
        <v>0</v>
      </c>
      <c r="R17" s="33">
        <v>0</v>
      </c>
      <c r="S17" s="33">
        <v>0.96156082862165793</v>
      </c>
      <c r="T17" s="33">
        <v>7.1045008288680265</v>
      </c>
      <c r="U17" s="42">
        <v>47.661861434222317</v>
      </c>
      <c r="AD17" s="33">
        <f t="shared" si="3"/>
        <v>8</v>
      </c>
    </row>
    <row r="18" spans="1:30" x14ac:dyDescent="0.2">
      <c r="A18" s="40">
        <v>16</v>
      </c>
      <c r="B18" s="40" t="s">
        <v>215</v>
      </c>
      <c r="C18" s="40">
        <v>220</v>
      </c>
      <c r="D18" s="40">
        <v>654956.44169999904</v>
      </c>
      <c r="E18" s="40">
        <v>116509.68739999901</v>
      </c>
      <c r="F18" s="40">
        <v>19</v>
      </c>
      <c r="G18" s="41">
        <f t="shared" si="1"/>
        <v>3.3046510958176376</v>
      </c>
      <c r="H18" s="46">
        <v>0</v>
      </c>
      <c r="I18" s="46">
        <v>8</v>
      </c>
      <c r="J18" s="46">
        <v>1.885782209063388</v>
      </c>
      <c r="K18" s="42">
        <f t="shared" si="2"/>
        <v>6.2318522436547301</v>
      </c>
      <c r="L18" s="46">
        <v>2.8098899699570712</v>
      </c>
      <c r="M18" s="42">
        <f t="shared" si="0"/>
        <v>9.2857059683456242</v>
      </c>
      <c r="N18" s="33">
        <v>91.097363866379993</v>
      </c>
      <c r="O18" s="33">
        <v>38.116932457710448</v>
      </c>
      <c r="P18" s="33">
        <v>1.4788673190221859</v>
      </c>
      <c r="Q18" s="33">
        <v>0</v>
      </c>
      <c r="R18" s="33">
        <v>0</v>
      </c>
      <c r="S18" s="33">
        <v>0.96156082862165793</v>
      </c>
      <c r="T18" s="33">
        <v>7.1045008288680265</v>
      </c>
      <c r="U18" s="42">
        <v>47.661861434222317</v>
      </c>
      <c r="AD18" s="33">
        <f t="shared" si="3"/>
        <v>8</v>
      </c>
    </row>
    <row r="19" spans="1:30" x14ac:dyDescent="0.2">
      <c r="A19" s="40">
        <v>17</v>
      </c>
      <c r="B19" s="40" t="s">
        <v>216</v>
      </c>
      <c r="C19" s="40">
        <v>220</v>
      </c>
      <c r="D19" s="40">
        <v>595031.56000000006</v>
      </c>
      <c r="E19" s="40">
        <v>119014.96400000001</v>
      </c>
      <c r="F19" s="40">
        <v>403</v>
      </c>
      <c r="G19" s="41">
        <f t="shared" si="1"/>
        <v>70.093389032342515</v>
      </c>
      <c r="H19" s="46">
        <v>0</v>
      </c>
      <c r="I19" s="46">
        <v>8</v>
      </c>
      <c r="J19" s="46">
        <v>1.885782209063388</v>
      </c>
      <c r="K19" s="42">
        <f t="shared" si="2"/>
        <v>132.18086601015031</v>
      </c>
      <c r="L19" s="46">
        <v>2.8098899699570712</v>
      </c>
      <c r="M19" s="42">
        <f t="shared" si="0"/>
        <v>196.95471080227821</v>
      </c>
      <c r="N19" s="33">
        <v>91.097363866379993</v>
      </c>
      <c r="O19" s="33">
        <v>38.116932457710448</v>
      </c>
      <c r="P19" s="33">
        <v>1.4788673190221859</v>
      </c>
      <c r="Q19" s="33">
        <v>0</v>
      </c>
      <c r="R19" s="33">
        <v>0</v>
      </c>
      <c r="S19" s="33">
        <v>0.96156082862165793</v>
      </c>
      <c r="T19" s="33">
        <v>7.1045008288680265</v>
      </c>
      <c r="U19" s="42">
        <v>47.661861434222317</v>
      </c>
      <c r="AD19" s="33">
        <f t="shared" si="3"/>
        <v>8</v>
      </c>
    </row>
    <row r="20" spans="1:30" x14ac:dyDescent="0.2">
      <c r="A20" s="40">
        <v>18</v>
      </c>
      <c r="B20" s="40" t="s">
        <v>217</v>
      </c>
      <c r="C20" s="40">
        <v>220</v>
      </c>
      <c r="D20" s="40">
        <v>609247.82389999903</v>
      </c>
      <c r="E20" s="40">
        <v>126393.97530000001</v>
      </c>
      <c r="F20" s="40">
        <v>807</v>
      </c>
      <c r="G20" s="41">
        <f t="shared" si="1"/>
        <v>140.36070706972808</v>
      </c>
      <c r="H20" s="46">
        <v>0</v>
      </c>
      <c r="I20" s="46">
        <v>8</v>
      </c>
      <c r="J20" s="46">
        <v>1.885782209063388</v>
      </c>
      <c r="K20" s="42">
        <f t="shared" si="2"/>
        <v>264.68972424365091</v>
      </c>
      <c r="L20" s="46">
        <v>2.8098899699570712</v>
      </c>
      <c r="M20" s="42">
        <f t="shared" si="0"/>
        <v>394.39814297131153</v>
      </c>
      <c r="N20" s="33">
        <v>91.097363866379993</v>
      </c>
      <c r="O20" s="33">
        <v>38.116932457710448</v>
      </c>
      <c r="P20" s="33">
        <v>1.4788673190221859</v>
      </c>
      <c r="Q20" s="33">
        <v>0</v>
      </c>
      <c r="R20" s="33">
        <v>0</v>
      </c>
      <c r="S20" s="33">
        <v>0.96156082862165793</v>
      </c>
      <c r="T20" s="33">
        <v>7.1045008288680265</v>
      </c>
      <c r="U20" s="42">
        <v>47.661861434222317</v>
      </c>
      <c r="AD20" s="33">
        <f t="shared" si="3"/>
        <v>8</v>
      </c>
    </row>
    <row r="21" spans="1:30" x14ac:dyDescent="0.2">
      <c r="A21" s="40">
        <v>19</v>
      </c>
      <c r="B21" s="40" t="s">
        <v>218</v>
      </c>
      <c r="C21" s="40">
        <v>220</v>
      </c>
      <c r="D21" s="40">
        <v>633695.91090000002</v>
      </c>
      <c r="E21" s="40">
        <v>120926.304999999</v>
      </c>
      <c r="F21" s="40">
        <v>460</v>
      </c>
      <c r="G21" s="41">
        <f t="shared" si="1"/>
        <v>80.007342319795427</v>
      </c>
      <c r="H21" s="46">
        <v>0</v>
      </c>
      <c r="I21" s="46">
        <v>8</v>
      </c>
      <c r="J21" s="46">
        <v>1.885782209063388</v>
      </c>
      <c r="K21" s="42">
        <f t="shared" si="2"/>
        <v>150.87642274111451</v>
      </c>
      <c r="L21" s="46">
        <v>2.8098899699570712</v>
      </c>
      <c r="M21" s="42">
        <f t="shared" si="0"/>
        <v>224.81182870731507</v>
      </c>
      <c r="N21" s="33">
        <v>91.097363866379993</v>
      </c>
      <c r="O21" s="33">
        <v>38.116932457710448</v>
      </c>
      <c r="P21" s="33">
        <v>1.4788673190221859</v>
      </c>
      <c r="Q21" s="33">
        <v>0</v>
      </c>
      <c r="R21" s="33">
        <v>0</v>
      </c>
      <c r="S21" s="33">
        <v>0.96156082862165793</v>
      </c>
      <c r="T21" s="33">
        <v>7.1045008288680265</v>
      </c>
      <c r="U21" s="42">
        <v>47.661861434222317</v>
      </c>
      <c r="AD21" s="33">
        <f t="shared" si="3"/>
        <v>8</v>
      </c>
    </row>
    <row r="22" spans="1:30" x14ac:dyDescent="0.2">
      <c r="A22" s="40">
        <v>20</v>
      </c>
      <c r="B22" s="40" t="s">
        <v>219</v>
      </c>
      <c r="C22" s="40">
        <v>220</v>
      </c>
      <c r="D22" s="40">
        <v>491069.67099999898</v>
      </c>
      <c r="E22" s="40">
        <v>116563.5935</v>
      </c>
      <c r="F22" s="40">
        <v>105</v>
      </c>
      <c r="G22" s="41">
        <f t="shared" si="1"/>
        <v>18.262545529518523</v>
      </c>
      <c r="H22" s="46">
        <v>3.1153846153846101</v>
      </c>
      <c r="I22" s="46">
        <v>3.0659596408060601</v>
      </c>
      <c r="J22" s="46">
        <v>1.959234901897974</v>
      </c>
      <c r="K22" s="42">
        <f t="shared" si="2"/>
        <v>35.780616598933506</v>
      </c>
      <c r="L22" s="46">
        <v>2.9200870812213502</v>
      </c>
      <c r="M22" s="42">
        <f t="shared" si="0"/>
        <v>53.328223270963761</v>
      </c>
      <c r="N22" s="33">
        <v>98.220668756193533</v>
      </c>
      <c r="O22" s="33">
        <v>35.72653321113777</v>
      </c>
      <c r="P22" s="33">
        <v>1.4788673190221859</v>
      </c>
      <c r="Q22" s="33">
        <v>0</v>
      </c>
      <c r="R22" s="33">
        <v>0</v>
      </c>
      <c r="S22" s="33">
        <v>0.96156082862165793</v>
      </c>
      <c r="T22" s="33">
        <v>7.4419647826354725</v>
      </c>
      <c r="U22" s="42">
        <v>45.608926141417086</v>
      </c>
      <c r="AD22" s="33">
        <f t="shared" si="3"/>
        <v>6.1813442561906697</v>
      </c>
    </row>
    <row r="23" spans="1:30" x14ac:dyDescent="0.2">
      <c r="A23" s="40">
        <v>21</v>
      </c>
      <c r="B23" s="40" t="s">
        <v>220</v>
      </c>
      <c r="C23" s="40">
        <v>220</v>
      </c>
      <c r="D23" s="40">
        <v>723010.32339999895</v>
      </c>
      <c r="E23" s="40">
        <v>120233.61149999899</v>
      </c>
      <c r="F23" s="40">
        <v>272</v>
      </c>
      <c r="G23" s="41">
        <f t="shared" si="1"/>
        <v>47.308689371705128</v>
      </c>
      <c r="H23" s="46">
        <v>0</v>
      </c>
      <c r="I23" s="46">
        <v>8</v>
      </c>
      <c r="J23" s="46">
        <v>1.885782209063388</v>
      </c>
      <c r="K23" s="42">
        <f t="shared" si="2"/>
        <v>89.213884751267727</v>
      </c>
      <c r="L23" s="46">
        <v>2.8098899699570712</v>
      </c>
      <c r="M23" s="42">
        <f t="shared" si="0"/>
        <v>132.93221175736895</v>
      </c>
      <c r="N23" s="33">
        <v>91.097363866379993</v>
      </c>
      <c r="O23" s="33">
        <v>38.116932457710448</v>
      </c>
      <c r="P23" s="33">
        <v>1.4788673190221859</v>
      </c>
      <c r="Q23" s="33">
        <v>0</v>
      </c>
      <c r="R23" s="33">
        <v>0</v>
      </c>
      <c r="S23" s="33">
        <v>0.96156082862165793</v>
      </c>
      <c r="T23" s="33">
        <v>7.1045008288680265</v>
      </c>
      <c r="U23" s="42">
        <v>47.661861434222317</v>
      </c>
      <c r="AD23" s="33">
        <f t="shared" si="3"/>
        <v>8</v>
      </c>
    </row>
    <row r="24" spans="1:30" x14ac:dyDescent="0.2">
      <c r="A24" s="40">
        <v>22</v>
      </c>
      <c r="B24" s="40" t="s">
        <v>221</v>
      </c>
      <c r="C24" s="40">
        <v>220</v>
      </c>
      <c r="D24" s="40">
        <v>701235.54929999902</v>
      </c>
      <c r="E24" s="40">
        <v>117234.97999999901</v>
      </c>
      <c r="F24" s="40">
        <v>242</v>
      </c>
      <c r="G24" s="41">
        <f t="shared" si="1"/>
        <v>42.090819220414119</v>
      </c>
      <c r="H24" s="46">
        <v>0</v>
      </c>
      <c r="I24" s="46">
        <v>8</v>
      </c>
      <c r="J24" s="46">
        <v>1.885782209063388</v>
      </c>
      <c r="K24" s="42">
        <f t="shared" si="2"/>
        <v>79.374118050760245</v>
      </c>
      <c r="L24" s="46">
        <v>2.8098899699570712</v>
      </c>
      <c r="M24" s="42">
        <f t="shared" si="0"/>
        <v>118.27057075471794</v>
      </c>
      <c r="N24" s="33">
        <v>91.097363866379993</v>
      </c>
      <c r="O24" s="33">
        <v>38.116932457710448</v>
      </c>
      <c r="P24" s="33">
        <v>1.4788673190221859</v>
      </c>
      <c r="Q24" s="33">
        <v>0</v>
      </c>
      <c r="R24" s="33">
        <v>0</v>
      </c>
      <c r="S24" s="33">
        <v>0.96156082862165793</v>
      </c>
      <c r="T24" s="33">
        <v>7.1045008288680265</v>
      </c>
      <c r="U24" s="42">
        <v>47.661861434222317</v>
      </c>
      <c r="AD24" s="33">
        <f t="shared" si="3"/>
        <v>8</v>
      </c>
    </row>
    <row r="25" spans="1:30" x14ac:dyDescent="0.2">
      <c r="A25" s="40">
        <v>23</v>
      </c>
      <c r="B25" s="40" t="s">
        <v>222</v>
      </c>
      <c r="C25" s="40">
        <v>220</v>
      </c>
      <c r="D25" s="40">
        <v>643982.13840000005</v>
      </c>
      <c r="E25" s="40">
        <v>131643.899899999</v>
      </c>
      <c r="F25" s="40">
        <v>311</v>
      </c>
      <c r="G25" s="41">
        <f t="shared" si="1"/>
        <v>54.091920568383436</v>
      </c>
      <c r="H25" s="46">
        <v>0</v>
      </c>
      <c r="I25" s="46">
        <v>8</v>
      </c>
      <c r="J25" s="46">
        <v>1.885782209063388</v>
      </c>
      <c r="K25" s="42">
        <f t="shared" si="2"/>
        <v>102.00558146192743</v>
      </c>
      <c r="L25" s="46">
        <v>2.8098899699570712</v>
      </c>
      <c r="M25" s="42">
        <f t="shared" si="0"/>
        <v>151.99234506081521</v>
      </c>
      <c r="N25" s="33">
        <v>91.097363866379993</v>
      </c>
      <c r="O25" s="33">
        <v>38.116932457710448</v>
      </c>
      <c r="P25" s="33">
        <v>1.4788673190221859</v>
      </c>
      <c r="Q25" s="33">
        <v>0</v>
      </c>
      <c r="R25" s="33">
        <v>0</v>
      </c>
      <c r="S25" s="33">
        <v>0.96156082862165793</v>
      </c>
      <c r="T25" s="33">
        <v>7.1045008288680265</v>
      </c>
      <c r="U25" s="42">
        <v>47.661861434222317</v>
      </c>
      <c r="AD25" s="33">
        <f t="shared" si="3"/>
        <v>8</v>
      </c>
    </row>
    <row r="26" spans="1:30" x14ac:dyDescent="0.2">
      <c r="A26" s="40">
        <v>24</v>
      </c>
      <c r="B26" s="40" t="s">
        <v>223</v>
      </c>
      <c r="C26" s="40">
        <v>220</v>
      </c>
      <c r="D26" s="40">
        <v>718642.505</v>
      </c>
      <c r="E26" s="40">
        <v>132525.4155</v>
      </c>
      <c r="F26" s="40">
        <v>190</v>
      </c>
      <c r="G26" s="41">
        <f t="shared" si="1"/>
        <v>33.046510958176377</v>
      </c>
      <c r="H26" s="46">
        <v>0</v>
      </c>
      <c r="I26" s="46">
        <v>8</v>
      </c>
      <c r="J26" s="46">
        <v>1.885782209063388</v>
      </c>
      <c r="K26" s="42">
        <f t="shared" si="2"/>
        <v>62.318522436547305</v>
      </c>
      <c r="L26" s="46">
        <v>2.8098899699570712</v>
      </c>
      <c r="M26" s="42">
        <f t="shared" si="0"/>
        <v>92.857059683456242</v>
      </c>
      <c r="N26" s="33">
        <v>91.097363866379993</v>
      </c>
      <c r="O26" s="33">
        <v>38.116932457710448</v>
      </c>
      <c r="P26" s="33">
        <v>1.4788673190221859</v>
      </c>
      <c r="Q26" s="33">
        <v>0</v>
      </c>
      <c r="R26" s="33">
        <v>0</v>
      </c>
      <c r="S26" s="33">
        <v>0.96156082862165793</v>
      </c>
      <c r="T26" s="33">
        <v>7.1045008288680265</v>
      </c>
      <c r="U26" s="42">
        <v>47.661861434222317</v>
      </c>
      <c r="AD26" s="33">
        <f t="shared" si="3"/>
        <v>8</v>
      </c>
    </row>
    <row r="27" spans="1:30" x14ac:dyDescent="0.2">
      <c r="A27" s="40">
        <v>25</v>
      </c>
      <c r="B27" s="40" t="s">
        <v>224</v>
      </c>
      <c r="C27" s="40">
        <v>220</v>
      </c>
      <c r="D27" s="40">
        <v>759964.93599999906</v>
      </c>
      <c r="E27" s="40">
        <v>133825.1128</v>
      </c>
      <c r="F27" s="40">
        <v>111</v>
      </c>
      <c r="G27" s="41">
        <f t="shared" si="1"/>
        <v>19.306119559776725</v>
      </c>
      <c r="H27" s="46">
        <v>0</v>
      </c>
      <c r="I27" s="46">
        <v>8</v>
      </c>
      <c r="J27" s="46">
        <v>1.885782209063388</v>
      </c>
      <c r="K27" s="42">
        <f t="shared" si="2"/>
        <v>36.40713679187764</v>
      </c>
      <c r="L27" s="46">
        <v>2.8098899699570712</v>
      </c>
      <c r="M27" s="42">
        <f t="shared" si="0"/>
        <v>54.248071709808649</v>
      </c>
      <c r="N27" s="33">
        <v>91.097363866379993</v>
      </c>
      <c r="O27" s="33">
        <v>38.116932457710448</v>
      </c>
      <c r="P27" s="33">
        <v>1.4788673190221859</v>
      </c>
      <c r="Q27" s="33">
        <v>0</v>
      </c>
      <c r="R27" s="33">
        <v>0</v>
      </c>
      <c r="S27" s="33">
        <v>0.96156082862165793</v>
      </c>
      <c r="T27" s="33">
        <v>7.1045008288680265</v>
      </c>
      <c r="U27" s="42">
        <v>47.661861434222317</v>
      </c>
      <c r="AD27" s="33">
        <f t="shared" si="3"/>
        <v>8</v>
      </c>
    </row>
    <row r="28" spans="1:30" x14ac:dyDescent="0.2">
      <c r="A28" s="40">
        <v>26</v>
      </c>
      <c r="B28" s="40" t="s">
        <v>225</v>
      </c>
      <c r="C28" s="40">
        <v>220</v>
      </c>
      <c r="D28" s="40">
        <v>690198.96979999903</v>
      </c>
      <c r="E28" s="40">
        <v>133157.177499999</v>
      </c>
      <c r="F28" s="40">
        <v>311</v>
      </c>
      <c r="G28" s="41">
        <f t="shared" si="1"/>
        <v>54.091920568383436</v>
      </c>
      <c r="H28" s="46">
        <v>0</v>
      </c>
      <c r="I28" s="46">
        <v>8</v>
      </c>
      <c r="J28" s="46">
        <v>1.885782209063388</v>
      </c>
      <c r="K28" s="42">
        <f t="shared" si="2"/>
        <v>102.00558146192743</v>
      </c>
      <c r="L28" s="46">
        <v>2.8098899699570712</v>
      </c>
      <c r="M28" s="42">
        <f t="shared" si="0"/>
        <v>151.99234506081521</v>
      </c>
      <c r="N28" s="33">
        <v>91.097363866379993</v>
      </c>
      <c r="O28" s="33">
        <v>38.116932457710448</v>
      </c>
      <c r="P28" s="33">
        <v>1.4788673190221859</v>
      </c>
      <c r="Q28" s="33">
        <v>0</v>
      </c>
      <c r="R28" s="33">
        <v>0</v>
      </c>
      <c r="S28" s="33">
        <v>0.96156082862165793</v>
      </c>
      <c r="T28" s="33">
        <v>7.1045008288680265</v>
      </c>
      <c r="U28" s="42">
        <v>47.661861434222317</v>
      </c>
      <c r="AD28" s="33">
        <f t="shared" si="3"/>
        <v>8</v>
      </c>
    </row>
    <row r="29" spans="1:30" x14ac:dyDescent="0.2">
      <c r="A29" s="40">
        <v>27</v>
      </c>
      <c r="B29" s="40" t="s">
        <v>226</v>
      </c>
      <c r="C29" s="40">
        <v>220</v>
      </c>
      <c r="D29" s="40">
        <v>736796.09820000001</v>
      </c>
      <c r="E29" s="40">
        <v>133773.07680000001</v>
      </c>
      <c r="F29" s="40">
        <v>356</v>
      </c>
      <c r="G29" s="41">
        <f t="shared" si="1"/>
        <v>61.918725795319943</v>
      </c>
      <c r="H29" s="46">
        <v>0</v>
      </c>
      <c r="I29" s="46">
        <v>8</v>
      </c>
      <c r="J29" s="46">
        <v>1.885782209063388</v>
      </c>
      <c r="K29" s="42">
        <f t="shared" si="2"/>
        <v>116.76523151268863</v>
      </c>
      <c r="L29" s="46">
        <v>2.8098899699570712</v>
      </c>
      <c r="M29" s="42">
        <f t="shared" si="0"/>
        <v>173.98480656479168</v>
      </c>
      <c r="N29" s="33">
        <v>91.097363866379993</v>
      </c>
      <c r="O29" s="33">
        <v>38.116932457710448</v>
      </c>
      <c r="P29" s="33">
        <v>1.4788673190221859</v>
      </c>
      <c r="Q29" s="33">
        <v>0</v>
      </c>
      <c r="R29" s="33">
        <v>0</v>
      </c>
      <c r="S29" s="33">
        <v>0.96156082862165793</v>
      </c>
      <c r="T29" s="33">
        <v>7.1045008288680265</v>
      </c>
      <c r="U29" s="42">
        <v>47.661861434222317</v>
      </c>
      <c r="AD29" s="33">
        <f t="shared" si="3"/>
        <v>8</v>
      </c>
    </row>
    <row r="30" spans="1:30" x14ac:dyDescent="0.2">
      <c r="A30" s="40">
        <v>28</v>
      </c>
      <c r="B30" s="40" t="s">
        <v>227</v>
      </c>
      <c r="C30" s="40">
        <v>220</v>
      </c>
      <c r="D30" s="40">
        <v>646505.22089999903</v>
      </c>
      <c r="E30" s="40">
        <v>133673.99290000001</v>
      </c>
      <c r="F30" s="40">
        <v>205</v>
      </c>
      <c r="G30" s="41">
        <f t="shared" si="1"/>
        <v>35.655446033821875</v>
      </c>
      <c r="H30" s="46">
        <v>0</v>
      </c>
      <c r="I30" s="46">
        <v>8</v>
      </c>
      <c r="J30" s="46">
        <v>1.885782209063388</v>
      </c>
      <c r="K30" s="42">
        <f t="shared" si="2"/>
        <v>67.238405786801025</v>
      </c>
      <c r="L30" s="46">
        <v>2.8098899699570712</v>
      </c>
      <c r="M30" s="42">
        <f t="shared" si="0"/>
        <v>100.18788018478172</v>
      </c>
      <c r="N30" s="33">
        <v>91.097363866379993</v>
      </c>
      <c r="O30" s="33">
        <v>38.116932457710448</v>
      </c>
      <c r="P30" s="33">
        <v>1.4788673190221859</v>
      </c>
      <c r="Q30" s="33">
        <v>0</v>
      </c>
      <c r="R30" s="33">
        <v>0</v>
      </c>
      <c r="S30" s="33">
        <v>0.96156082862165793</v>
      </c>
      <c r="T30" s="33">
        <v>7.1045008288680265</v>
      </c>
      <c r="U30" s="42">
        <v>47.661861434222317</v>
      </c>
      <c r="AD30" s="33">
        <f t="shared" si="3"/>
        <v>8</v>
      </c>
    </row>
    <row r="31" spans="1:30" x14ac:dyDescent="0.2">
      <c r="A31" s="40">
        <v>29</v>
      </c>
      <c r="B31" s="40" t="s">
        <v>228</v>
      </c>
      <c r="C31" s="40">
        <v>380</v>
      </c>
      <c r="D31" s="40">
        <v>801915.05940000003</v>
      </c>
      <c r="E31" s="40">
        <v>136409.949599999</v>
      </c>
      <c r="F31" s="40">
        <v>328</v>
      </c>
      <c r="G31" s="41">
        <f t="shared" si="1"/>
        <v>57.048713654115005</v>
      </c>
      <c r="H31" s="46">
        <v>0</v>
      </c>
      <c r="I31" s="46">
        <v>8</v>
      </c>
      <c r="J31" s="46">
        <v>1.885782209063388</v>
      </c>
      <c r="K31" s="42">
        <f t="shared" si="2"/>
        <v>107.58144925888166</v>
      </c>
      <c r="L31" s="46">
        <v>2.8098899699570712</v>
      </c>
      <c r="M31" s="42">
        <f t="shared" si="0"/>
        <v>160.30060829565076</v>
      </c>
      <c r="N31" s="33">
        <v>91.097363866379993</v>
      </c>
      <c r="O31" s="33">
        <v>38.116932457710448</v>
      </c>
      <c r="P31" s="33">
        <v>1.4788673190221859</v>
      </c>
      <c r="Q31" s="33">
        <v>0</v>
      </c>
      <c r="R31" s="33">
        <v>0</v>
      </c>
      <c r="S31" s="33">
        <v>0.96156082862165793</v>
      </c>
      <c r="T31" s="33">
        <v>7.1045008288680265</v>
      </c>
      <c r="U31" s="42">
        <v>47.661861434222317</v>
      </c>
      <c r="AD31" s="33">
        <f t="shared" si="3"/>
        <v>8</v>
      </c>
    </row>
    <row r="32" spans="1:30" x14ac:dyDescent="0.2">
      <c r="A32" s="40">
        <v>30</v>
      </c>
      <c r="B32" s="40" t="s">
        <v>229</v>
      </c>
      <c r="C32" s="40">
        <v>220</v>
      </c>
      <c r="D32" s="40">
        <v>714547.14709999901</v>
      </c>
      <c r="E32" s="40">
        <v>136055.97810000001</v>
      </c>
      <c r="F32" s="40">
        <v>185</v>
      </c>
      <c r="G32" s="41">
        <f t="shared" si="1"/>
        <v>32.176865932961206</v>
      </c>
      <c r="H32" s="46">
        <v>0</v>
      </c>
      <c r="I32" s="46">
        <v>8</v>
      </c>
      <c r="J32" s="46">
        <v>1.885782209063388</v>
      </c>
      <c r="K32" s="42">
        <f t="shared" si="2"/>
        <v>60.67856131979606</v>
      </c>
      <c r="L32" s="46">
        <v>2.8098899699570712</v>
      </c>
      <c r="M32" s="42">
        <f t="shared" si="0"/>
        <v>90.413452849681065</v>
      </c>
      <c r="N32" s="33">
        <v>91.097363866379993</v>
      </c>
      <c r="O32" s="33">
        <v>38.116932457710448</v>
      </c>
      <c r="P32" s="33">
        <v>1.4788673190221859</v>
      </c>
      <c r="Q32" s="33">
        <v>0</v>
      </c>
      <c r="R32" s="33">
        <v>0</v>
      </c>
      <c r="S32" s="33">
        <v>0.96156082862165793</v>
      </c>
      <c r="T32" s="33">
        <v>7.1045008288680265</v>
      </c>
      <c r="U32" s="42">
        <v>47.661861434222317</v>
      </c>
      <c r="AD32" s="33">
        <f t="shared" si="3"/>
        <v>8</v>
      </c>
    </row>
    <row r="33" spans="1:30" x14ac:dyDescent="0.2">
      <c r="A33" s="40">
        <v>31</v>
      </c>
      <c r="B33" s="40" t="s">
        <v>230</v>
      </c>
      <c r="C33" s="40">
        <v>220</v>
      </c>
      <c r="D33" s="40">
        <v>683906.38109999895</v>
      </c>
      <c r="E33" s="40">
        <v>140629.44560000001</v>
      </c>
      <c r="F33" s="40">
        <v>74</v>
      </c>
      <c r="G33" s="41">
        <f t="shared" si="1"/>
        <v>12.870746373184483</v>
      </c>
      <c r="H33" s="46">
        <v>0</v>
      </c>
      <c r="I33" s="46">
        <v>8</v>
      </c>
      <c r="J33" s="46">
        <v>1.885782209063388</v>
      </c>
      <c r="K33" s="42">
        <f t="shared" si="2"/>
        <v>24.271424527918423</v>
      </c>
      <c r="L33" s="46">
        <v>2.8098899699570712</v>
      </c>
      <c r="M33" s="42">
        <f t="shared" si="0"/>
        <v>36.16538113987243</v>
      </c>
      <c r="N33" s="33">
        <v>91.097363866379993</v>
      </c>
      <c r="O33" s="33">
        <v>38.116932457710448</v>
      </c>
      <c r="P33" s="33">
        <v>1.4788673190221859</v>
      </c>
      <c r="Q33" s="33">
        <v>0</v>
      </c>
      <c r="R33" s="33">
        <v>0</v>
      </c>
      <c r="S33" s="33">
        <v>0.96156082862165793</v>
      </c>
      <c r="T33" s="33">
        <v>7.1045008288680265</v>
      </c>
      <c r="U33" s="42">
        <v>47.661861434222317</v>
      </c>
      <c r="AD33" s="33">
        <f t="shared" si="3"/>
        <v>8</v>
      </c>
    </row>
    <row r="34" spans="1:30" x14ac:dyDescent="0.2">
      <c r="A34" s="40">
        <v>32</v>
      </c>
      <c r="B34" s="40" t="s">
        <v>231</v>
      </c>
      <c r="C34" s="40">
        <v>220</v>
      </c>
      <c r="D34" s="40">
        <v>690345.92220000003</v>
      </c>
      <c r="E34" s="40">
        <v>140819.29469999901</v>
      </c>
      <c r="F34" s="40">
        <v>124</v>
      </c>
      <c r="G34" s="41">
        <f t="shared" si="1"/>
        <v>21.567196625336159</v>
      </c>
      <c r="H34" s="46">
        <v>0</v>
      </c>
      <c r="I34" s="46">
        <v>8</v>
      </c>
      <c r="J34" s="46">
        <v>1.885782209063388</v>
      </c>
      <c r="K34" s="42">
        <f t="shared" ref="K34:K65" si="4">J34*G34</f>
        <v>40.671035695430866</v>
      </c>
      <c r="L34" s="46">
        <v>2.8098899699570712</v>
      </c>
      <c r="M34" s="42">
        <f t="shared" ref="M34:M65" si="5">L34*G34</f>
        <v>60.601449477624065</v>
      </c>
      <c r="N34" s="33">
        <v>91.097363866379993</v>
      </c>
      <c r="O34" s="33">
        <v>38.116932457710448</v>
      </c>
      <c r="P34" s="33">
        <v>1.4788673190221859</v>
      </c>
      <c r="Q34" s="33">
        <v>0</v>
      </c>
      <c r="R34" s="33">
        <v>0</v>
      </c>
      <c r="S34" s="33">
        <v>0.96156082862165793</v>
      </c>
      <c r="T34" s="33">
        <v>7.1045008288680265</v>
      </c>
      <c r="U34" s="42">
        <v>47.661861434222317</v>
      </c>
      <c r="AD34" s="33">
        <f t="shared" si="3"/>
        <v>8</v>
      </c>
    </row>
    <row r="35" spans="1:30" x14ac:dyDescent="0.2">
      <c r="A35" s="40">
        <v>33</v>
      </c>
      <c r="B35" s="40" t="s">
        <v>232</v>
      </c>
      <c r="C35" s="40">
        <v>220</v>
      </c>
      <c r="D35" s="40">
        <v>707685.68099999905</v>
      </c>
      <c r="E35" s="40">
        <v>143910.46400000001</v>
      </c>
      <c r="F35" s="40">
        <v>106</v>
      </c>
      <c r="G35" s="41">
        <f t="shared" si="1"/>
        <v>18.436474534561555</v>
      </c>
      <c r="H35" s="46">
        <v>0</v>
      </c>
      <c r="I35" s="46">
        <v>8</v>
      </c>
      <c r="J35" s="46">
        <v>1.885782209063388</v>
      </c>
      <c r="K35" s="42">
        <f t="shared" si="4"/>
        <v>34.767175675126389</v>
      </c>
      <c r="L35" s="46">
        <v>2.8098899699570712</v>
      </c>
      <c r="M35" s="42">
        <f t="shared" si="5"/>
        <v>51.804464876033478</v>
      </c>
      <c r="N35" s="33">
        <v>91.097363866379993</v>
      </c>
      <c r="O35" s="33">
        <v>38.116932457710448</v>
      </c>
      <c r="P35" s="33">
        <v>1.4788673190221859</v>
      </c>
      <c r="Q35" s="33">
        <v>0</v>
      </c>
      <c r="R35" s="33">
        <v>0</v>
      </c>
      <c r="S35" s="33">
        <v>0.96156082862165793</v>
      </c>
      <c r="T35" s="33">
        <v>7.1045008288680265</v>
      </c>
      <c r="U35" s="42">
        <v>47.661861434222317</v>
      </c>
      <c r="AD35" s="33">
        <f t="shared" si="3"/>
        <v>8</v>
      </c>
    </row>
    <row r="36" spans="1:30" x14ac:dyDescent="0.2">
      <c r="A36" s="40">
        <v>34</v>
      </c>
      <c r="B36" s="40" t="s">
        <v>233</v>
      </c>
      <c r="C36" s="40">
        <v>220</v>
      </c>
      <c r="D36" s="40">
        <v>653352.88630000001</v>
      </c>
      <c r="E36" s="40">
        <v>138658.092</v>
      </c>
      <c r="F36" s="40">
        <v>423</v>
      </c>
      <c r="G36" s="41">
        <f t="shared" si="1"/>
        <v>73.571969133203197</v>
      </c>
      <c r="H36" s="46">
        <v>0</v>
      </c>
      <c r="I36" s="46">
        <v>8</v>
      </c>
      <c r="J36" s="46">
        <v>1.885782209063388</v>
      </c>
      <c r="K36" s="42">
        <f t="shared" si="4"/>
        <v>138.74071047715532</v>
      </c>
      <c r="L36" s="46">
        <v>2.8098899699570712</v>
      </c>
      <c r="M36" s="42">
        <f t="shared" si="5"/>
        <v>206.7291381373789</v>
      </c>
      <c r="N36" s="33">
        <v>91.097363866379993</v>
      </c>
      <c r="O36" s="33">
        <v>38.116932457710448</v>
      </c>
      <c r="P36" s="33">
        <v>1.4788673190221859</v>
      </c>
      <c r="Q36" s="33">
        <v>0</v>
      </c>
      <c r="R36" s="33">
        <v>0</v>
      </c>
      <c r="S36" s="33">
        <v>0.96156082862165793</v>
      </c>
      <c r="T36" s="33">
        <v>7.1045008288680265</v>
      </c>
      <c r="U36" s="42">
        <v>47.661861434222317</v>
      </c>
      <c r="AD36" s="33">
        <f t="shared" si="3"/>
        <v>8</v>
      </c>
    </row>
    <row r="37" spans="1:30" x14ac:dyDescent="0.2">
      <c r="A37" s="40">
        <v>35</v>
      </c>
      <c r="B37" s="40" t="s">
        <v>234</v>
      </c>
      <c r="C37" s="40">
        <v>220</v>
      </c>
      <c r="D37" s="40">
        <v>499432.3407</v>
      </c>
      <c r="E37" s="40">
        <v>122965.69019999899</v>
      </c>
      <c r="F37" s="40">
        <v>172</v>
      </c>
      <c r="G37" s="41">
        <f t="shared" si="1"/>
        <v>29.915788867401769</v>
      </c>
      <c r="H37" s="46">
        <v>3.7844827586206899</v>
      </c>
      <c r="I37" s="46">
        <v>3.433855722927027</v>
      </c>
      <c r="J37" s="46">
        <v>1.920793319582053</v>
      </c>
      <c r="K37" s="42">
        <f t="shared" si="4"/>
        <v>57.46204740653247</v>
      </c>
      <c r="L37" s="46">
        <v>2.8662776295136534</v>
      </c>
      <c r="M37" s="42">
        <f t="shared" si="5"/>
        <v>85.746956399887281</v>
      </c>
      <c r="N37" s="33">
        <v>93.934008165126798</v>
      </c>
      <c r="O37" s="33">
        <v>37.089534550688477</v>
      </c>
      <c r="P37" s="33">
        <v>1.4788673190221859</v>
      </c>
      <c r="Q37" s="33">
        <v>0</v>
      </c>
      <c r="R37" s="33">
        <v>0</v>
      </c>
      <c r="S37" s="33">
        <v>0.96156082862165793</v>
      </c>
      <c r="T37" s="33">
        <v>7.2542519600440798</v>
      </c>
      <c r="U37" s="42">
        <v>46.784214658376406</v>
      </c>
      <c r="AD37" s="33">
        <f t="shared" si="3"/>
        <v>7.2183384815477165</v>
      </c>
    </row>
    <row r="38" spans="1:30" x14ac:dyDescent="0.2">
      <c r="A38" s="40">
        <v>36</v>
      </c>
      <c r="B38" s="40" t="s">
        <v>235</v>
      </c>
      <c r="C38" s="40">
        <v>220</v>
      </c>
      <c r="D38" s="40">
        <v>587371.22600000002</v>
      </c>
      <c r="E38" s="40">
        <v>149066.78729999901</v>
      </c>
      <c r="F38" s="40">
        <v>756</v>
      </c>
      <c r="G38" s="41">
        <f t="shared" si="1"/>
        <v>131.49032781253337</v>
      </c>
      <c r="H38" s="46">
        <v>0</v>
      </c>
      <c r="I38" s="46">
        <v>8</v>
      </c>
      <c r="J38" s="46">
        <v>1.885782209063388</v>
      </c>
      <c r="K38" s="42">
        <f t="shared" si="4"/>
        <v>247.96212085278822</v>
      </c>
      <c r="L38" s="46">
        <v>2.8098899699570712</v>
      </c>
      <c r="M38" s="42">
        <f t="shared" si="5"/>
        <v>369.47335326680479</v>
      </c>
      <c r="N38" s="33">
        <v>91.097363866379993</v>
      </c>
      <c r="O38" s="33">
        <v>38.116932457710448</v>
      </c>
      <c r="P38" s="33">
        <v>1.4788673190221859</v>
      </c>
      <c r="Q38" s="33">
        <v>0</v>
      </c>
      <c r="R38" s="33">
        <v>0</v>
      </c>
      <c r="S38" s="33">
        <v>0.96156082862165793</v>
      </c>
      <c r="T38" s="33">
        <v>7.1045008288680265</v>
      </c>
      <c r="U38" s="42">
        <v>47.661861434222317</v>
      </c>
      <c r="AD38" s="33">
        <f t="shared" si="3"/>
        <v>8</v>
      </c>
    </row>
    <row r="39" spans="1:30" x14ac:dyDescent="0.2">
      <c r="A39" s="40">
        <v>37</v>
      </c>
      <c r="B39" s="40" t="s">
        <v>236</v>
      </c>
      <c r="C39" s="40">
        <v>220</v>
      </c>
      <c r="D39" s="40">
        <v>667278.88899999997</v>
      </c>
      <c r="E39" s="40">
        <v>149939.334999999</v>
      </c>
      <c r="F39" s="40">
        <v>229</v>
      </c>
      <c r="G39" s="41">
        <f t="shared" si="1"/>
        <v>39.829742154854685</v>
      </c>
      <c r="H39" s="46">
        <v>0</v>
      </c>
      <c r="I39" s="46">
        <v>8</v>
      </c>
      <c r="J39" s="46">
        <v>1.885782209063388</v>
      </c>
      <c r="K39" s="42">
        <f t="shared" si="4"/>
        <v>75.110219147207019</v>
      </c>
      <c r="L39" s="46">
        <v>2.8098899699570712</v>
      </c>
      <c r="M39" s="42">
        <f t="shared" si="5"/>
        <v>111.91719298690252</v>
      </c>
      <c r="N39" s="33">
        <v>91.097363866379993</v>
      </c>
      <c r="O39" s="33">
        <v>38.116932457710448</v>
      </c>
      <c r="P39" s="33">
        <v>1.4788673190221859</v>
      </c>
      <c r="Q39" s="33">
        <v>0</v>
      </c>
      <c r="R39" s="33">
        <v>0</v>
      </c>
      <c r="S39" s="33">
        <v>0.96156082862165793</v>
      </c>
      <c r="T39" s="33">
        <v>7.1045008288680265</v>
      </c>
      <c r="U39" s="42">
        <v>47.661861434222317</v>
      </c>
      <c r="AD39" s="33">
        <f t="shared" si="3"/>
        <v>8</v>
      </c>
    </row>
    <row r="40" spans="1:30" x14ac:dyDescent="0.2">
      <c r="A40" s="40">
        <v>38</v>
      </c>
      <c r="B40" s="40" t="s">
        <v>237</v>
      </c>
      <c r="C40" s="40">
        <v>220</v>
      </c>
      <c r="D40" s="40">
        <v>682551.25049999903</v>
      </c>
      <c r="E40" s="40">
        <v>144155.059799999</v>
      </c>
      <c r="F40" s="40">
        <v>47</v>
      </c>
      <c r="G40" s="41">
        <f t="shared" si="1"/>
        <v>8.1746632370225765</v>
      </c>
      <c r="H40" s="46">
        <v>0</v>
      </c>
      <c r="I40" s="46">
        <v>8</v>
      </c>
      <c r="J40" s="46">
        <v>1.885782209063388</v>
      </c>
      <c r="K40" s="42">
        <f t="shared" si="4"/>
        <v>15.415634497461701</v>
      </c>
      <c r="L40" s="46">
        <v>2.8098899699570712</v>
      </c>
      <c r="M40" s="42">
        <f t="shared" si="5"/>
        <v>22.969904237486542</v>
      </c>
      <c r="N40" s="33">
        <v>91.097363866379993</v>
      </c>
      <c r="O40" s="33">
        <v>38.116932457710448</v>
      </c>
      <c r="P40" s="33">
        <v>1.4788673190221859</v>
      </c>
      <c r="Q40" s="33">
        <v>0</v>
      </c>
      <c r="R40" s="33">
        <v>0</v>
      </c>
      <c r="S40" s="33">
        <v>0.96156082862165793</v>
      </c>
      <c r="T40" s="33">
        <v>7.1045008288680265</v>
      </c>
      <c r="U40" s="42">
        <v>47.661861434222317</v>
      </c>
      <c r="AD40" s="33">
        <f t="shared" si="3"/>
        <v>8</v>
      </c>
    </row>
    <row r="41" spans="1:30" x14ac:dyDescent="0.2">
      <c r="A41" s="40">
        <v>3</v>
      </c>
      <c r="B41" s="40" t="s">
        <v>238</v>
      </c>
      <c r="C41" s="40">
        <v>220</v>
      </c>
      <c r="D41" s="40">
        <v>504407.51990000001</v>
      </c>
      <c r="E41" s="40">
        <v>135758.42240000001</v>
      </c>
      <c r="F41" s="40">
        <v>372</v>
      </c>
      <c r="G41" s="41">
        <f t="shared" si="1"/>
        <v>64.701589876008484</v>
      </c>
      <c r="H41" s="46">
        <v>3.8388888888888801</v>
      </c>
      <c r="I41" s="46">
        <v>3.4540439119446038</v>
      </c>
      <c r="J41" s="46">
        <v>1.9176533437992622</v>
      </c>
      <c r="K41" s="42">
        <f t="shared" si="4"/>
        <v>124.07522017485616</v>
      </c>
      <c r="L41" s="46">
        <v>2.8614361709933456</v>
      </c>
      <c r="M41" s="42">
        <f t="shared" si="5"/>
        <v>185.13946959198753</v>
      </c>
      <c r="N41" s="33">
        <v>93.651301241672982</v>
      </c>
      <c r="O41" s="33">
        <v>37.187579606893458</v>
      </c>
      <c r="P41" s="33">
        <v>1.4788673190221859</v>
      </c>
      <c r="Q41" s="33">
        <v>0</v>
      </c>
      <c r="R41" s="33">
        <v>0</v>
      </c>
      <c r="S41" s="33">
        <v>0.96156082862165793</v>
      </c>
      <c r="T41" s="33">
        <v>7.2402204696280297</v>
      </c>
      <c r="U41" s="42">
        <v>46.868228224165328</v>
      </c>
      <c r="AD41" s="33">
        <f t="shared" si="3"/>
        <v>7.2929328008334835</v>
      </c>
    </row>
    <row r="42" spans="1:30" x14ac:dyDescent="0.2">
      <c r="A42" s="40">
        <v>40</v>
      </c>
      <c r="B42" s="40" t="s">
        <v>239</v>
      </c>
      <c r="C42" s="40">
        <v>220</v>
      </c>
      <c r="D42" s="40">
        <v>707661.48060000001</v>
      </c>
      <c r="E42" s="40">
        <v>144333.888299999</v>
      </c>
      <c r="F42" s="40">
        <v>138</v>
      </c>
      <c r="G42" s="41">
        <f t="shared" si="1"/>
        <v>24.002202695938628</v>
      </c>
      <c r="H42" s="46">
        <v>0</v>
      </c>
      <c r="I42" s="46">
        <v>8</v>
      </c>
      <c r="J42" s="46">
        <v>1.885782209063388</v>
      </c>
      <c r="K42" s="42">
        <f t="shared" si="4"/>
        <v>45.26292682233435</v>
      </c>
      <c r="L42" s="46">
        <v>2.8098899699570712</v>
      </c>
      <c r="M42" s="42">
        <f t="shared" si="5"/>
        <v>67.443548612194519</v>
      </c>
      <c r="N42" s="33">
        <v>91.097363866379993</v>
      </c>
      <c r="O42" s="33">
        <v>38.116932457710448</v>
      </c>
      <c r="P42" s="33">
        <v>1.4788673190221859</v>
      </c>
      <c r="Q42" s="33">
        <v>0</v>
      </c>
      <c r="R42" s="33">
        <v>0</v>
      </c>
      <c r="S42" s="33">
        <v>0.96156082862165793</v>
      </c>
      <c r="T42" s="33">
        <v>7.1045008288680265</v>
      </c>
      <c r="U42" s="42">
        <v>47.661861434222317</v>
      </c>
      <c r="AD42" s="33">
        <f t="shared" si="3"/>
        <v>8</v>
      </c>
    </row>
    <row r="43" spans="1:30" x14ac:dyDescent="0.2">
      <c r="A43" s="40">
        <v>41</v>
      </c>
      <c r="B43" s="40" t="s">
        <v>240</v>
      </c>
      <c r="C43" s="40">
        <v>220</v>
      </c>
      <c r="D43" s="40">
        <v>679442.84600000002</v>
      </c>
      <c r="E43" s="40">
        <v>149130.372</v>
      </c>
      <c r="F43" s="40">
        <v>117</v>
      </c>
      <c r="G43" s="41">
        <f t="shared" si="1"/>
        <v>20.349693590034924</v>
      </c>
      <c r="H43" s="46">
        <v>0</v>
      </c>
      <c r="I43" s="46">
        <v>8</v>
      </c>
      <c r="J43" s="46">
        <v>1.885782209063388</v>
      </c>
      <c r="K43" s="42">
        <f t="shared" si="4"/>
        <v>38.375090131979128</v>
      </c>
      <c r="L43" s="46">
        <v>2.8098899699570712</v>
      </c>
      <c r="M43" s="42">
        <f t="shared" si="5"/>
        <v>57.180399910338835</v>
      </c>
      <c r="N43" s="33">
        <v>91.097363866379993</v>
      </c>
      <c r="O43" s="33">
        <v>38.116932457710448</v>
      </c>
      <c r="P43" s="33">
        <v>1.4788673190221859</v>
      </c>
      <c r="Q43" s="33">
        <v>0</v>
      </c>
      <c r="R43" s="33">
        <v>0</v>
      </c>
      <c r="S43" s="33">
        <v>0.96156082862165793</v>
      </c>
      <c r="T43" s="33">
        <v>7.1045008288680265</v>
      </c>
      <c r="U43" s="42">
        <v>47.661861434222317</v>
      </c>
      <c r="AD43" s="33">
        <f t="shared" si="3"/>
        <v>8</v>
      </c>
    </row>
    <row r="44" spans="1:30" x14ac:dyDescent="0.2">
      <c r="A44" s="40">
        <v>42</v>
      </c>
      <c r="B44" s="40" t="s">
        <v>241</v>
      </c>
      <c r="C44" s="40">
        <v>220</v>
      </c>
      <c r="D44" s="40">
        <v>688927.73849999905</v>
      </c>
      <c r="E44" s="40">
        <v>153562.672599999</v>
      </c>
      <c r="F44" s="40">
        <v>232</v>
      </c>
      <c r="G44" s="41">
        <f t="shared" si="1"/>
        <v>40.351529169983785</v>
      </c>
      <c r="H44" s="46">
        <v>0</v>
      </c>
      <c r="I44" s="46">
        <v>8</v>
      </c>
      <c r="J44" s="46">
        <v>1.885782209063388</v>
      </c>
      <c r="K44" s="42">
        <f t="shared" si="4"/>
        <v>76.094195817257756</v>
      </c>
      <c r="L44" s="46">
        <v>2.8098899699570712</v>
      </c>
      <c r="M44" s="42">
        <f t="shared" si="5"/>
        <v>113.38335708716762</v>
      </c>
      <c r="N44" s="33">
        <v>91.097363866379993</v>
      </c>
      <c r="O44" s="33">
        <v>38.116932457710448</v>
      </c>
      <c r="P44" s="33">
        <v>1.4788673190221859</v>
      </c>
      <c r="Q44" s="33">
        <v>0</v>
      </c>
      <c r="R44" s="33">
        <v>0</v>
      </c>
      <c r="S44" s="33">
        <v>0.96156082862165793</v>
      </c>
      <c r="T44" s="33">
        <v>7.1045008288680265</v>
      </c>
      <c r="U44" s="42">
        <v>47.661861434222317</v>
      </c>
      <c r="AD44" s="33">
        <f t="shared" si="3"/>
        <v>8</v>
      </c>
    </row>
    <row r="45" spans="1:30" x14ac:dyDescent="0.2">
      <c r="A45" s="40">
        <v>4</v>
      </c>
      <c r="B45" s="40" t="s">
        <v>242</v>
      </c>
      <c r="C45" s="40">
        <v>220</v>
      </c>
      <c r="D45" s="40">
        <v>533546.02720000001</v>
      </c>
      <c r="E45" s="40">
        <v>155419.0963</v>
      </c>
      <c r="F45" s="40">
        <v>121</v>
      </c>
      <c r="G45" s="41">
        <f t="shared" si="1"/>
        <v>21.045409610207059</v>
      </c>
      <c r="H45" s="46">
        <v>3.7708333333333299</v>
      </c>
      <c r="I45" s="46">
        <v>2.8162097357944429</v>
      </c>
      <c r="J45" s="46">
        <v>1.9454432828735564</v>
      </c>
      <c r="K45" s="42">
        <f t="shared" si="4"/>
        <v>40.942650761499912</v>
      </c>
      <c r="L45" s="46">
        <v>2.9024546832996823</v>
      </c>
      <c r="M45" s="42">
        <f t="shared" si="5"/>
        <v>61.083347685105622</v>
      </c>
      <c r="N45" s="33">
        <v>96.449528438164904</v>
      </c>
      <c r="O45" s="33">
        <v>36.259774392203184</v>
      </c>
      <c r="P45" s="33">
        <v>1.4788673190221859</v>
      </c>
      <c r="Q45" s="33">
        <v>0</v>
      </c>
      <c r="R45" s="33">
        <v>0</v>
      </c>
      <c r="S45" s="33">
        <v>0.96156082862165793</v>
      </c>
      <c r="T45" s="33">
        <v>7.3705600833682912</v>
      </c>
      <c r="U45" s="42">
        <v>46.070762623215316</v>
      </c>
      <c r="AD45" s="33">
        <f t="shared" si="3"/>
        <v>6.5870430691277733</v>
      </c>
    </row>
    <row r="46" spans="1:30" x14ac:dyDescent="0.2">
      <c r="A46" s="40">
        <v>5</v>
      </c>
      <c r="B46" s="40" t="s">
        <v>243</v>
      </c>
      <c r="C46" s="40">
        <v>220</v>
      </c>
      <c r="D46" s="40">
        <v>561670.59799999895</v>
      </c>
      <c r="E46" s="40">
        <v>139719.8138</v>
      </c>
      <c r="F46" s="40">
        <v>542</v>
      </c>
      <c r="G46" s="41">
        <f t="shared" si="1"/>
        <v>94.269520733324185</v>
      </c>
      <c r="H46" s="46">
        <v>5</v>
      </c>
      <c r="I46" s="46">
        <v>1.666666666666667</v>
      </c>
      <c r="J46" s="46">
        <v>1.9425299231662256</v>
      </c>
      <c r="K46" s="42">
        <f t="shared" si="4"/>
        <v>183.12136486702116</v>
      </c>
      <c r="L46" s="46">
        <v>2.8982395105916194</v>
      </c>
      <c r="M46" s="42">
        <f t="shared" si="5"/>
        <v>273.215649633856</v>
      </c>
      <c r="N46" s="33">
        <v>96.121540792127149</v>
      </c>
      <c r="O46" s="33">
        <v>36.364429815976628</v>
      </c>
      <c r="P46" s="33">
        <v>1.4788673190221859</v>
      </c>
      <c r="Q46" s="33">
        <v>0</v>
      </c>
      <c r="R46" s="33">
        <v>0</v>
      </c>
      <c r="S46" s="33">
        <v>0.96156082862165793</v>
      </c>
      <c r="T46" s="33">
        <v>7.3560233882933668</v>
      </c>
      <c r="U46" s="42">
        <v>46.160881351913829</v>
      </c>
      <c r="AD46" s="33">
        <f t="shared" si="3"/>
        <v>6.666666666666667</v>
      </c>
    </row>
    <row r="47" spans="1:30" x14ac:dyDescent="0.2">
      <c r="A47" s="40">
        <v>45</v>
      </c>
      <c r="B47" s="40" t="s">
        <v>244</v>
      </c>
      <c r="C47" s="40">
        <v>220</v>
      </c>
      <c r="D47" s="40">
        <v>753153.10809999902</v>
      </c>
      <c r="E47" s="40">
        <v>155316.4541</v>
      </c>
      <c r="F47" s="40">
        <v>234</v>
      </c>
      <c r="G47" s="41">
        <f t="shared" si="1"/>
        <v>40.699387180069849</v>
      </c>
      <c r="H47" s="46">
        <v>0</v>
      </c>
      <c r="I47" s="46">
        <v>8</v>
      </c>
      <c r="J47" s="46">
        <v>1.885782209063388</v>
      </c>
      <c r="K47" s="42">
        <f t="shared" si="4"/>
        <v>76.750180263958256</v>
      </c>
      <c r="L47" s="46">
        <v>2.8098899699570712</v>
      </c>
      <c r="M47" s="42">
        <f t="shared" si="5"/>
        <v>114.36079982067767</v>
      </c>
      <c r="N47" s="33">
        <v>91.097363866379993</v>
      </c>
      <c r="O47" s="33">
        <v>38.116932457710448</v>
      </c>
      <c r="P47" s="33">
        <v>1.4788673190221859</v>
      </c>
      <c r="Q47" s="33">
        <v>0</v>
      </c>
      <c r="R47" s="33">
        <v>0</v>
      </c>
      <c r="S47" s="33">
        <v>0.96156082862165793</v>
      </c>
      <c r="T47" s="33">
        <v>7.1045008288680265</v>
      </c>
      <c r="U47" s="42">
        <v>47.661861434222317</v>
      </c>
      <c r="AD47" s="33">
        <f t="shared" si="3"/>
        <v>8</v>
      </c>
    </row>
    <row r="48" spans="1:30" x14ac:dyDescent="0.2">
      <c r="A48" s="40">
        <v>46</v>
      </c>
      <c r="B48" s="40" t="s">
        <v>245</v>
      </c>
      <c r="C48" s="40">
        <v>220</v>
      </c>
      <c r="D48" s="40">
        <v>770938.46099999896</v>
      </c>
      <c r="E48" s="40">
        <v>138574.5748</v>
      </c>
      <c r="F48" s="40">
        <v>378</v>
      </c>
      <c r="G48" s="41">
        <f t="shared" si="1"/>
        <v>65.745163906266683</v>
      </c>
      <c r="H48" s="46">
        <v>0</v>
      </c>
      <c r="I48" s="46">
        <v>8</v>
      </c>
      <c r="J48" s="46">
        <v>1.885782209063388</v>
      </c>
      <c r="K48" s="42">
        <f t="shared" si="4"/>
        <v>123.98106042639411</v>
      </c>
      <c r="L48" s="46">
        <v>2.8098899699570712</v>
      </c>
      <c r="M48" s="42">
        <f t="shared" si="5"/>
        <v>184.7366766334024</v>
      </c>
      <c r="N48" s="33">
        <v>91.097363866379993</v>
      </c>
      <c r="O48" s="33">
        <v>38.116932457710448</v>
      </c>
      <c r="P48" s="33">
        <v>1.4788673190221859</v>
      </c>
      <c r="Q48" s="33">
        <v>0</v>
      </c>
      <c r="R48" s="33">
        <v>0</v>
      </c>
      <c r="S48" s="33">
        <v>0.96156082862165793</v>
      </c>
      <c r="T48" s="33">
        <v>7.1045008288680265</v>
      </c>
      <c r="U48" s="42">
        <v>47.661861434222317</v>
      </c>
      <c r="AD48" s="33">
        <f t="shared" si="3"/>
        <v>8</v>
      </c>
    </row>
    <row r="49" spans="1:30" x14ac:dyDescent="0.2">
      <c r="A49" s="40">
        <v>47</v>
      </c>
      <c r="B49" s="40" t="s">
        <v>246</v>
      </c>
      <c r="C49" s="40">
        <v>220</v>
      </c>
      <c r="D49" s="40">
        <v>715564.34270000004</v>
      </c>
      <c r="E49" s="40">
        <v>154972.92540000001</v>
      </c>
      <c r="F49" s="40">
        <v>495</v>
      </c>
      <c r="G49" s="41">
        <f t="shared" si="1"/>
        <v>86.0948574963016</v>
      </c>
      <c r="H49" s="46">
        <v>0</v>
      </c>
      <c r="I49" s="46">
        <v>8</v>
      </c>
      <c r="J49" s="46">
        <v>1.885782209063388</v>
      </c>
      <c r="K49" s="42">
        <f t="shared" si="4"/>
        <v>162.35615055837323</v>
      </c>
      <c r="L49" s="46">
        <v>2.8098899699570712</v>
      </c>
      <c r="M49" s="42">
        <f t="shared" si="5"/>
        <v>241.91707654374122</v>
      </c>
      <c r="N49" s="33">
        <v>91.097363866379993</v>
      </c>
      <c r="O49" s="33">
        <v>38.116932457710448</v>
      </c>
      <c r="P49" s="33">
        <v>1.4788673190221859</v>
      </c>
      <c r="Q49" s="33">
        <v>0</v>
      </c>
      <c r="R49" s="33">
        <v>0</v>
      </c>
      <c r="S49" s="33">
        <v>0.96156082862165793</v>
      </c>
      <c r="T49" s="33">
        <v>7.1045008288680265</v>
      </c>
      <c r="U49" s="42">
        <v>47.661861434222317</v>
      </c>
      <c r="AD49" s="33">
        <f t="shared" si="3"/>
        <v>8</v>
      </c>
    </row>
    <row r="50" spans="1:30" x14ac:dyDescent="0.2">
      <c r="A50" s="40">
        <v>48</v>
      </c>
      <c r="B50" s="40" t="s">
        <v>247</v>
      </c>
      <c r="C50" s="40">
        <v>220</v>
      </c>
      <c r="D50" s="40">
        <v>766641.18839999905</v>
      </c>
      <c r="E50" s="40">
        <v>161437.7451</v>
      </c>
      <c r="F50" s="40">
        <v>254</v>
      </c>
      <c r="G50" s="41">
        <f t="shared" si="1"/>
        <v>44.177967280930524</v>
      </c>
      <c r="H50" s="46">
        <v>0</v>
      </c>
      <c r="I50" s="46">
        <v>8</v>
      </c>
      <c r="J50" s="46">
        <v>1.885782209063388</v>
      </c>
      <c r="K50" s="42">
        <f t="shared" si="4"/>
        <v>83.310024730963235</v>
      </c>
      <c r="L50" s="46">
        <v>2.8098899699570712</v>
      </c>
      <c r="M50" s="42">
        <f t="shared" si="5"/>
        <v>124.13522715577834</v>
      </c>
      <c r="N50" s="33">
        <v>91.097363866379993</v>
      </c>
      <c r="O50" s="33">
        <v>38.116932457710448</v>
      </c>
      <c r="P50" s="33">
        <v>1.4788673190221859</v>
      </c>
      <c r="Q50" s="33">
        <v>0</v>
      </c>
      <c r="R50" s="33">
        <v>0</v>
      </c>
      <c r="S50" s="33">
        <v>0.96156082862165793</v>
      </c>
      <c r="T50" s="33">
        <v>7.1045008288680265</v>
      </c>
      <c r="U50" s="42">
        <v>47.661861434222317</v>
      </c>
      <c r="AD50" s="33">
        <f t="shared" si="3"/>
        <v>8</v>
      </c>
    </row>
    <row r="51" spans="1:30" x14ac:dyDescent="0.2">
      <c r="A51" s="40">
        <v>49</v>
      </c>
      <c r="B51" s="40" t="s">
        <v>248</v>
      </c>
      <c r="C51" s="40">
        <v>380</v>
      </c>
      <c r="D51" s="40">
        <v>790127.87619999901</v>
      </c>
      <c r="E51" s="40">
        <v>160629.78270000001</v>
      </c>
      <c r="F51" s="40">
        <v>758</v>
      </c>
      <c r="G51" s="41">
        <f t="shared" si="1"/>
        <v>131.83818582261944</v>
      </c>
      <c r="H51" s="46">
        <v>0</v>
      </c>
      <c r="I51" s="46">
        <v>8</v>
      </c>
      <c r="J51" s="46">
        <v>1.885782209063388</v>
      </c>
      <c r="K51" s="42">
        <f t="shared" si="4"/>
        <v>248.61810529948872</v>
      </c>
      <c r="L51" s="46">
        <v>2.8098899699570712</v>
      </c>
      <c r="M51" s="42">
        <f t="shared" si="5"/>
        <v>370.45079600031488</v>
      </c>
      <c r="N51" s="33">
        <v>91.097363866379993</v>
      </c>
      <c r="O51" s="33">
        <v>38.116932457710448</v>
      </c>
      <c r="P51" s="33">
        <v>1.4788673190221859</v>
      </c>
      <c r="Q51" s="33">
        <v>0</v>
      </c>
      <c r="R51" s="33">
        <v>0</v>
      </c>
      <c r="S51" s="33">
        <v>0.96156082862165793</v>
      </c>
      <c r="T51" s="33">
        <v>7.1045008288680265</v>
      </c>
      <c r="U51" s="42">
        <v>47.661861434222317</v>
      </c>
      <c r="AD51" s="33">
        <f t="shared" si="3"/>
        <v>8</v>
      </c>
    </row>
    <row r="52" spans="1:30" x14ac:dyDescent="0.2">
      <c r="A52" s="40">
        <v>6</v>
      </c>
      <c r="B52" s="40" t="s">
        <v>249</v>
      </c>
      <c r="C52" s="40">
        <v>220</v>
      </c>
      <c r="D52" s="40">
        <v>616648.58219999901</v>
      </c>
      <c r="E52" s="40">
        <v>170127.62549999901</v>
      </c>
      <c r="F52" s="40">
        <v>1123</v>
      </c>
      <c r="G52" s="41">
        <f t="shared" si="1"/>
        <v>195.32227266332669</v>
      </c>
      <c r="H52" s="46">
        <v>6.5630252100840298</v>
      </c>
      <c r="I52" s="46">
        <v>-0.47833287076649</v>
      </c>
      <c r="J52" s="46">
        <v>1.5359682775697634</v>
      </c>
      <c r="K52" s="42">
        <f t="shared" si="4"/>
        <v>300.00881471370155</v>
      </c>
      <c r="L52" s="46">
        <v>2.3527893157303632</v>
      </c>
      <c r="M52" s="42">
        <f t="shared" si="5"/>
        <v>459.55215624644779</v>
      </c>
      <c r="N52" s="33">
        <v>92.416966496016457</v>
      </c>
      <c r="O52" s="33">
        <v>35.599496156401173</v>
      </c>
      <c r="P52" s="33">
        <v>1.4788673190221859</v>
      </c>
      <c r="Q52" s="33">
        <v>0</v>
      </c>
      <c r="R52" s="33">
        <v>0</v>
      </c>
      <c r="S52" s="33">
        <v>0.96156082862165793</v>
      </c>
      <c r="T52" s="33">
        <v>6.2143853549706094</v>
      </c>
      <c r="U52" s="42">
        <v>44.254309659015625</v>
      </c>
      <c r="AD52" s="33">
        <f t="shared" si="3"/>
        <v>6.0846923393175398</v>
      </c>
    </row>
    <row r="53" spans="1:30" x14ac:dyDescent="0.2">
      <c r="A53" s="40">
        <v>51</v>
      </c>
      <c r="B53" s="40" t="s">
        <v>250</v>
      </c>
      <c r="C53" s="40">
        <v>220</v>
      </c>
      <c r="D53" s="40">
        <v>752068.10880000005</v>
      </c>
      <c r="E53" s="40">
        <v>161942.5068</v>
      </c>
      <c r="F53" s="40">
        <v>274</v>
      </c>
      <c r="G53" s="41">
        <f t="shared" si="1"/>
        <v>47.656547381791192</v>
      </c>
      <c r="H53" s="46">
        <v>0</v>
      </c>
      <c r="I53" s="46">
        <v>8</v>
      </c>
      <c r="J53" s="46">
        <v>1.885782209063388</v>
      </c>
      <c r="K53" s="42">
        <f t="shared" si="4"/>
        <v>89.869869197968214</v>
      </c>
      <c r="L53" s="46">
        <v>2.8098899699570712</v>
      </c>
      <c r="M53" s="42">
        <f t="shared" si="5"/>
        <v>133.90965449087901</v>
      </c>
      <c r="N53" s="33">
        <v>91.097363866379993</v>
      </c>
      <c r="O53" s="33">
        <v>38.116932457710448</v>
      </c>
      <c r="P53" s="33">
        <v>1.4788673190221859</v>
      </c>
      <c r="Q53" s="33">
        <v>0</v>
      </c>
      <c r="R53" s="33">
        <v>0</v>
      </c>
      <c r="S53" s="33">
        <v>0.96156082862165793</v>
      </c>
      <c r="T53" s="33">
        <v>7.1045008288680265</v>
      </c>
      <c r="U53" s="42">
        <v>47.661861434222317</v>
      </c>
      <c r="AD53" s="33">
        <f t="shared" si="3"/>
        <v>8</v>
      </c>
    </row>
    <row r="54" spans="1:30" x14ac:dyDescent="0.2">
      <c r="A54" s="40">
        <v>52</v>
      </c>
      <c r="B54" s="40" t="s">
        <v>251</v>
      </c>
      <c r="C54" s="40">
        <v>220</v>
      </c>
      <c r="D54" s="40">
        <v>667857.48869999906</v>
      </c>
      <c r="E54" s="40">
        <v>160604.250399999</v>
      </c>
      <c r="F54" s="40">
        <v>139</v>
      </c>
      <c r="G54" s="41">
        <f t="shared" si="1"/>
        <v>24.176131700981664</v>
      </c>
      <c r="H54" s="46">
        <v>0</v>
      </c>
      <c r="I54" s="46">
        <v>8</v>
      </c>
      <c r="J54" s="46">
        <v>1.885782209063388</v>
      </c>
      <c r="K54" s="42">
        <f t="shared" si="4"/>
        <v>45.590919045684608</v>
      </c>
      <c r="L54" s="46">
        <v>2.8098899699570712</v>
      </c>
      <c r="M54" s="42">
        <f t="shared" si="5"/>
        <v>67.932269978949563</v>
      </c>
      <c r="N54" s="33">
        <v>91.097363866379993</v>
      </c>
      <c r="O54" s="33">
        <v>38.116932457710448</v>
      </c>
      <c r="P54" s="33">
        <v>1.4788673190221859</v>
      </c>
      <c r="Q54" s="33">
        <v>0</v>
      </c>
      <c r="R54" s="33">
        <v>0</v>
      </c>
      <c r="S54" s="33">
        <v>0.96156082862165793</v>
      </c>
      <c r="T54" s="33">
        <v>7.1045008288680265</v>
      </c>
      <c r="U54" s="42">
        <v>47.661861434222317</v>
      </c>
      <c r="AD54" s="33">
        <f t="shared" si="3"/>
        <v>8</v>
      </c>
    </row>
    <row r="55" spans="1:30" x14ac:dyDescent="0.2">
      <c r="A55" s="40">
        <v>53</v>
      </c>
      <c r="B55" s="40" t="s">
        <v>252</v>
      </c>
      <c r="C55" s="40">
        <v>220</v>
      </c>
      <c r="D55" s="40">
        <v>687732.30949999904</v>
      </c>
      <c r="E55" s="40">
        <v>169234.215499999</v>
      </c>
      <c r="F55" s="40">
        <v>308</v>
      </c>
      <c r="G55" s="41">
        <f t="shared" si="1"/>
        <v>53.57013355325433</v>
      </c>
      <c r="H55" s="46">
        <v>0</v>
      </c>
      <c r="I55" s="46">
        <v>8</v>
      </c>
      <c r="J55" s="46">
        <v>1.885782209063388</v>
      </c>
      <c r="K55" s="42">
        <f t="shared" si="4"/>
        <v>101.02160479187667</v>
      </c>
      <c r="L55" s="46">
        <v>2.8098899699570712</v>
      </c>
      <c r="M55" s="42">
        <f t="shared" si="5"/>
        <v>150.52618096055011</v>
      </c>
      <c r="N55" s="33">
        <v>91.097363866379993</v>
      </c>
      <c r="O55" s="33">
        <v>38.116932457710448</v>
      </c>
      <c r="P55" s="33">
        <v>1.4788673190221859</v>
      </c>
      <c r="Q55" s="33">
        <v>0</v>
      </c>
      <c r="R55" s="33">
        <v>0</v>
      </c>
      <c r="S55" s="33">
        <v>0.96156082862165793</v>
      </c>
      <c r="T55" s="33">
        <v>7.1045008288680265</v>
      </c>
      <c r="U55" s="42">
        <v>47.661861434222317</v>
      </c>
      <c r="AD55" s="33">
        <f t="shared" si="3"/>
        <v>8</v>
      </c>
    </row>
    <row r="56" spans="1:30" x14ac:dyDescent="0.2">
      <c r="A56" s="40">
        <v>54</v>
      </c>
      <c r="B56" s="40" t="s">
        <v>253</v>
      </c>
      <c r="C56" s="40">
        <v>220</v>
      </c>
      <c r="D56" s="40">
        <v>701775.6398</v>
      </c>
      <c r="E56" s="40">
        <v>170362.44969999901</v>
      </c>
      <c r="F56" s="40">
        <v>323</v>
      </c>
      <c r="G56" s="41">
        <f t="shared" si="1"/>
        <v>56.179068628899834</v>
      </c>
      <c r="H56" s="46">
        <v>0</v>
      </c>
      <c r="I56" s="46">
        <v>8</v>
      </c>
      <c r="J56" s="46">
        <v>1.885782209063388</v>
      </c>
      <c r="K56" s="42">
        <f t="shared" si="4"/>
        <v>105.94148814213041</v>
      </c>
      <c r="L56" s="46">
        <v>2.8098899699570712</v>
      </c>
      <c r="M56" s="42">
        <f t="shared" si="5"/>
        <v>157.8570014618756</v>
      </c>
      <c r="N56" s="33">
        <v>91.097363866379993</v>
      </c>
      <c r="O56" s="33">
        <v>38.116932457710448</v>
      </c>
      <c r="P56" s="33">
        <v>1.4788673190221859</v>
      </c>
      <c r="Q56" s="33">
        <v>0</v>
      </c>
      <c r="R56" s="33">
        <v>0</v>
      </c>
      <c r="S56" s="33">
        <v>0.96156082862165793</v>
      </c>
      <c r="T56" s="33">
        <v>7.1045008288680265</v>
      </c>
      <c r="U56" s="42">
        <v>47.661861434222317</v>
      </c>
      <c r="AD56" s="33">
        <f t="shared" si="3"/>
        <v>8</v>
      </c>
    </row>
    <row r="57" spans="1:30" x14ac:dyDescent="0.2">
      <c r="A57" s="40">
        <v>55</v>
      </c>
      <c r="B57" s="40" t="s">
        <v>254</v>
      </c>
      <c r="C57" s="40">
        <v>220</v>
      </c>
      <c r="D57" s="40">
        <v>762704.83400000003</v>
      </c>
      <c r="E57" s="40">
        <v>170511.8291</v>
      </c>
      <c r="F57" s="40">
        <v>126</v>
      </c>
      <c r="G57" s="41">
        <f t="shared" si="1"/>
        <v>21.915054635422226</v>
      </c>
      <c r="H57" s="46">
        <v>0</v>
      </c>
      <c r="I57" s="46">
        <v>8</v>
      </c>
      <c r="J57" s="46">
        <v>1.885782209063388</v>
      </c>
      <c r="K57" s="42">
        <f t="shared" si="4"/>
        <v>41.327020142131367</v>
      </c>
      <c r="L57" s="46">
        <v>2.8098899699570712</v>
      </c>
      <c r="M57" s="42">
        <f t="shared" si="5"/>
        <v>61.578892211134132</v>
      </c>
      <c r="N57" s="33">
        <v>91.097363866379993</v>
      </c>
      <c r="O57" s="33">
        <v>38.116932457710448</v>
      </c>
      <c r="P57" s="33">
        <v>1.4788673190221859</v>
      </c>
      <c r="Q57" s="33">
        <v>0</v>
      </c>
      <c r="R57" s="33">
        <v>0</v>
      </c>
      <c r="S57" s="33">
        <v>0.96156082862165793</v>
      </c>
      <c r="T57" s="33">
        <v>7.1045008288680265</v>
      </c>
      <c r="U57" s="42">
        <v>47.661861434222317</v>
      </c>
      <c r="AD57" s="33">
        <f t="shared" si="3"/>
        <v>8</v>
      </c>
    </row>
    <row r="58" spans="1:30" x14ac:dyDescent="0.2">
      <c r="A58" s="40">
        <v>56</v>
      </c>
      <c r="B58" s="40" t="s">
        <v>255</v>
      </c>
      <c r="C58" s="40">
        <v>380</v>
      </c>
      <c r="D58" s="40">
        <v>772315.47609999904</v>
      </c>
      <c r="E58" s="40">
        <v>171318.25309999901</v>
      </c>
      <c r="F58" s="40">
        <v>612</v>
      </c>
      <c r="G58" s="41">
        <f t="shared" si="1"/>
        <v>106.44455108633653</v>
      </c>
      <c r="H58" s="46">
        <v>0</v>
      </c>
      <c r="I58" s="46">
        <v>8</v>
      </c>
      <c r="J58" s="46">
        <v>1.885782209063388</v>
      </c>
      <c r="K58" s="42">
        <f t="shared" si="4"/>
        <v>200.73124069035237</v>
      </c>
      <c r="L58" s="46">
        <v>2.8098899699570712</v>
      </c>
      <c r="M58" s="42">
        <f t="shared" si="5"/>
        <v>299.09747645408009</v>
      </c>
      <c r="N58" s="33">
        <v>91.097363866379993</v>
      </c>
      <c r="O58" s="33">
        <v>38.116932457710448</v>
      </c>
      <c r="P58" s="33">
        <v>1.4788673190221859</v>
      </c>
      <c r="Q58" s="33">
        <v>0</v>
      </c>
      <c r="R58" s="33">
        <v>0</v>
      </c>
      <c r="S58" s="33">
        <v>0.96156082862165793</v>
      </c>
      <c r="T58" s="33">
        <v>7.1045008288680265</v>
      </c>
      <c r="U58" s="42">
        <v>47.661861434222317</v>
      </c>
      <c r="AD58" s="33">
        <f t="shared" si="3"/>
        <v>8</v>
      </c>
    </row>
    <row r="59" spans="1:30" x14ac:dyDescent="0.2">
      <c r="A59" s="40">
        <v>57</v>
      </c>
      <c r="B59" s="40" t="s">
        <v>256</v>
      </c>
      <c r="C59" s="40">
        <v>220</v>
      </c>
      <c r="D59" s="40">
        <v>666708.22900000005</v>
      </c>
      <c r="E59" s="40">
        <v>163319.65429999901</v>
      </c>
      <c r="F59" s="40">
        <v>194</v>
      </c>
      <c r="G59" s="41">
        <f t="shared" si="1"/>
        <v>33.742226978348505</v>
      </c>
      <c r="H59" s="46">
        <v>0</v>
      </c>
      <c r="I59" s="46">
        <v>8</v>
      </c>
      <c r="J59" s="46">
        <v>1.885782209063388</v>
      </c>
      <c r="K59" s="42">
        <f t="shared" si="4"/>
        <v>63.630491329948292</v>
      </c>
      <c r="L59" s="46">
        <v>2.8098899699570712</v>
      </c>
      <c r="M59" s="42">
        <f t="shared" si="5"/>
        <v>94.811945150476362</v>
      </c>
      <c r="N59" s="33">
        <v>91.097363866379993</v>
      </c>
      <c r="O59" s="33">
        <v>38.116932457710448</v>
      </c>
      <c r="P59" s="33">
        <v>1.4788673190221859</v>
      </c>
      <c r="Q59" s="33">
        <v>0</v>
      </c>
      <c r="R59" s="33">
        <v>0</v>
      </c>
      <c r="S59" s="33">
        <v>0.96156082862165793</v>
      </c>
      <c r="T59" s="33">
        <v>7.1045008288680265</v>
      </c>
      <c r="U59" s="42">
        <v>47.661861434222317</v>
      </c>
      <c r="AD59" s="33">
        <f t="shared" si="3"/>
        <v>8</v>
      </c>
    </row>
    <row r="60" spans="1:30" x14ac:dyDescent="0.2">
      <c r="A60" s="40">
        <v>7</v>
      </c>
      <c r="B60" s="40" t="s">
        <v>257</v>
      </c>
      <c r="C60" s="40">
        <v>220</v>
      </c>
      <c r="D60" s="40">
        <v>536836.60430000001</v>
      </c>
      <c r="E60" s="40">
        <v>156651.554299999</v>
      </c>
      <c r="F60" s="40">
        <v>453</v>
      </c>
      <c r="G60" s="41">
        <f t="shared" si="1"/>
        <v>78.789839284494192</v>
      </c>
      <c r="H60" s="46">
        <v>4.1652173913043402</v>
      </c>
      <c r="I60" s="46">
        <v>2.276716953912755</v>
      </c>
      <c r="J60" s="46">
        <v>1.9505763106424441</v>
      </c>
      <c r="K60" s="42">
        <f t="shared" si="4"/>
        <v>153.68559402765979</v>
      </c>
      <c r="L60" s="46">
        <v>2.9093332768790523</v>
      </c>
      <c r="M60" s="42">
        <f t="shared" si="5"/>
        <v>229.22590131033138</v>
      </c>
      <c r="N60" s="33">
        <v>97.066467541048141</v>
      </c>
      <c r="O60" s="33">
        <v>36.069046825709123</v>
      </c>
      <c r="P60" s="33">
        <v>1.4788673190221859</v>
      </c>
      <c r="Q60" s="33">
        <v>0</v>
      </c>
      <c r="R60" s="33">
        <v>0</v>
      </c>
      <c r="S60" s="33">
        <v>0.96156082862165793</v>
      </c>
      <c r="T60" s="33">
        <v>7.3964667834278259</v>
      </c>
      <c r="U60" s="42">
        <v>45.905941756780791</v>
      </c>
      <c r="AD60" s="33">
        <f t="shared" si="3"/>
        <v>6.4419343452170956</v>
      </c>
    </row>
    <row r="61" spans="1:30" x14ac:dyDescent="0.2">
      <c r="A61" s="40">
        <v>8</v>
      </c>
      <c r="B61" s="40" t="s">
        <v>258</v>
      </c>
      <c r="C61" s="40">
        <v>220</v>
      </c>
      <c r="D61" s="40">
        <v>575053.41810000001</v>
      </c>
      <c r="E61" s="40">
        <v>162405.03510000001</v>
      </c>
      <c r="F61" s="40">
        <v>588</v>
      </c>
      <c r="G61" s="41">
        <f t="shared" si="1"/>
        <v>102.27025496530372</v>
      </c>
      <c r="H61" s="46">
        <v>4.9166666666666599</v>
      </c>
      <c r="I61" s="46">
        <v>1.4786002723388469</v>
      </c>
      <c r="J61" s="46">
        <v>1.9521831313035181</v>
      </c>
      <c r="K61" s="42">
        <f t="shared" si="4"/>
        <v>199.65026657737579</v>
      </c>
      <c r="L61" s="46">
        <v>2.9114738890097271</v>
      </c>
      <c r="M61" s="42">
        <f t="shared" si="5"/>
        <v>297.75717695384918</v>
      </c>
      <c r="N61" s="33">
        <v>97.267458561472111</v>
      </c>
      <c r="O61" s="33">
        <v>36.007708261207611</v>
      </c>
      <c r="P61" s="33">
        <v>1.4788673190221859</v>
      </c>
      <c r="Q61" s="33">
        <v>0</v>
      </c>
      <c r="R61" s="33">
        <v>0</v>
      </c>
      <c r="S61" s="33">
        <v>0.96156082862165793</v>
      </c>
      <c r="T61" s="33">
        <v>7.4047692712326993</v>
      </c>
      <c r="U61" s="42">
        <v>45.852905680084156</v>
      </c>
      <c r="AD61" s="33">
        <f t="shared" si="3"/>
        <v>6.3952669390055066</v>
      </c>
    </row>
    <row r="62" spans="1:30" x14ac:dyDescent="0.2">
      <c r="A62" s="40">
        <v>9</v>
      </c>
      <c r="B62" s="40" t="s">
        <v>259</v>
      </c>
      <c r="C62" s="40">
        <v>220</v>
      </c>
      <c r="D62" s="40">
        <v>525709.74829999905</v>
      </c>
      <c r="E62" s="40">
        <v>155070.75580000001</v>
      </c>
      <c r="F62" s="40">
        <v>584</v>
      </c>
      <c r="G62" s="41">
        <f t="shared" si="1"/>
        <v>101.57453894513159</v>
      </c>
      <c r="H62" s="46">
        <v>3.7466666666666599</v>
      </c>
      <c r="I62" s="46">
        <v>3.5768257237670551</v>
      </c>
      <c r="J62" s="46">
        <v>1.9163612239136063</v>
      </c>
      <c r="K62" s="42">
        <f t="shared" si="4"/>
        <v>194.65350777135265</v>
      </c>
      <c r="L62" s="46">
        <v>2.8596240741003154</v>
      </c>
      <c r="M62" s="42">
        <f t="shared" si="5"/>
        <v>290.46499688313838</v>
      </c>
      <c r="N62" s="33">
        <v>93.53271511867483</v>
      </c>
      <c r="O62" s="33">
        <v>37.22774642802198</v>
      </c>
      <c r="P62" s="33">
        <v>1.4788673190221859</v>
      </c>
      <c r="Q62" s="33">
        <v>0</v>
      </c>
      <c r="R62" s="33">
        <v>0</v>
      </c>
      <c r="S62" s="33">
        <v>0.96156082862165793</v>
      </c>
      <c r="T62" s="33">
        <v>7.2346321496307464</v>
      </c>
      <c r="U62" s="42">
        <v>46.902806725296571</v>
      </c>
      <c r="AD62" s="33">
        <f t="shared" si="3"/>
        <v>7.3234923904337155</v>
      </c>
    </row>
    <row r="63" spans="1:30" x14ac:dyDescent="0.2">
      <c r="A63" s="40">
        <v>10</v>
      </c>
      <c r="B63" s="40" t="s">
        <v>260</v>
      </c>
      <c r="C63" s="40">
        <v>220</v>
      </c>
      <c r="D63" s="40">
        <v>532439.57429999905</v>
      </c>
      <c r="E63" s="40">
        <v>178878.87029999899</v>
      </c>
      <c r="F63" s="40">
        <v>1112</v>
      </c>
      <c r="G63" s="41">
        <f t="shared" si="1"/>
        <v>193.40905360785331</v>
      </c>
      <c r="H63" s="46">
        <v>2.9522471910112298</v>
      </c>
      <c r="I63" s="46">
        <v>2.8242756004369451</v>
      </c>
      <c r="J63" s="46">
        <v>1.9712019886799743</v>
      </c>
      <c r="K63" s="42">
        <f t="shared" si="4"/>
        <v>381.24831110051218</v>
      </c>
      <c r="L63" s="46">
        <v>2.9341893126667276</v>
      </c>
      <c r="M63" s="42">
        <f t="shared" si="5"/>
        <v>567.49877806914935</v>
      </c>
      <c r="N63" s="33">
        <v>100.11483784676352</v>
      </c>
      <c r="O63" s="33">
        <v>35.194445196343942</v>
      </c>
      <c r="P63" s="33">
        <v>1.4788673190221859</v>
      </c>
      <c r="Q63" s="33">
        <v>0</v>
      </c>
      <c r="R63" s="33">
        <v>0</v>
      </c>
      <c r="S63" s="33">
        <v>0.96156082862165793</v>
      </c>
      <c r="T63" s="33">
        <v>7.5113037380400254</v>
      </c>
      <c r="U63" s="42">
        <v>45.146177082027812</v>
      </c>
      <c r="AD63" s="33">
        <f t="shared" si="3"/>
        <v>5.7765227914481745</v>
      </c>
    </row>
    <row r="64" spans="1:30" x14ac:dyDescent="0.2">
      <c r="A64" s="40">
        <v>62</v>
      </c>
      <c r="B64" s="40" t="s">
        <v>261</v>
      </c>
      <c r="C64" s="40">
        <v>220</v>
      </c>
      <c r="D64" s="40">
        <v>722719.00809999905</v>
      </c>
      <c r="E64" s="40">
        <v>179183.98569999999</v>
      </c>
      <c r="F64" s="40">
        <v>315</v>
      </c>
      <c r="G64" s="41">
        <f t="shared" si="1"/>
        <v>54.787636588555571</v>
      </c>
      <c r="H64" s="46">
        <v>0</v>
      </c>
      <c r="I64" s="46">
        <v>8</v>
      </c>
      <c r="J64" s="46">
        <v>1.885782209063388</v>
      </c>
      <c r="K64" s="42">
        <f t="shared" si="4"/>
        <v>103.31755035532842</v>
      </c>
      <c r="L64" s="46">
        <v>2.8098899699570712</v>
      </c>
      <c r="M64" s="42">
        <f t="shared" si="5"/>
        <v>153.94723052783536</v>
      </c>
      <c r="N64" s="33">
        <v>91.097363866379993</v>
      </c>
      <c r="O64" s="33">
        <v>38.116932457710448</v>
      </c>
      <c r="P64" s="33">
        <v>1.4788673190221859</v>
      </c>
      <c r="Q64" s="33">
        <v>0</v>
      </c>
      <c r="R64" s="33">
        <v>0</v>
      </c>
      <c r="S64" s="33">
        <v>0.96156082862165793</v>
      </c>
      <c r="T64" s="33">
        <v>7.1045008288680265</v>
      </c>
      <c r="U64" s="42">
        <v>47.661861434222317</v>
      </c>
      <c r="AD64" s="33">
        <f t="shared" si="3"/>
        <v>8</v>
      </c>
    </row>
    <row r="65" spans="1:30" x14ac:dyDescent="0.2">
      <c r="A65" s="40">
        <v>63</v>
      </c>
      <c r="B65" s="40" t="s">
        <v>262</v>
      </c>
      <c r="C65" s="40">
        <v>220</v>
      </c>
      <c r="D65" s="40">
        <v>734220.39130000002</v>
      </c>
      <c r="E65" s="40">
        <v>182037.0405</v>
      </c>
      <c r="F65" s="40">
        <v>352</v>
      </c>
      <c r="G65" s="41">
        <f t="shared" si="1"/>
        <v>61.223009775147808</v>
      </c>
      <c r="H65" s="46">
        <v>0</v>
      </c>
      <c r="I65" s="46">
        <v>8</v>
      </c>
      <c r="J65" s="46">
        <v>1.885782209063388</v>
      </c>
      <c r="K65" s="42">
        <f t="shared" si="4"/>
        <v>115.45326261928763</v>
      </c>
      <c r="L65" s="46">
        <v>2.8098899699570712</v>
      </c>
      <c r="M65" s="42">
        <f t="shared" si="5"/>
        <v>172.02992109777156</v>
      </c>
      <c r="N65" s="33">
        <v>91.097363866379993</v>
      </c>
      <c r="O65" s="33">
        <v>38.116932457710448</v>
      </c>
      <c r="P65" s="33">
        <v>1.4788673190221859</v>
      </c>
      <c r="Q65" s="33">
        <v>0</v>
      </c>
      <c r="R65" s="33">
        <v>0</v>
      </c>
      <c r="S65" s="33">
        <v>0.96156082862165793</v>
      </c>
      <c r="T65" s="33">
        <v>7.1045008288680265</v>
      </c>
      <c r="U65" s="42">
        <v>47.661861434222317</v>
      </c>
      <c r="AD65" s="33">
        <f t="shared" si="3"/>
        <v>8</v>
      </c>
    </row>
    <row r="66" spans="1:30" x14ac:dyDescent="0.2">
      <c r="A66" s="40">
        <v>64</v>
      </c>
      <c r="B66" s="40" t="s">
        <v>263</v>
      </c>
      <c r="C66" s="40">
        <v>220</v>
      </c>
      <c r="D66" s="40">
        <v>755445.60069999902</v>
      </c>
      <c r="E66" s="40">
        <v>174523.085499999</v>
      </c>
      <c r="F66" s="40">
        <v>146</v>
      </c>
      <c r="G66" s="41">
        <f t="shared" si="1"/>
        <v>25.393634736282898</v>
      </c>
      <c r="H66" s="46">
        <v>0</v>
      </c>
      <c r="I66" s="46">
        <v>8</v>
      </c>
      <c r="J66" s="46">
        <v>1.885782209063388</v>
      </c>
      <c r="K66" s="42">
        <f t="shared" ref="K66:K97" si="6">J66*G66</f>
        <v>47.886864609136346</v>
      </c>
      <c r="L66" s="46">
        <v>2.8098899699570712</v>
      </c>
      <c r="M66" s="42">
        <f t="shared" ref="M66:M97" si="7">L66*G66</f>
        <v>71.353319546234786</v>
      </c>
      <c r="N66" s="33">
        <v>91.097363866379993</v>
      </c>
      <c r="O66" s="33">
        <v>38.116932457710448</v>
      </c>
      <c r="P66" s="33">
        <v>1.4788673190221859</v>
      </c>
      <c r="Q66" s="33">
        <v>0</v>
      </c>
      <c r="R66" s="33">
        <v>0</v>
      </c>
      <c r="S66" s="33">
        <v>0.96156082862165793</v>
      </c>
      <c r="T66" s="33">
        <v>7.1045008288680265</v>
      </c>
      <c r="U66" s="42">
        <v>47.661861434222317</v>
      </c>
      <c r="AD66" s="33">
        <f t="shared" si="3"/>
        <v>8</v>
      </c>
    </row>
    <row r="67" spans="1:30" x14ac:dyDescent="0.2">
      <c r="A67" s="40">
        <v>65</v>
      </c>
      <c r="B67" s="40" t="s">
        <v>264</v>
      </c>
      <c r="C67" s="40">
        <v>220</v>
      </c>
      <c r="D67" s="40">
        <v>660943.92740000004</v>
      </c>
      <c r="E67" s="40">
        <v>172753.45170000001</v>
      </c>
      <c r="F67" s="40">
        <v>516</v>
      </c>
      <c r="G67" s="41">
        <f t="shared" ref="G67:G129" si="8">F67/(PI()*(8.5/(2*PI()))^2)</f>
        <v>89.747366602205318</v>
      </c>
      <c r="H67" s="46">
        <v>0</v>
      </c>
      <c r="I67" s="46">
        <v>8</v>
      </c>
      <c r="J67" s="46">
        <v>1.885782209063388</v>
      </c>
      <c r="K67" s="42">
        <f t="shared" si="6"/>
        <v>169.24398724872847</v>
      </c>
      <c r="L67" s="46">
        <v>2.8098899699570712</v>
      </c>
      <c r="M67" s="42">
        <f t="shared" si="7"/>
        <v>252.18022524559694</v>
      </c>
      <c r="N67" s="33">
        <v>91.097363866379993</v>
      </c>
      <c r="O67" s="33">
        <v>38.116932457710448</v>
      </c>
      <c r="P67" s="33">
        <v>1.4788673190221859</v>
      </c>
      <c r="Q67" s="33">
        <v>0</v>
      </c>
      <c r="R67" s="33">
        <v>0</v>
      </c>
      <c r="S67" s="33">
        <v>0.96156082862165793</v>
      </c>
      <c r="T67" s="33">
        <v>7.1045008288680265</v>
      </c>
      <c r="U67" s="42">
        <v>47.661861434222317</v>
      </c>
      <c r="AD67" s="33">
        <f t="shared" ref="AD67:AD129" si="9">H67+I67</f>
        <v>8</v>
      </c>
    </row>
    <row r="68" spans="1:30" x14ac:dyDescent="0.2">
      <c r="A68" s="40">
        <v>11</v>
      </c>
      <c r="B68" s="40" t="s">
        <v>265</v>
      </c>
      <c r="C68" s="40">
        <v>220</v>
      </c>
      <c r="D68" s="40">
        <v>605832.08380000002</v>
      </c>
      <c r="E68" s="40">
        <v>180973.73800000001</v>
      </c>
      <c r="F68" s="40">
        <v>735</v>
      </c>
      <c r="G68" s="41">
        <f t="shared" si="8"/>
        <v>127.83781870662966</v>
      </c>
      <c r="H68" s="46">
        <v>5.6005025125628096</v>
      </c>
      <c r="I68" s="46">
        <v>0.11566351949661779</v>
      </c>
      <c r="J68" s="46">
        <v>1.5393922692707542</v>
      </c>
      <c r="K68" s="42">
        <f t="shared" si="6"/>
        <v>196.79254983742192</v>
      </c>
      <c r="L68" s="46">
        <v>2.3539808191226417</v>
      </c>
      <c r="M68" s="42">
        <f t="shared" si="7"/>
        <v>300.92777319388387</v>
      </c>
      <c r="N68" s="33">
        <v>93.986931645329761</v>
      </c>
      <c r="O68" s="33">
        <v>35.115113661137492</v>
      </c>
      <c r="P68" s="33">
        <v>1.4788673190221859</v>
      </c>
      <c r="Q68" s="33">
        <v>0</v>
      </c>
      <c r="R68" s="33">
        <v>0</v>
      </c>
      <c r="S68" s="33">
        <v>0.96156082862165793</v>
      </c>
      <c r="T68" s="33">
        <v>6.2543831119316122</v>
      </c>
      <c r="U68" s="42">
        <v>43.809924920712945</v>
      </c>
      <c r="AD68" s="33">
        <f t="shared" si="9"/>
        <v>5.7161660320594274</v>
      </c>
    </row>
    <row r="69" spans="1:30" x14ac:dyDescent="0.2">
      <c r="A69" s="40">
        <v>67</v>
      </c>
      <c r="B69" s="40" t="s">
        <v>266</v>
      </c>
      <c r="C69" s="40">
        <v>220</v>
      </c>
      <c r="D69" s="40">
        <v>751360.054</v>
      </c>
      <c r="E69" s="40">
        <v>181355.8683</v>
      </c>
      <c r="F69" s="40">
        <v>182</v>
      </c>
      <c r="G69" s="41">
        <f t="shared" si="8"/>
        <v>31.655078917832107</v>
      </c>
      <c r="H69" s="46">
        <v>0</v>
      </c>
      <c r="I69" s="46">
        <v>8</v>
      </c>
      <c r="J69" s="46">
        <v>1.885782209063388</v>
      </c>
      <c r="K69" s="42">
        <f t="shared" si="6"/>
        <v>59.694584649745309</v>
      </c>
      <c r="L69" s="46">
        <v>2.8098899699570712</v>
      </c>
      <c r="M69" s="42">
        <f t="shared" si="7"/>
        <v>88.947288749415975</v>
      </c>
      <c r="N69" s="33">
        <v>91.097363866379993</v>
      </c>
      <c r="O69" s="33">
        <v>38.116932457710448</v>
      </c>
      <c r="P69" s="33">
        <v>1.4788673190221859</v>
      </c>
      <c r="Q69" s="33">
        <v>0</v>
      </c>
      <c r="R69" s="33">
        <v>0</v>
      </c>
      <c r="S69" s="33">
        <v>0.96156082862165793</v>
      </c>
      <c r="T69" s="33">
        <v>7.1045008288680265</v>
      </c>
      <c r="U69" s="42">
        <v>47.661861434222317</v>
      </c>
      <c r="AD69" s="33">
        <f t="shared" si="9"/>
        <v>8</v>
      </c>
    </row>
    <row r="70" spans="1:30" x14ac:dyDescent="0.2">
      <c r="A70" s="40">
        <v>68</v>
      </c>
      <c r="B70" s="40" t="s">
        <v>267</v>
      </c>
      <c r="C70" s="40">
        <v>380</v>
      </c>
      <c r="D70" s="40">
        <v>719755.35499999905</v>
      </c>
      <c r="E70" s="40">
        <v>189497.35899999901</v>
      </c>
      <c r="F70" s="40">
        <v>176</v>
      </c>
      <c r="G70" s="41">
        <f t="shared" si="8"/>
        <v>30.611504887573904</v>
      </c>
      <c r="H70" s="46">
        <v>0</v>
      </c>
      <c r="I70" s="46">
        <v>8</v>
      </c>
      <c r="J70" s="46">
        <v>1.885782209063388</v>
      </c>
      <c r="K70" s="42">
        <f t="shared" si="6"/>
        <v>57.726631309643814</v>
      </c>
      <c r="L70" s="46">
        <v>2.8098899699570712</v>
      </c>
      <c r="M70" s="42">
        <f t="shared" si="7"/>
        <v>86.014960548885782</v>
      </c>
      <c r="N70" s="33">
        <v>91.097363866379993</v>
      </c>
      <c r="O70" s="33">
        <v>38.116932457710448</v>
      </c>
      <c r="P70" s="33">
        <v>1.4788673190221859</v>
      </c>
      <c r="Q70" s="33">
        <v>0</v>
      </c>
      <c r="R70" s="33">
        <v>0</v>
      </c>
      <c r="S70" s="33">
        <v>0.96156082862165793</v>
      </c>
      <c r="T70" s="33">
        <v>7.1045008288680265</v>
      </c>
      <c r="U70" s="42">
        <v>47.661861434222317</v>
      </c>
      <c r="AD70" s="33">
        <f t="shared" si="9"/>
        <v>8</v>
      </c>
    </row>
    <row r="71" spans="1:30" x14ac:dyDescent="0.2">
      <c r="A71" s="40">
        <v>12</v>
      </c>
      <c r="B71" s="40" t="s">
        <v>268</v>
      </c>
      <c r="C71" s="40">
        <v>220</v>
      </c>
      <c r="D71" s="40">
        <v>576194.40729999903</v>
      </c>
      <c r="E71" s="40">
        <v>179702.861899999</v>
      </c>
      <c r="F71" s="40">
        <v>699</v>
      </c>
      <c r="G71" s="41">
        <f t="shared" si="8"/>
        <v>121.57637452508045</v>
      </c>
      <c r="H71" s="46">
        <v>4.13709677419354</v>
      </c>
      <c r="I71" s="46">
        <v>2.1569336299592239</v>
      </c>
      <c r="J71" s="46">
        <v>1.9555718350855658</v>
      </c>
      <c r="K71" s="42">
        <f t="shared" si="6"/>
        <v>237.75133383306161</v>
      </c>
      <c r="L71" s="46">
        <v>2.9154409732708939</v>
      </c>
      <c r="M71" s="42">
        <f t="shared" si="7"/>
        <v>354.44874367214726</v>
      </c>
      <c r="N71" s="33">
        <v>97.718811720526432</v>
      </c>
      <c r="O71" s="33">
        <v>35.874645290130559</v>
      </c>
      <c r="P71" s="33">
        <v>1.4788673190221859</v>
      </c>
      <c r="Q71" s="33">
        <v>0</v>
      </c>
      <c r="R71" s="33">
        <v>0</v>
      </c>
      <c r="S71" s="33">
        <v>0.96156082862165793</v>
      </c>
      <c r="T71" s="33">
        <v>7.422230944330714</v>
      </c>
      <c r="U71" s="42">
        <v>45.737304382105116</v>
      </c>
      <c r="AD71" s="33">
        <f t="shared" si="9"/>
        <v>6.2940304041527639</v>
      </c>
    </row>
    <row r="72" spans="1:30" x14ac:dyDescent="0.2">
      <c r="A72" s="40">
        <v>70</v>
      </c>
      <c r="B72" s="40" t="s">
        <v>269</v>
      </c>
      <c r="C72" s="40">
        <v>220</v>
      </c>
      <c r="D72" s="40">
        <v>693953.57689999905</v>
      </c>
      <c r="E72" s="40">
        <v>180730.32309999899</v>
      </c>
      <c r="F72" s="40">
        <v>457</v>
      </c>
      <c r="G72" s="41">
        <f t="shared" si="8"/>
        <v>79.485555304666335</v>
      </c>
      <c r="H72" s="46">
        <v>0</v>
      </c>
      <c r="I72" s="46">
        <v>8</v>
      </c>
      <c r="J72" s="46">
        <v>1.885782209063388</v>
      </c>
      <c r="K72" s="42">
        <f t="shared" si="6"/>
        <v>149.89244607106377</v>
      </c>
      <c r="L72" s="46">
        <v>2.8098899699570712</v>
      </c>
      <c r="M72" s="42">
        <f t="shared" si="7"/>
        <v>223.34566460705</v>
      </c>
      <c r="N72" s="33">
        <v>91.097363866379993</v>
      </c>
      <c r="O72" s="33">
        <v>38.116932457710448</v>
      </c>
      <c r="P72" s="33">
        <v>1.4788673190221859</v>
      </c>
      <c r="Q72" s="33">
        <v>0</v>
      </c>
      <c r="R72" s="33">
        <v>0</v>
      </c>
      <c r="S72" s="33">
        <v>0.96156082862165793</v>
      </c>
      <c r="T72" s="33">
        <v>7.1045008288680265</v>
      </c>
      <c r="U72" s="42">
        <v>47.661861434222317</v>
      </c>
      <c r="AD72" s="33">
        <f t="shared" si="9"/>
        <v>8</v>
      </c>
    </row>
    <row r="73" spans="1:30" x14ac:dyDescent="0.2">
      <c r="A73" s="40">
        <v>71</v>
      </c>
      <c r="B73" s="40" t="s">
        <v>270</v>
      </c>
      <c r="C73" s="40">
        <v>220</v>
      </c>
      <c r="D73" s="40">
        <v>748148.61349999905</v>
      </c>
      <c r="E73" s="40">
        <v>186421.62069999901</v>
      </c>
      <c r="F73" s="40">
        <v>233</v>
      </c>
      <c r="G73" s="41">
        <f t="shared" si="8"/>
        <v>40.52545817502682</v>
      </c>
      <c r="H73" s="46">
        <v>0</v>
      </c>
      <c r="I73" s="46">
        <v>8</v>
      </c>
      <c r="J73" s="46">
        <v>1.885782209063388</v>
      </c>
      <c r="K73" s="42">
        <f t="shared" si="6"/>
        <v>76.42218804060802</v>
      </c>
      <c r="L73" s="46">
        <v>2.8098899699570712</v>
      </c>
      <c r="M73" s="42">
        <f t="shared" si="7"/>
        <v>113.87207845392265</v>
      </c>
      <c r="N73" s="33">
        <v>91.097363866379993</v>
      </c>
      <c r="O73" s="33">
        <v>38.116932457710448</v>
      </c>
      <c r="P73" s="33">
        <v>1.4788673190221859</v>
      </c>
      <c r="Q73" s="33">
        <v>0</v>
      </c>
      <c r="R73" s="33">
        <v>0</v>
      </c>
      <c r="S73" s="33">
        <v>0.96156082862165793</v>
      </c>
      <c r="T73" s="33">
        <v>7.1045008288680265</v>
      </c>
      <c r="U73" s="42">
        <v>47.661861434222317</v>
      </c>
      <c r="AD73" s="33">
        <f t="shared" si="9"/>
        <v>8</v>
      </c>
    </row>
    <row r="74" spans="1:30" x14ac:dyDescent="0.2">
      <c r="A74" s="40">
        <v>13</v>
      </c>
      <c r="B74" s="40" t="s">
        <v>271</v>
      </c>
      <c r="C74" s="40">
        <v>220</v>
      </c>
      <c r="D74" s="40">
        <v>588092.20200000005</v>
      </c>
      <c r="E74" s="40">
        <v>202579.570299999</v>
      </c>
      <c r="F74" s="40">
        <v>420</v>
      </c>
      <c r="G74" s="41">
        <f t="shared" si="8"/>
        <v>73.05018211807409</v>
      </c>
      <c r="H74" s="46">
        <v>3.55555555555555</v>
      </c>
      <c r="I74" s="46">
        <v>2.2533072314172262</v>
      </c>
      <c r="J74" s="46">
        <v>1.9703124766277498</v>
      </c>
      <c r="K74" s="42">
        <f t="shared" si="6"/>
        <v>143.93168524717072</v>
      </c>
      <c r="L74" s="46">
        <v>2.9330738733200077</v>
      </c>
      <c r="M74" s="42">
        <f t="shared" si="7"/>
        <v>214.26158061179154</v>
      </c>
      <c r="N74" s="33">
        <v>99.960733735437458</v>
      </c>
      <c r="O74" s="33">
        <v>35.236952142036841</v>
      </c>
      <c r="P74" s="33">
        <v>1.4788673190221859</v>
      </c>
      <c r="Q74" s="33">
        <v>0</v>
      </c>
      <c r="R74" s="33">
        <v>0</v>
      </c>
      <c r="S74" s="33">
        <v>0.96156082862165793</v>
      </c>
      <c r="T74" s="33">
        <v>7.5057290880303302</v>
      </c>
      <c r="U74" s="42">
        <v>45.183109377711013</v>
      </c>
      <c r="AD74" s="33">
        <f t="shared" si="9"/>
        <v>5.8088627869727762</v>
      </c>
    </row>
    <row r="75" spans="1:30" x14ac:dyDescent="0.2">
      <c r="A75" s="40">
        <v>14</v>
      </c>
      <c r="B75" s="40" t="s">
        <v>272</v>
      </c>
      <c r="C75" s="40">
        <v>220</v>
      </c>
      <c r="D75" s="40">
        <v>578297.65020000003</v>
      </c>
      <c r="E75" s="40">
        <v>200014.99280000001</v>
      </c>
      <c r="F75" s="40">
        <v>813</v>
      </c>
      <c r="G75" s="41">
        <f t="shared" si="8"/>
        <v>141.40428109998626</v>
      </c>
      <c r="H75" s="46">
        <v>2.8295454545454501</v>
      </c>
      <c r="I75" s="46">
        <v>3.8253152034841911</v>
      </c>
      <c r="J75" s="46">
        <v>1.9429565550686845</v>
      </c>
      <c r="K75" s="42">
        <f t="shared" si="6"/>
        <v>274.7423748779932</v>
      </c>
      <c r="L75" s="46">
        <v>2.898627172088053</v>
      </c>
      <c r="M75" s="42">
        <f t="shared" si="7"/>
        <v>409.87829144599732</v>
      </c>
      <c r="N75" s="33">
        <v>96.174518397086999</v>
      </c>
      <c r="O75" s="33">
        <v>36.348912269983089</v>
      </c>
      <c r="P75" s="33">
        <v>1.4788673190221859</v>
      </c>
      <c r="Q75" s="33">
        <v>0</v>
      </c>
      <c r="R75" s="33">
        <v>0</v>
      </c>
      <c r="S75" s="33">
        <v>0.96156082862165793</v>
      </c>
      <c r="T75" s="33">
        <v>7.3579656879410438</v>
      </c>
      <c r="U75" s="42">
        <v>46.147306105567978</v>
      </c>
      <c r="AD75" s="33">
        <f t="shared" si="9"/>
        <v>6.6548606580296408</v>
      </c>
    </row>
    <row r="76" spans="1:30" x14ac:dyDescent="0.2">
      <c r="A76" s="40">
        <v>15</v>
      </c>
      <c r="B76" s="40" t="s">
        <v>273</v>
      </c>
      <c r="C76" s="40">
        <v>220</v>
      </c>
      <c r="D76" s="40">
        <v>656036.10109999904</v>
      </c>
      <c r="E76" s="40">
        <v>186158.80019999901</v>
      </c>
      <c r="F76" s="40">
        <v>838</v>
      </c>
      <c r="G76" s="41">
        <f t="shared" si="8"/>
        <v>145.75250622606211</v>
      </c>
      <c r="H76" s="46">
        <v>6.3682795698924703</v>
      </c>
      <c r="I76" s="46">
        <v>-0.2036126274017738</v>
      </c>
      <c r="J76" s="46">
        <v>1.5350639047413666</v>
      </c>
      <c r="K76" s="42">
        <f t="shared" si="6"/>
        <v>223.73941133321924</v>
      </c>
      <c r="L76" s="46">
        <v>2.3522944885264612</v>
      </c>
      <c r="M76" s="42">
        <f t="shared" si="7"/>
        <v>342.85281708448463</v>
      </c>
      <c r="N76" s="33">
        <v>92.08865338790612</v>
      </c>
      <c r="O76" s="33">
        <v>35.704612933900599</v>
      </c>
      <c r="P76" s="33">
        <v>1.4788673190221859</v>
      </c>
      <c r="Q76" s="33">
        <v>0</v>
      </c>
      <c r="R76" s="33">
        <v>0</v>
      </c>
      <c r="S76" s="33">
        <v>0.96156082862165793</v>
      </c>
      <c r="T76" s="33">
        <v>6.2055620878457134</v>
      </c>
      <c r="U76" s="42">
        <v>44.350603169390162</v>
      </c>
      <c r="AD76" s="33">
        <f t="shared" si="9"/>
        <v>6.1646669424906966</v>
      </c>
    </row>
    <row r="77" spans="1:30" x14ac:dyDescent="0.2">
      <c r="A77" s="40">
        <v>75</v>
      </c>
      <c r="B77" s="40" t="s">
        <v>274</v>
      </c>
      <c r="C77" s="40">
        <v>380</v>
      </c>
      <c r="D77" s="40">
        <v>755624.25789999904</v>
      </c>
      <c r="E77" s="40">
        <v>201867.918899999</v>
      </c>
      <c r="F77" s="40">
        <v>491</v>
      </c>
      <c r="G77" s="41">
        <f t="shared" si="8"/>
        <v>85.399141476129472</v>
      </c>
      <c r="H77" s="46">
        <v>0</v>
      </c>
      <c r="I77" s="46">
        <v>8</v>
      </c>
      <c r="J77" s="46">
        <v>1.885782209063388</v>
      </c>
      <c r="K77" s="42">
        <f t="shared" si="6"/>
        <v>161.04418166497223</v>
      </c>
      <c r="L77" s="46">
        <v>2.8098899699570712</v>
      </c>
      <c r="M77" s="42">
        <f t="shared" si="7"/>
        <v>239.96219107672113</v>
      </c>
      <c r="N77" s="33">
        <v>91.097363866379993</v>
      </c>
      <c r="O77" s="33">
        <v>38.116932457710448</v>
      </c>
      <c r="P77" s="33">
        <v>1.4788673190221859</v>
      </c>
      <c r="Q77" s="33">
        <v>0</v>
      </c>
      <c r="R77" s="33">
        <v>0</v>
      </c>
      <c r="S77" s="33">
        <v>0.96156082862165793</v>
      </c>
      <c r="T77" s="33">
        <v>7.1045008288680265</v>
      </c>
      <c r="U77" s="42">
        <v>47.661861434222317</v>
      </c>
      <c r="AD77" s="33">
        <f t="shared" si="9"/>
        <v>8</v>
      </c>
    </row>
    <row r="78" spans="1:30" x14ac:dyDescent="0.2">
      <c r="A78" s="40">
        <v>76</v>
      </c>
      <c r="B78" s="40" t="s">
        <v>275</v>
      </c>
      <c r="C78" s="40">
        <v>220</v>
      </c>
      <c r="D78" s="40">
        <v>717877.51049999904</v>
      </c>
      <c r="E78" s="40">
        <v>193352.33999999901</v>
      </c>
      <c r="F78" s="40">
        <v>544</v>
      </c>
      <c r="G78" s="41">
        <f t="shared" si="8"/>
        <v>94.617378743410256</v>
      </c>
      <c r="H78" s="46">
        <v>0</v>
      </c>
      <c r="I78" s="46">
        <v>8</v>
      </c>
      <c r="J78" s="46">
        <v>1.885782209063388</v>
      </c>
      <c r="K78" s="42">
        <f t="shared" si="6"/>
        <v>178.42776950253545</v>
      </c>
      <c r="L78" s="46">
        <v>2.8098899699570712</v>
      </c>
      <c r="M78" s="42">
        <f t="shared" si="7"/>
        <v>265.86442351473789</v>
      </c>
      <c r="N78" s="33">
        <v>91.097363866379993</v>
      </c>
      <c r="O78" s="33">
        <v>38.116932457710448</v>
      </c>
      <c r="P78" s="33">
        <v>1.4788673190221859</v>
      </c>
      <c r="Q78" s="33">
        <v>0</v>
      </c>
      <c r="R78" s="33">
        <v>0</v>
      </c>
      <c r="S78" s="33">
        <v>0.96156082862165793</v>
      </c>
      <c r="T78" s="33">
        <v>7.1045008288680265</v>
      </c>
      <c r="U78" s="42">
        <v>47.661861434222317</v>
      </c>
      <c r="AD78" s="33">
        <f t="shared" si="9"/>
        <v>8</v>
      </c>
    </row>
    <row r="79" spans="1:30" x14ac:dyDescent="0.2">
      <c r="A79" s="40">
        <v>16</v>
      </c>
      <c r="B79" s="40" t="s">
        <v>276</v>
      </c>
      <c r="C79" s="40">
        <v>220</v>
      </c>
      <c r="D79" s="40">
        <v>690530.60889999999</v>
      </c>
      <c r="E79" s="40">
        <v>206278.414599999</v>
      </c>
      <c r="F79" s="40">
        <v>653</v>
      </c>
      <c r="G79" s="41">
        <f t="shared" si="8"/>
        <v>113.5756402931009</v>
      </c>
      <c r="H79" s="46">
        <v>6.2808219178082103</v>
      </c>
      <c r="I79" s="46">
        <v>0.41426729741365698</v>
      </c>
      <c r="J79" s="46">
        <v>1.5276580344678383</v>
      </c>
      <c r="K79" s="42">
        <f t="shared" si="6"/>
        <v>173.50473941358476</v>
      </c>
      <c r="L79" s="46">
        <v>2.3449879108585403</v>
      </c>
      <c r="M79" s="42">
        <f t="shared" si="7"/>
        <v>266.33350345533972</v>
      </c>
      <c r="N79" s="33">
        <v>90.059933661822129</v>
      </c>
      <c r="O79" s="33">
        <v>36.401787759547474</v>
      </c>
      <c r="P79" s="33">
        <v>1.4788673190221859</v>
      </c>
      <c r="Q79" s="33">
        <v>0</v>
      </c>
      <c r="R79" s="33">
        <v>0</v>
      </c>
      <c r="S79" s="33">
        <v>0.96156082862165793</v>
      </c>
      <c r="T79" s="33">
        <v>6.1440778730161938</v>
      </c>
      <c r="U79" s="42">
        <v>44.986293780207504</v>
      </c>
      <c r="AD79" s="33">
        <f t="shared" si="9"/>
        <v>6.6950892152218673</v>
      </c>
    </row>
    <row r="80" spans="1:30" x14ac:dyDescent="0.2">
      <c r="A80" s="40">
        <v>78</v>
      </c>
      <c r="B80" s="40" t="s">
        <v>277</v>
      </c>
      <c r="C80" s="40">
        <v>380</v>
      </c>
      <c r="D80" s="40">
        <v>821044.35759999906</v>
      </c>
      <c r="E80" s="40">
        <v>187957.30939999901</v>
      </c>
      <c r="F80" s="40">
        <v>1099</v>
      </c>
      <c r="G80" s="41">
        <f t="shared" si="8"/>
        <v>191.14797654229386</v>
      </c>
      <c r="H80" s="46">
        <v>0</v>
      </c>
      <c r="I80" s="46">
        <v>8</v>
      </c>
      <c r="J80" s="46">
        <v>1.885782209063388</v>
      </c>
      <c r="K80" s="42">
        <f t="shared" si="6"/>
        <v>360.46345346192356</v>
      </c>
      <c r="L80" s="46">
        <v>2.8098899699570712</v>
      </c>
      <c r="M80" s="42">
        <f t="shared" si="7"/>
        <v>537.10478206378104</v>
      </c>
      <c r="N80" s="33">
        <v>91.097363866379993</v>
      </c>
      <c r="O80" s="33">
        <v>38.116932457710448</v>
      </c>
      <c r="P80" s="33">
        <v>1.4788673190221859</v>
      </c>
      <c r="Q80" s="33">
        <v>0</v>
      </c>
      <c r="R80" s="33">
        <v>0</v>
      </c>
      <c r="S80" s="33">
        <v>0.96156082862165793</v>
      </c>
      <c r="T80" s="33">
        <v>7.1045008288680265</v>
      </c>
      <c r="U80" s="42">
        <v>47.661861434222317</v>
      </c>
      <c r="AD80" s="33">
        <f t="shared" si="9"/>
        <v>8</v>
      </c>
    </row>
    <row r="81" spans="1:30" x14ac:dyDescent="0.2">
      <c r="A81" s="40">
        <v>17</v>
      </c>
      <c r="B81" s="40" t="s">
        <v>278</v>
      </c>
      <c r="C81" s="40">
        <v>220</v>
      </c>
      <c r="D81" s="40">
        <v>662205.42890000006</v>
      </c>
      <c r="E81" s="40">
        <v>212419.0816</v>
      </c>
      <c r="F81" s="40">
        <v>395</v>
      </c>
      <c r="G81" s="41">
        <f t="shared" si="8"/>
        <v>68.701956991998259</v>
      </c>
      <c r="H81" s="46">
        <v>4.8811475409835996</v>
      </c>
      <c r="I81" s="46">
        <v>1.090547315764776</v>
      </c>
      <c r="J81" s="46">
        <v>1.9656708530822149</v>
      </c>
      <c r="K81" s="42">
        <f t="shared" si="6"/>
        <v>135.04543440887886</v>
      </c>
      <c r="L81" s="46">
        <v>2.9278432329141517</v>
      </c>
      <c r="M81" s="42">
        <f t="shared" si="7"/>
        <v>201.1485598669812</v>
      </c>
      <c r="N81" s="33">
        <v>99.184035980992462</v>
      </c>
      <c r="O81" s="33">
        <v>35.450974866367375</v>
      </c>
      <c r="P81" s="33">
        <v>1.4788673190221859</v>
      </c>
      <c r="Q81" s="33">
        <v>0</v>
      </c>
      <c r="R81" s="33">
        <v>0</v>
      </c>
      <c r="S81" s="33">
        <v>0.96156082862165793</v>
      </c>
      <c r="T81" s="33">
        <v>7.4781332549823327</v>
      </c>
      <c r="U81" s="42">
        <v>45.369536268993549</v>
      </c>
      <c r="AD81" s="33">
        <f t="shared" si="9"/>
        <v>5.9716948567483756</v>
      </c>
    </row>
    <row r="82" spans="1:30" x14ac:dyDescent="0.2">
      <c r="A82" s="40">
        <v>18</v>
      </c>
      <c r="B82" s="40" t="s">
        <v>279</v>
      </c>
      <c r="C82" s="40">
        <v>220</v>
      </c>
      <c r="D82" s="40">
        <v>615909.59880000004</v>
      </c>
      <c r="E82" s="40">
        <v>215979.988699999</v>
      </c>
      <c r="F82" s="40">
        <v>556</v>
      </c>
      <c r="G82" s="41">
        <f t="shared" si="8"/>
        <v>96.704526803926655</v>
      </c>
      <c r="H82" s="46">
        <v>3.9647302904564299</v>
      </c>
      <c r="I82" s="46">
        <v>1.2967371976454161</v>
      </c>
      <c r="J82" s="46">
        <v>1.9844284555781244</v>
      </c>
      <c r="K82" s="42">
        <f t="shared" si="6"/>
        <v>191.90321477292952</v>
      </c>
      <c r="L82" s="46">
        <v>2.8996915400720549</v>
      </c>
      <c r="M82" s="42">
        <f t="shared" si="7"/>
        <v>280.41329826001737</v>
      </c>
      <c r="N82" s="33">
        <v>103.78837353495659</v>
      </c>
      <c r="O82" s="33">
        <v>34.517468361528849</v>
      </c>
      <c r="P82" s="33">
        <v>1.4788673190221859</v>
      </c>
      <c r="Q82" s="33">
        <v>0</v>
      </c>
      <c r="R82" s="33">
        <v>0</v>
      </c>
      <c r="S82" s="33">
        <v>0.96156082862165793</v>
      </c>
      <c r="T82" s="33">
        <v>7.4610188789204814</v>
      </c>
      <c r="U82" s="42">
        <v>44.418915388093183</v>
      </c>
      <c r="AD82" s="33">
        <f t="shared" si="9"/>
        <v>5.2614674881018457</v>
      </c>
    </row>
    <row r="83" spans="1:30" x14ac:dyDescent="0.2">
      <c r="A83" s="40">
        <v>19</v>
      </c>
      <c r="B83" s="40" t="s">
        <v>280</v>
      </c>
      <c r="C83" s="40">
        <v>220</v>
      </c>
      <c r="D83" s="40">
        <v>643694.39399999904</v>
      </c>
      <c r="E83" s="40">
        <v>217367.98</v>
      </c>
      <c r="F83" s="40">
        <v>494</v>
      </c>
      <c r="G83" s="41">
        <f t="shared" si="8"/>
        <v>85.920928491258579</v>
      </c>
      <c r="H83" s="46">
        <v>4.0925000000000002</v>
      </c>
      <c r="I83" s="46">
        <v>1.2329585950599431</v>
      </c>
      <c r="J83" s="46">
        <v>1.9825095244073505</v>
      </c>
      <c r="K83" s="42">
        <f t="shared" si="6"/>
        <v>170.33905907984303</v>
      </c>
      <c r="L83" s="46">
        <v>2.898769570874514</v>
      </c>
      <c r="M83" s="42">
        <f t="shared" si="7"/>
        <v>249.06497301174542</v>
      </c>
      <c r="N83" s="33">
        <v>103.4288551610944</v>
      </c>
      <c r="O83" s="33">
        <v>34.601576799522505</v>
      </c>
      <c r="P83" s="33">
        <v>1.4788673190221859</v>
      </c>
      <c r="Q83" s="33">
        <v>0</v>
      </c>
      <c r="R83" s="33">
        <v>0</v>
      </c>
      <c r="S83" s="33">
        <v>0.96156082862165793</v>
      </c>
      <c r="T83" s="33">
        <v>7.4660452321481463</v>
      </c>
      <c r="U83" s="42">
        <v>44.508050179314495</v>
      </c>
      <c r="AD83" s="33">
        <f t="shared" si="9"/>
        <v>5.3254585950599438</v>
      </c>
    </row>
    <row r="84" spans="1:30" x14ac:dyDescent="0.2">
      <c r="A84" s="40">
        <v>20</v>
      </c>
      <c r="B84" s="40" t="s">
        <v>281</v>
      </c>
      <c r="C84" s="40">
        <v>220</v>
      </c>
      <c r="D84" s="40">
        <v>668210.23079999897</v>
      </c>
      <c r="E84" s="40">
        <v>218723.758399999</v>
      </c>
      <c r="F84" s="40">
        <v>259</v>
      </c>
      <c r="G84" s="41">
        <f t="shared" si="8"/>
        <v>45.047612306145687</v>
      </c>
      <c r="H84" s="46">
        <v>4.5801526717557204</v>
      </c>
      <c r="I84" s="46">
        <v>1.319728138732974</v>
      </c>
      <c r="J84" s="46">
        <v>1.9677482846353396</v>
      </c>
      <c r="K84" s="42">
        <f t="shared" si="6"/>
        <v>88.642361842335987</v>
      </c>
      <c r="L84" s="46">
        <v>2.9300027988520791</v>
      </c>
      <c r="M84" s="42">
        <f t="shared" si="7"/>
        <v>131.98963013861024</v>
      </c>
      <c r="N84" s="33">
        <v>99.528140430997084</v>
      </c>
      <c r="O84" s="33">
        <v>35.356584137029614</v>
      </c>
      <c r="P84" s="33">
        <v>1.4788673190221859</v>
      </c>
      <c r="Q84" s="33">
        <v>0</v>
      </c>
      <c r="R84" s="33">
        <v>0</v>
      </c>
      <c r="S84" s="33">
        <v>0.96156082862165793</v>
      </c>
      <c r="T84" s="33">
        <v>7.4901450828486729</v>
      </c>
      <c r="U84" s="42">
        <v>45.287157367522127</v>
      </c>
      <c r="AD84" s="33">
        <f t="shared" si="9"/>
        <v>5.8998808104886944</v>
      </c>
    </row>
    <row r="85" spans="1:30" x14ac:dyDescent="0.2">
      <c r="A85" s="40">
        <v>21</v>
      </c>
      <c r="B85" s="40" t="s">
        <v>282</v>
      </c>
      <c r="C85" s="40">
        <v>380</v>
      </c>
      <c r="D85" s="40">
        <v>593501.52850000001</v>
      </c>
      <c r="E85" s="40">
        <v>224773.036499999</v>
      </c>
      <c r="F85" s="40">
        <v>525</v>
      </c>
      <c r="G85" s="41">
        <f t="shared" si="8"/>
        <v>91.31272764759261</v>
      </c>
      <c r="H85" s="46">
        <v>2.3051948051947999</v>
      </c>
      <c r="I85" s="46">
        <v>3.125038939829198</v>
      </c>
      <c r="J85" s="46">
        <v>1.9792550760262211</v>
      </c>
      <c r="K85" s="42">
        <f t="shared" si="6"/>
        <v>180.73117970229754</v>
      </c>
      <c r="L85" s="46">
        <v>2.8968215669196398</v>
      </c>
      <c r="M85" s="42">
        <f t="shared" si="7"/>
        <v>264.51667878380556</v>
      </c>
      <c r="N85" s="33">
        <v>102.85622972725493</v>
      </c>
      <c r="O85" s="33">
        <v>34.739290844847552</v>
      </c>
      <c r="P85" s="33">
        <v>1.4788673190221859</v>
      </c>
      <c r="Q85" s="33">
        <v>0</v>
      </c>
      <c r="R85" s="33">
        <v>0</v>
      </c>
      <c r="S85" s="33">
        <v>0.96156082862165793</v>
      </c>
      <c r="T85" s="33">
        <v>7.4735253498762093</v>
      </c>
      <c r="U85" s="42">
        <v>44.653244342367614</v>
      </c>
      <c r="AD85" s="33">
        <f t="shared" si="9"/>
        <v>5.4302337450239975</v>
      </c>
    </row>
    <row r="86" spans="1:30" x14ac:dyDescent="0.2">
      <c r="A86" s="40">
        <v>22</v>
      </c>
      <c r="B86" s="40" t="s">
        <v>283</v>
      </c>
      <c r="C86" s="40">
        <v>220</v>
      </c>
      <c r="D86" s="40">
        <v>581186.13289999904</v>
      </c>
      <c r="E86" s="40">
        <v>202750.98459999901</v>
      </c>
      <c r="F86" s="40">
        <v>318</v>
      </c>
      <c r="G86" s="41">
        <f t="shared" si="8"/>
        <v>55.309423603684671</v>
      </c>
      <c r="H86" s="46">
        <v>2.63953488372093</v>
      </c>
      <c r="I86" s="46">
        <v>3.8481608657197972</v>
      </c>
      <c r="J86" s="46">
        <v>1.9489778855568438</v>
      </c>
      <c r="K86" s="42">
        <f t="shared" si="6"/>
        <v>107.79684346647714</v>
      </c>
      <c r="L86" s="46">
        <v>2.9071520406045317</v>
      </c>
      <c r="M86" s="42">
        <f t="shared" si="7"/>
        <v>160.79290369411234</v>
      </c>
      <c r="N86" s="33">
        <v>96.871536101295419</v>
      </c>
      <c r="O86" s="33">
        <v>36.129194562052639</v>
      </c>
      <c r="P86" s="33">
        <v>1.4788673190221859</v>
      </c>
      <c r="Q86" s="33">
        <v>0</v>
      </c>
      <c r="R86" s="33">
        <v>0</v>
      </c>
      <c r="S86" s="33">
        <v>0.96156082862165793</v>
      </c>
      <c r="T86" s="33">
        <v>7.3882686044036232</v>
      </c>
      <c r="U86" s="42">
        <v>45.95789131410011</v>
      </c>
      <c r="AD86" s="33">
        <f t="shared" si="9"/>
        <v>6.4876957494407268</v>
      </c>
    </row>
    <row r="87" spans="1:30" x14ac:dyDescent="0.2">
      <c r="A87" s="40">
        <v>23</v>
      </c>
      <c r="B87" s="40" t="s">
        <v>284</v>
      </c>
      <c r="C87" s="40">
        <v>220</v>
      </c>
      <c r="D87" s="40">
        <v>710990.22779999895</v>
      </c>
      <c r="E87" s="40">
        <v>225758.88630000001</v>
      </c>
      <c r="F87" s="40">
        <v>312</v>
      </c>
      <c r="G87" s="41">
        <f t="shared" si="8"/>
        <v>54.265849573426465</v>
      </c>
      <c r="H87" s="46">
        <v>5.9014084507042197</v>
      </c>
      <c r="I87" s="46">
        <v>0.23527216296385861</v>
      </c>
      <c r="J87" s="46">
        <v>1.5353939885996557</v>
      </c>
      <c r="K87" s="42">
        <f t="shared" si="6"/>
        <v>83.319459221292178</v>
      </c>
      <c r="L87" s="46">
        <v>2.352706346888874</v>
      </c>
      <c r="M87" s="42">
        <f t="shared" si="7"/>
        <v>127.67160871071734</v>
      </c>
      <c r="N87" s="33">
        <v>92.196418812808986</v>
      </c>
      <c r="O87" s="33">
        <v>35.667828347505051</v>
      </c>
      <c r="P87" s="33">
        <v>1.4788673190221859</v>
      </c>
      <c r="Q87" s="33">
        <v>0</v>
      </c>
      <c r="R87" s="33">
        <v>0</v>
      </c>
      <c r="S87" s="33">
        <v>0.96156082862165793</v>
      </c>
      <c r="T87" s="33">
        <v>6.2088659909804571</v>
      </c>
      <c r="U87" s="42">
        <v>44.31712248612935</v>
      </c>
      <c r="AD87" s="33">
        <f t="shared" si="9"/>
        <v>6.1366806136680783</v>
      </c>
    </row>
    <row r="88" spans="1:30" x14ac:dyDescent="0.2">
      <c r="A88" s="40">
        <v>24</v>
      </c>
      <c r="B88" s="40" t="s">
        <v>285</v>
      </c>
      <c r="C88" s="40">
        <v>220</v>
      </c>
      <c r="D88" s="40">
        <v>681473.14930000005</v>
      </c>
      <c r="E88" s="40">
        <v>226633.69789999901</v>
      </c>
      <c r="F88" s="40">
        <v>208</v>
      </c>
      <c r="G88" s="41">
        <f t="shared" si="8"/>
        <v>36.177233048950981</v>
      </c>
      <c r="H88" s="46">
        <v>4.7654320987654302</v>
      </c>
      <c r="I88" s="46">
        <v>1.1526255643605341</v>
      </c>
      <c r="J88" s="46">
        <v>1.9672456120522308</v>
      </c>
      <c r="K88" s="42">
        <f t="shared" si="6"/>
        <v>71.16950297173976</v>
      </c>
      <c r="L88" s="46">
        <v>2.9299051350733456</v>
      </c>
      <c r="M88" s="42">
        <f t="shared" si="7"/>
        <v>105.99586088286662</v>
      </c>
      <c r="N88" s="33">
        <v>99.431687812273012</v>
      </c>
      <c r="O88" s="33">
        <v>35.38047537372853</v>
      </c>
      <c r="P88" s="33">
        <v>1.4788673190221859</v>
      </c>
      <c r="Q88" s="33">
        <v>0</v>
      </c>
      <c r="R88" s="33">
        <v>0</v>
      </c>
      <c r="S88" s="33">
        <v>0.96156082862165793</v>
      </c>
      <c r="T88" s="33">
        <v>7.4875112501332506</v>
      </c>
      <c r="U88" s="42">
        <v>45.308414771505625</v>
      </c>
      <c r="AD88" s="33">
        <f t="shared" si="9"/>
        <v>5.918057663125964</v>
      </c>
    </row>
    <row r="89" spans="1:30" x14ac:dyDescent="0.2">
      <c r="A89" s="40">
        <v>87</v>
      </c>
      <c r="B89" s="40" t="s">
        <v>286</v>
      </c>
      <c r="C89" s="40">
        <v>220</v>
      </c>
      <c r="D89" s="40">
        <v>759892.42049999896</v>
      </c>
      <c r="E89" s="40">
        <v>205215.22990000001</v>
      </c>
      <c r="F89" s="40">
        <v>690</v>
      </c>
      <c r="G89" s="41">
        <f t="shared" si="8"/>
        <v>120.01101347969315</v>
      </c>
      <c r="H89" s="46">
        <v>0</v>
      </c>
      <c r="I89" s="46">
        <v>8</v>
      </c>
      <c r="J89" s="46">
        <v>1.885782209063388</v>
      </c>
      <c r="K89" s="42">
        <f t="shared" si="6"/>
        <v>226.31463411167178</v>
      </c>
      <c r="L89" s="46">
        <v>2.8098899699570712</v>
      </c>
      <c r="M89" s="42">
        <f t="shared" si="7"/>
        <v>337.21774306097262</v>
      </c>
      <c r="N89" s="33">
        <v>91.097363866379993</v>
      </c>
      <c r="O89" s="33">
        <v>38.116932457710448</v>
      </c>
      <c r="P89" s="33">
        <v>1.4788673190221859</v>
      </c>
      <c r="Q89" s="33">
        <v>0</v>
      </c>
      <c r="R89" s="33">
        <v>0</v>
      </c>
      <c r="S89" s="33">
        <v>0.96156082862165793</v>
      </c>
      <c r="T89" s="33">
        <v>7.1045008288680265</v>
      </c>
      <c r="U89" s="42">
        <v>47.661861434222317</v>
      </c>
      <c r="AD89" s="33">
        <f t="shared" si="9"/>
        <v>8</v>
      </c>
    </row>
    <row r="90" spans="1:30" x14ac:dyDescent="0.2">
      <c r="A90" s="40">
        <v>25</v>
      </c>
      <c r="B90" s="40" t="s">
        <v>287</v>
      </c>
      <c r="C90" s="40">
        <v>220</v>
      </c>
      <c r="D90" s="40">
        <v>694523.64870000002</v>
      </c>
      <c r="E90" s="40">
        <v>227146.132199999</v>
      </c>
      <c r="F90" s="40">
        <v>267</v>
      </c>
      <c r="G90" s="41">
        <f t="shared" si="8"/>
        <v>46.439044346489958</v>
      </c>
      <c r="H90" s="46">
        <v>5.2819148936170199</v>
      </c>
      <c r="I90" s="46">
        <v>0.91981159434300785</v>
      </c>
      <c r="J90" s="46">
        <v>1.9585790305693809</v>
      </c>
      <c r="K90" s="42">
        <f t="shared" si="6"/>
        <v>90.95453845671679</v>
      </c>
      <c r="L90" s="46">
        <v>2.9191780768156437</v>
      </c>
      <c r="M90" s="42">
        <f t="shared" si="7"/>
        <v>135.56384016454294</v>
      </c>
      <c r="N90" s="33">
        <v>98.130932262564059</v>
      </c>
      <c r="O90" s="33">
        <v>35.753323147402952</v>
      </c>
      <c r="P90" s="33">
        <v>1.4788673190221859</v>
      </c>
      <c r="Q90" s="33">
        <v>0</v>
      </c>
      <c r="R90" s="33">
        <v>0</v>
      </c>
      <c r="S90" s="33">
        <v>0.96156082862165793</v>
      </c>
      <c r="T90" s="33">
        <v>7.4383262888040429</v>
      </c>
      <c r="U90" s="42">
        <v>45.632077583850837</v>
      </c>
      <c r="AD90" s="33">
        <f t="shared" si="9"/>
        <v>6.2017264879600278</v>
      </c>
    </row>
    <row r="91" spans="1:30" x14ac:dyDescent="0.2">
      <c r="A91" s="40">
        <v>26</v>
      </c>
      <c r="B91" s="40" t="s">
        <v>288</v>
      </c>
      <c r="C91" s="40">
        <v>220</v>
      </c>
      <c r="D91" s="40">
        <v>651787.40949999902</v>
      </c>
      <c r="E91" s="40">
        <v>226434.3738</v>
      </c>
      <c r="F91" s="40">
        <v>313</v>
      </c>
      <c r="G91" s="41">
        <f t="shared" si="8"/>
        <v>54.4397785784695</v>
      </c>
      <c r="H91" s="46">
        <v>2.8306451612903198</v>
      </c>
      <c r="I91" s="46">
        <v>2.1447416178939331</v>
      </c>
      <c r="J91" s="46">
        <v>1.9924766519498065</v>
      </c>
      <c r="K91" s="42">
        <f t="shared" si="6"/>
        <v>108.46998775491771</v>
      </c>
      <c r="L91" s="46">
        <v>2.9039046365339281</v>
      </c>
      <c r="M91" s="42">
        <f t="shared" si="7"/>
        <v>158.08792542589799</v>
      </c>
      <c r="N91" s="33">
        <v>105.43504904151919</v>
      </c>
      <c r="O91" s="33">
        <v>34.141450462933484</v>
      </c>
      <c r="P91" s="33">
        <v>1.4788673190221859</v>
      </c>
      <c r="Q91" s="33">
        <v>0</v>
      </c>
      <c r="R91" s="33">
        <v>0</v>
      </c>
      <c r="S91" s="33">
        <v>0.96156082862165793</v>
      </c>
      <c r="T91" s="33">
        <v>7.4375658310468653</v>
      </c>
      <c r="U91" s="42">
        <v>44.019444441624188</v>
      </c>
      <c r="AD91" s="33">
        <f t="shared" si="9"/>
        <v>4.9753867791842534</v>
      </c>
    </row>
    <row r="92" spans="1:30" x14ac:dyDescent="0.2">
      <c r="A92" s="40">
        <v>27</v>
      </c>
      <c r="B92" s="40" t="s">
        <v>289</v>
      </c>
      <c r="C92" s="40">
        <v>220</v>
      </c>
      <c r="D92" s="40">
        <v>610378.38890000002</v>
      </c>
      <c r="E92" s="40">
        <v>225066.851499999</v>
      </c>
      <c r="F92" s="40">
        <v>171</v>
      </c>
      <c r="G92" s="41">
        <f t="shared" si="8"/>
        <v>29.741859862358737</v>
      </c>
      <c r="H92" s="46">
        <v>2.2631578947368398</v>
      </c>
      <c r="I92" s="46">
        <v>3.0583017056106918</v>
      </c>
      <c r="J92" s="46">
        <v>1.982617114339007</v>
      </c>
      <c r="K92" s="42">
        <f t="shared" si="6"/>
        <v>58.966720375384817</v>
      </c>
      <c r="L92" s="46">
        <v>2.8985955989404943</v>
      </c>
      <c r="M92" s="42">
        <f t="shared" si="7"/>
        <v>86.209624101337965</v>
      </c>
      <c r="N92" s="33">
        <v>103.45623440697548</v>
      </c>
      <c r="O92" s="33">
        <v>34.596320612924174</v>
      </c>
      <c r="P92" s="33">
        <v>1.4788673190221859</v>
      </c>
      <c r="Q92" s="33">
        <v>0</v>
      </c>
      <c r="R92" s="33">
        <v>0</v>
      </c>
      <c r="S92" s="33">
        <v>0.96156082862165793</v>
      </c>
      <c r="T92" s="33">
        <v>7.465429657982849</v>
      </c>
      <c r="U92" s="42">
        <v>44.502178418550862</v>
      </c>
      <c r="AD92" s="33">
        <f t="shared" si="9"/>
        <v>5.3214596003475316</v>
      </c>
    </row>
    <row r="93" spans="1:30" x14ac:dyDescent="0.2">
      <c r="A93" s="40">
        <v>28</v>
      </c>
      <c r="B93" s="40" t="s">
        <v>290</v>
      </c>
      <c r="C93" s="40">
        <v>220</v>
      </c>
      <c r="D93" s="40">
        <v>626871.32920000004</v>
      </c>
      <c r="E93" s="40">
        <v>222902.55530000001</v>
      </c>
      <c r="F93" s="40">
        <v>315</v>
      </c>
      <c r="G93" s="41">
        <f t="shared" si="8"/>
        <v>54.787636588555571</v>
      </c>
      <c r="H93" s="46">
        <v>2.7363636363636301</v>
      </c>
      <c r="I93" s="46">
        <v>1.938657865049326</v>
      </c>
      <c r="J93" s="46">
        <v>1.9995134635476624</v>
      </c>
      <c r="K93" s="42">
        <f t="shared" si="6"/>
        <v>109.54861699477338</v>
      </c>
      <c r="L93" s="46">
        <v>2.9098573752573942</v>
      </c>
      <c r="M93" s="42">
        <f t="shared" si="7"/>
        <v>159.42420840013028</v>
      </c>
      <c r="N93" s="33">
        <v>107.21118407190467</v>
      </c>
      <c r="O93" s="33">
        <v>33.746657255848994</v>
      </c>
      <c r="P93" s="33">
        <v>1.4788673190221859</v>
      </c>
      <c r="Q93" s="33">
        <v>0</v>
      </c>
      <c r="R93" s="33">
        <v>0</v>
      </c>
      <c r="S93" s="33">
        <v>0.96156082862165793</v>
      </c>
      <c r="T93" s="33">
        <v>7.4121127225466594</v>
      </c>
      <c r="U93" s="42">
        <v>43.599198126039497</v>
      </c>
      <c r="AD93" s="33">
        <f t="shared" si="9"/>
        <v>4.6750215014129566</v>
      </c>
    </row>
    <row r="94" spans="1:30" x14ac:dyDescent="0.2">
      <c r="A94" s="40">
        <v>29</v>
      </c>
      <c r="B94" s="40" t="s">
        <v>291</v>
      </c>
      <c r="C94" s="40">
        <v>220</v>
      </c>
      <c r="D94" s="40">
        <v>717379.64780000004</v>
      </c>
      <c r="E94" s="40">
        <v>228033.201399999</v>
      </c>
      <c r="F94" s="40">
        <v>484</v>
      </c>
      <c r="G94" s="41">
        <f t="shared" si="8"/>
        <v>84.181638440828237</v>
      </c>
      <c r="H94" s="46">
        <v>6.2936507936507899</v>
      </c>
      <c r="I94" s="46">
        <v>0.11119896913256611</v>
      </c>
      <c r="J94" s="46">
        <v>1.5320079831120832</v>
      </c>
      <c r="K94" s="42">
        <f t="shared" si="6"/>
        <v>128.96694212280389</v>
      </c>
      <c r="L94" s="46">
        <v>2.3499089655895848</v>
      </c>
      <c r="M94" s="42">
        <f t="shared" si="7"/>
        <v>197.81918691012311</v>
      </c>
      <c r="N94" s="33">
        <v>91.137711423603108</v>
      </c>
      <c r="O94" s="33">
        <v>36.020303704197069</v>
      </c>
      <c r="P94" s="33">
        <v>1.4788673190221859</v>
      </c>
      <c r="Q94" s="33">
        <v>0</v>
      </c>
      <c r="R94" s="33">
        <v>0</v>
      </c>
      <c r="S94" s="33">
        <v>0.96156082862165793</v>
      </c>
      <c r="T94" s="33">
        <v>6.1784039240790758</v>
      </c>
      <c r="U94" s="42">
        <v>44.639135775919996</v>
      </c>
      <c r="AD94" s="33">
        <f t="shared" si="9"/>
        <v>6.404849762783356</v>
      </c>
    </row>
    <row r="95" spans="1:30" x14ac:dyDescent="0.2">
      <c r="A95" s="40">
        <v>30</v>
      </c>
      <c r="B95" s="40" t="s">
        <v>292</v>
      </c>
      <c r="C95" s="40">
        <v>220</v>
      </c>
      <c r="D95" s="40">
        <v>675295.81460000004</v>
      </c>
      <c r="E95" s="40">
        <v>236177.41020000001</v>
      </c>
      <c r="F95" s="40">
        <v>187</v>
      </c>
      <c r="G95" s="41">
        <f t="shared" si="8"/>
        <v>32.52472394304727</v>
      </c>
      <c r="H95" s="46">
        <v>3.1372549019607798</v>
      </c>
      <c r="I95" s="46">
        <v>2.2648322680822019</v>
      </c>
      <c r="J95" s="46">
        <v>1.9801447802159082</v>
      </c>
      <c r="K95" s="42">
        <f t="shared" si="6"/>
        <v>64.403662343788426</v>
      </c>
      <c r="L95" s="46">
        <v>2.8974315960404464</v>
      </c>
      <c r="M95" s="42">
        <f t="shared" si="7"/>
        <v>94.238162805078375</v>
      </c>
      <c r="N95" s="33">
        <v>103.00743515355029</v>
      </c>
      <c r="O95" s="33">
        <v>34.702295634590058</v>
      </c>
      <c r="P95" s="33">
        <v>1.4788673190221859</v>
      </c>
      <c r="Q95" s="33">
        <v>0</v>
      </c>
      <c r="R95" s="33">
        <v>0</v>
      </c>
      <c r="S95" s="33">
        <v>0.96156082862165793</v>
      </c>
      <c r="T95" s="33">
        <v>7.4716502844337036</v>
      </c>
      <c r="U95" s="42">
        <v>44.614374066667608</v>
      </c>
      <c r="AD95" s="33">
        <f t="shared" si="9"/>
        <v>5.4020871700429822</v>
      </c>
    </row>
    <row r="96" spans="1:30" x14ac:dyDescent="0.2">
      <c r="A96" s="40">
        <v>31</v>
      </c>
      <c r="B96" s="40" t="s">
        <v>293</v>
      </c>
      <c r="C96" s="40">
        <v>220</v>
      </c>
      <c r="D96" s="40">
        <v>684007.15899999905</v>
      </c>
      <c r="E96" s="40">
        <v>238425.130999999</v>
      </c>
      <c r="F96" s="40">
        <v>129</v>
      </c>
      <c r="G96" s="41">
        <f t="shared" si="8"/>
        <v>22.43684165055133</v>
      </c>
      <c r="H96" s="46">
        <v>3.4</v>
      </c>
      <c r="I96" s="46">
        <v>2.2640087984602828</v>
      </c>
      <c r="J96" s="46">
        <v>1.9741526166728733</v>
      </c>
      <c r="K96" s="42">
        <f t="shared" si="6"/>
        <v>44.293749654310815</v>
      </c>
      <c r="L96" s="46">
        <v>2.9368433895799475</v>
      </c>
      <c r="M96" s="42">
        <f t="shared" si="7"/>
        <v>65.893490084473711</v>
      </c>
      <c r="N96" s="33">
        <v>100.68054974256192</v>
      </c>
      <c r="O96" s="33">
        <v>35.046559393886469</v>
      </c>
      <c r="P96" s="33">
        <v>1.4788673190221859</v>
      </c>
      <c r="Q96" s="33">
        <v>0</v>
      </c>
      <c r="R96" s="33">
        <v>0</v>
      </c>
      <c r="S96" s="33">
        <v>0.96156082862165793</v>
      </c>
      <c r="T96" s="33">
        <v>7.5296283457636193</v>
      </c>
      <c r="U96" s="42">
        <v>45.016615887293931</v>
      </c>
      <c r="AD96" s="33">
        <f t="shared" si="9"/>
        <v>5.6640087984602827</v>
      </c>
    </row>
    <row r="97" spans="1:30" x14ac:dyDescent="0.2">
      <c r="A97" s="40">
        <v>32</v>
      </c>
      <c r="B97" s="40" t="s">
        <v>294</v>
      </c>
      <c r="C97" s="40">
        <v>220</v>
      </c>
      <c r="D97" s="40">
        <v>638498.22100000002</v>
      </c>
      <c r="E97" s="40">
        <v>241009.82120000001</v>
      </c>
      <c r="F97" s="40">
        <v>295</v>
      </c>
      <c r="G97" s="41">
        <f t="shared" si="8"/>
        <v>51.309056487694896</v>
      </c>
      <c r="H97" s="46">
        <v>1.5919540229885001</v>
      </c>
      <c r="I97" s="46">
        <v>2.79314244430438</v>
      </c>
      <c r="J97" s="46">
        <v>2.0041788000984</v>
      </c>
      <c r="K97" s="42">
        <f t="shared" si="6"/>
        <v>102.83252326568939</v>
      </c>
      <c r="L97" s="46">
        <v>2.9146790422303019</v>
      </c>
      <c r="M97" s="42">
        <f t="shared" si="7"/>
        <v>149.54943162129501</v>
      </c>
      <c r="N97" s="33">
        <v>109.04322472323932</v>
      </c>
      <c r="O97" s="33">
        <v>33.36558646469885</v>
      </c>
      <c r="P97" s="33">
        <v>1.4788673190221859</v>
      </c>
      <c r="Q97" s="33">
        <v>0</v>
      </c>
      <c r="R97" s="33">
        <v>0</v>
      </c>
      <c r="S97" s="33">
        <v>0.96156082862165793</v>
      </c>
      <c r="T97" s="33">
        <v>7.3825367710701766</v>
      </c>
      <c r="U97" s="42">
        <v>43.188551383412864</v>
      </c>
      <c r="AD97" s="33">
        <f t="shared" si="9"/>
        <v>4.3850964672928798</v>
      </c>
    </row>
    <row r="98" spans="1:30" x14ac:dyDescent="0.2">
      <c r="A98" s="40">
        <v>33</v>
      </c>
      <c r="B98" s="40" t="s">
        <v>295</v>
      </c>
      <c r="C98" s="40">
        <v>220</v>
      </c>
      <c r="D98" s="40">
        <v>613507.37080000003</v>
      </c>
      <c r="E98" s="40">
        <v>231422.95300000001</v>
      </c>
      <c r="F98" s="40">
        <v>389</v>
      </c>
      <c r="G98" s="41">
        <f t="shared" si="8"/>
        <v>67.658382961740045</v>
      </c>
      <c r="H98" s="46">
        <v>1.8125</v>
      </c>
      <c r="I98" s="46">
        <v>3.017989696432533</v>
      </c>
      <c r="J98" s="46">
        <v>1.9961366710735597</v>
      </c>
      <c r="K98" s="42">
        <f t="shared" ref="K98:K129" si="10">J98*G98</f>
        <v>135.05537933546782</v>
      </c>
      <c r="L98" s="46">
        <v>2.9072093205640259</v>
      </c>
      <c r="M98" s="42">
        <f t="shared" ref="M98:M129" si="11">L98*G98</f>
        <v>196.69708156066093</v>
      </c>
      <c r="N98" s="33">
        <v>106.27058586339771</v>
      </c>
      <c r="O98" s="33">
        <v>33.951001072707051</v>
      </c>
      <c r="P98" s="33">
        <v>1.4788673190221859</v>
      </c>
      <c r="Q98" s="33">
        <v>0</v>
      </c>
      <c r="R98" s="33">
        <v>0</v>
      </c>
      <c r="S98" s="33">
        <v>0.96156082862165793</v>
      </c>
      <c r="T98" s="33">
        <v>7.4262963359968355</v>
      </c>
      <c r="U98" s="42">
        <v>43.817725556347725</v>
      </c>
      <c r="AD98" s="33">
        <f t="shared" si="9"/>
        <v>4.830489696432533</v>
      </c>
    </row>
    <row r="99" spans="1:30" x14ac:dyDescent="0.2">
      <c r="A99" s="40">
        <v>34</v>
      </c>
      <c r="B99" s="40" t="s">
        <v>296</v>
      </c>
      <c r="C99" s="40">
        <v>220</v>
      </c>
      <c r="D99" s="40">
        <v>699666.98199999903</v>
      </c>
      <c r="E99" s="40">
        <v>243177.90869999901</v>
      </c>
      <c r="F99" s="40">
        <v>290</v>
      </c>
      <c r="G99" s="41">
        <f t="shared" si="8"/>
        <v>50.439411462479733</v>
      </c>
      <c r="H99" s="46">
        <v>3.7209302325581302</v>
      </c>
      <c r="I99" s="46">
        <v>2.3678810918553039</v>
      </c>
      <c r="J99" s="46">
        <v>1.9621321929625672</v>
      </c>
      <c r="K99" s="42">
        <f t="shared" si="10"/>
        <v>98.968793024616602</v>
      </c>
      <c r="L99" s="46">
        <v>2.9235155848198442</v>
      </c>
      <c r="M99" s="42">
        <f t="shared" si="11"/>
        <v>147.46040549970019</v>
      </c>
      <c r="N99" s="33">
        <v>98.643710822323996</v>
      </c>
      <c r="O99" s="33">
        <v>35.604910055597543</v>
      </c>
      <c r="P99" s="33">
        <v>1.4788673190221859</v>
      </c>
      <c r="Q99" s="33">
        <v>0</v>
      </c>
      <c r="R99" s="33">
        <v>0</v>
      </c>
      <c r="S99" s="33">
        <v>0.96156082862165793</v>
      </c>
      <c r="T99" s="33">
        <v>7.4578922866788355</v>
      </c>
      <c r="U99" s="42">
        <v>45.50323048992022</v>
      </c>
      <c r="AD99" s="33">
        <f t="shared" si="9"/>
        <v>6.0888113244134345</v>
      </c>
    </row>
    <row r="100" spans="1:30" x14ac:dyDescent="0.2">
      <c r="A100" s="40">
        <v>35</v>
      </c>
      <c r="B100" s="40" t="s">
        <v>297</v>
      </c>
      <c r="C100" s="40">
        <v>220</v>
      </c>
      <c r="D100" s="40">
        <v>716288.78009999904</v>
      </c>
      <c r="E100" s="40">
        <v>231101.31889999899</v>
      </c>
      <c r="F100" s="40">
        <v>299</v>
      </c>
      <c r="G100" s="41">
        <f t="shared" si="8"/>
        <v>52.004772507867031</v>
      </c>
      <c r="H100" s="46">
        <v>5.1708333333333298</v>
      </c>
      <c r="I100" s="46">
        <v>1.102645254194861</v>
      </c>
      <c r="J100" s="46">
        <v>1.9562524419660994</v>
      </c>
      <c r="K100" s="42">
        <f t="shared" si="10"/>
        <v>101.73446321240635</v>
      </c>
      <c r="L100" s="46">
        <v>2.916370842711892</v>
      </c>
      <c r="M100" s="42">
        <f t="shared" si="11"/>
        <v>151.66520222380839</v>
      </c>
      <c r="N100" s="33">
        <v>97.808418535452745</v>
      </c>
      <c r="O100" s="33">
        <v>35.84763245543531</v>
      </c>
      <c r="P100" s="33">
        <v>1.4788673190221859</v>
      </c>
      <c r="Q100" s="33">
        <v>0</v>
      </c>
      <c r="R100" s="33">
        <v>0</v>
      </c>
      <c r="S100" s="33">
        <v>0.96156082862165793</v>
      </c>
      <c r="T100" s="33">
        <v>7.4258969590048105</v>
      </c>
      <c r="U100" s="42">
        <v>45.713957562083969</v>
      </c>
      <c r="AD100" s="33">
        <f t="shared" si="9"/>
        <v>6.2734785875281904</v>
      </c>
    </row>
    <row r="101" spans="1:30" x14ac:dyDescent="0.2">
      <c r="A101" s="40">
        <v>36</v>
      </c>
      <c r="B101" s="40" t="s">
        <v>298</v>
      </c>
      <c r="C101" s="40">
        <v>220</v>
      </c>
      <c r="D101" s="40">
        <v>759306.69059999904</v>
      </c>
      <c r="E101" s="40">
        <v>241853.89110000001</v>
      </c>
      <c r="F101" s="40">
        <v>318</v>
      </c>
      <c r="G101" s="41">
        <f t="shared" si="8"/>
        <v>55.309423603684671</v>
      </c>
      <c r="H101" s="46">
        <v>6.4473684210526301</v>
      </c>
      <c r="I101" s="46">
        <v>0.93417771361073676</v>
      </c>
      <c r="J101" s="46">
        <v>1.9138802802883619</v>
      </c>
      <c r="K101" s="42">
        <f t="shared" si="10"/>
        <v>105.85561514920775</v>
      </c>
      <c r="L101" s="46">
        <v>2.8559656227502752</v>
      </c>
      <c r="M101" s="42">
        <f t="shared" si="11"/>
        <v>157.96181242625607</v>
      </c>
      <c r="N101" s="33">
        <v>93.311558449668709</v>
      </c>
      <c r="O101" s="33">
        <v>37.304050933115732</v>
      </c>
      <c r="P101" s="33">
        <v>1.4788673190221859</v>
      </c>
      <c r="Q101" s="33">
        <v>0</v>
      </c>
      <c r="R101" s="33">
        <v>0</v>
      </c>
      <c r="S101" s="33">
        <v>0.96156082862165793</v>
      </c>
      <c r="T101" s="33">
        <v>7.2238490179533859</v>
      </c>
      <c r="U101" s="42">
        <v>46.968328098712966</v>
      </c>
      <c r="AD101" s="33">
        <f t="shared" si="9"/>
        <v>7.3815461346633668</v>
      </c>
    </row>
    <row r="102" spans="1:30" x14ac:dyDescent="0.2">
      <c r="A102" s="40">
        <v>37</v>
      </c>
      <c r="B102" s="40" t="s">
        <v>299</v>
      </c>
      <c r="C102" s="40">
        <v>220</v>
      </c>
      <c r="D102" s="40">
        <v>663984.96990000003</v>
      </c>
      <c r="E102" s="40">
        <v>247987.40619999901</v>
      </c>
      <c r="F102" s="40">
        <v>204</v>
      </c>
      <c r="G102" s="41">
        <f t="shared" si="8"/>
        <v>35.481517028778846</v>
      </c>
      <c r="H102" s="46">
        <v>1.9489795918367301</v>
      </c>
      <c r="I102" s="46">
        <v>3.1525014833141221</v>
      </c>
      <c r="J102" s="46">
        <v>1.9890244078537833</v>
      </c>
      <c r="K102" s="42">
        <f t="shared" si="10"/>
        <v>70.573603397920778</v>
      </c>
      <c r="L102" s="46">
        <v>2.9017061332387244</v>
      </c>
      <c r="M102" s="42">
        <f t="shared" si="11"/>
        <v>102.95693557902182</v>
      </c>
      <c r="N102" s="33">
        <v>104.70813488032161</v>
      </c>
      <c r="O102" s="33">
        <v>34.307185903025257</v>
      </c>
      <c r="P102" s="33">
        <v>1.4788673190221859</v>
      </c>
      <c r="Q102" s="33">
        <v>0</v>
      </c>
      <c r="R102" s="33">
        <v>0</v>
      </c>
      <c r="S102" s="33">
        <v>0.96156082862165793</v>
      </c>
      <c r="T102" s="33">
        <v>7.4476918657147166</v>
      </c>
      <c r="U102" s="42">
        <v>44.195305916383816</v>
      </c>
      <c r="AD102" s="33">
        <f t="shared" si="9"/>
        <v>5.1014810751508524</v>
      </c>
    </row>
    <row r="103" spans="1:30" x14ac:dyDescent="0.2">
      <c r="A103" s="40">
        <v>38</v>
      </c>
      <c r="B103" s="40" t="s">
        <v>300</v>
      </c>
      <c r="C103" s="40">
        <v>220</v>
      </c>
      <c r="D103" s="40">
        <v>677560.11199999903</v>
      </c>
      <c r="E103" s="40">
        <v>246269.16200000001</v>
      </c>
      <c r="F103" s="40">
        <v>109</v>
      </c>
      <c r="G103" s="41">
        <f t="shared" si="8"/>
        <v>18.958261549690658</v>
      </c>
      <c r="H103" s="46">
        <v>2.4242424242424199</v>
      </c>
      <c r="I103" s="46">
        <v>2.886960895259655</v>
      </c>
      <c r="J103" s="46">
        <v>1.9829381830420989</v>
      </c>
      <c r="K103" s="42">
        <f t="shared" si="10"/>
        <v>37.593060710980481</v>
      </c>
      <c r="L103" s="46">
        <v>2.8989344186608328</v>
      </c>
      <c r="M103" s="42">
        <f t="shared" si="11"/>
        <v>54.958756924372508</v>
      </c>
      <c r="N103" s="33">
        <v>103.50954787366128</v>
      </c>
      <c r="O103" s="33">
        <v>34.582839993467154</v>
      </c>
      <c r="P103" s="33">
        <v>1.4788673190221859</v>
      </c>
      <c r="Q103" s="33">
        <v>0</v>
      </c>
      <c r="R103" s="33">
        <v>0</v>
      </c>
      <c r="S103" s="33">
        <v>0.96156082862165793</v>
      </c>
      <c r="T103" s="33">
        <v>7.4648794979462494</v>
      </c>
      <c r="U103" s="42">
        <v>44.488147639057239</v>
      </c>
      <c r="AD103" s="33">
        <f t="shared" si="9"/>
        <v>5.3112033195020754</v>
      </c>
    </row>
    <row r="104" spans="1:30" x14ac:dyDescent="0.2">
      <c r="A104" s="40">
        <v>39</v>
      </c>
      <c r="B104" s="40" t="s">
        <v>301</v>
      </c>
      <c r="C104" s="40">
        <v>220</v>
      </c>
      <c r="D104" s="40">
        <v>650438.57039999904</v>
      </c>
      <c r="E104" s="40">
        <v>251068.724599999</v>
      </c>
      <c r="F104" s="40">
        <v>184</v>
      </c>
      <c r="G104" s="41">
        <f t="shared" si="8"/>
        <v>32.002936927918171</v>
      </c>
      <c r="H104" s="46">
        <v>1.2527472527472501</v>
      </c>
      <c r="I104" s="46">
        <v>3.5540963890478552</v>
      </c>
      <c r="J104" s="46">
        <v>1.9966887230041599</v>
      </c>
      <c r="K104" s="42">
        <f t="shared" si="10"/>
        <v>63.899903266987607</v>
      </c>
      <c r="L104" s="46">
        <v>2.9076746863361702</v>
      </c>
      <c r="M104" s="42">
        <f t="shared" si="11"/>
        <v>93.054129593720702</v>
      </c>
      <c r="N104" s="33">
        <v>106.41054926173115</v>
      </c>
      <c r="O104" s="33">
        <v>33.919921242793038</v>
      </c>
      <c r="P104" s="33">
        <v>1.4788673190221859</v>
      </c>
      <c r="Q104" s="33">
        <v>0</v>
      </c>
      <c r="R104" s="33">
        <v>0</v>
      </c>
      <c r="S104" s="33">
        <v>0.96156082862165793</v>
      </c>
      <c r="T104" s="33">
        <v>7.4242851210269372</v>
      </c>
      <c r="U104" s="42">
        <v>43.784634511463821</v>
      </c>
      <c r="AD104" s="33">
        <f t="shared" si="9"/>
        <v>4.8068436417951048</v>
      </c>
    </row>
    <row r="105" spans="1:30" x14ac:dyDescent="0.2">
      <c r="A105" s="40">
        <v>40</v>
      </c>
      <c r="B105" s="40" t="s">
        <v>302</v>
      </c>
      <c r="C105" s="40">
        <v>220</v>
      </c>
      <c r="D105" s="40">
        <v>689640.28960000002</v>
      </c>
      <c r="E105" s="40">
        <v>248388.980799999</v>
      </c>
      <c r="F105" s="40">
        <v>97</v>
      </c>
      <c r="G105" s="41">
        <f t="shared" si="8"/>
        <v>16.871113489174252</v>
      </c>
      <c r="H105" s="46">
        <v>2.8695652173913002</v>
      </c>
      <c r="I105" s="46">
        <v>2.739682461213969</v>
      </c>
      <c r="J105" s="46">
        <v>1.9733934695079109</v>
      </c>
      <c r="K105" s="42">
        <f t="shared" si="10"/>
        <v>33.293345182863298</v>
      </c>
      <c r="L105" s="46">
        <v>2.8924094028832941</v>
      </c>
      <c r="M105" s="42">
        <f t="shared" si="11"/>
        <v>48.798167293198787</v>
      </c>
      <c r="N105" s="33">
        <v>101.91786230633463</v>
      </c>
      <c r="O105" s="33">
        <v>34.974582638478807</v>
      </c>
      <c r="P105" s="33">
        <v>1.4788673190221859</v>
      </c>
      <c r="Q105" s="33">
        <v>0</v>
      </c>
      <c r="R105" s="33">
        <v>0</v>
      </c>
      <c r="S105" s="33">
        <v>0.96156082862165793</v>
      </c>
      <c r="T105" s="33">
        <v>7.4844197250569309</v>
      </c>
      <c r="U105" s="42">
        <v>44.899430511179588</v>
      </c>
      <c r="AD105" s="33">
        <f t="shared" si="9"/>
        <v>5.6092476786052696</v>
      </c>
    </row>
    <row r="106" spans="1:30" x14ac:dyDescent="0.2">
      <c r="A106" s="40">
        <v>104</v>
      </c>
      <c r="B106" s="40" t="s">
        <v>303</v>
      </c>
      <c r="C106" s="40">
        <v>380</v>
      </c>
      <c r="D106" s="40">
        <v>586472.97100000002</v>
      </c>
      <c r="E106" s="40">
        <v>243167.143199999</v>
      </c>
      <c r="F106" s="40">
        <v>964</v>
      </c>
      <c r="G106" s="41">
        <f t="shared" si="8"/>
        <v>167.66756086148433</v>
      </c>
      <c r="H106" s="46">
        <v>0</v>
      </c>
      <c r="I106" s="46">
        <v>8</v>
      </c>
      <c r="J106" s="46">
        <v>1.885782209063388</v>
      </c>
      <c r="K106" s="42">
        <f t="shared" si="10"/>
        <v>316.18450330963998</v>
      </c>
      <c r="L106" s="46">
        <v>2.8098899699570712</v>
      </c>
      <c r="M106" s="42">
        <f t="shared" si="11"/>
        <v>471.12739755185163</v>
      </c>
      <c r="N106" s="33">
        <v>91.097363866379993</v>
      </c>
      <c r="O106" s="33">
        <v>38.116932457710448</v>
      </c>
      <c r="P106" s="33">
        <v>1.4788673190221859</v>
      </c>
      <c r="Q106" s="33">
        <v>0</v>
      </c>
      <c r="R106" s="33">
        <v>0</v>
      </c>
      <c r="S106" s="33">
        <v>0.96156082862165793</v>
      </c>
      <c r="T106" s="33">
        <v>7.1045008288680265</v>
      </c>
      <c r="U106" s="42">
        <v>47.661861434222317</v>
      </c>
      <c r="AD106" s="33">
        <f t="shared" si="9"/>
        <v>8</v>
      </c>
    </row>
    <row r="107" spans="1:30" x14ac:dyDescent="0.2">
      <c r="A107" s="40">
        <v>41</v>
      </c>
      <c r="B107" s="40" t="s">
        <v>304</v>
      </c>
      <c r="C107" s="40">
        <v>220</v>
      </c>
      <c r="D107" s="40">
        <v>740762.28240000003</v>
      </c>
      <c r="E107" s="40">
        <v>251464.70339999901</v>
      </c>
      <c r="F107" s="40">
        <v>552</v>
      </c>
      <c r="G107" s="41">
        <f t="shared" si="8"/>
        <v>96.008810783754512</v>
      </c>
      <c r="H107" s="46">
        <v>5.1927966101694896</v>
      </c>
      <c r="I107" s="46">
        <v>1.369753964357151</v>
      </c>
      <c r="J107" s="46">
        <v>1.9463174678757866</v>
      </c>
      <c r="K107" s="42">
        <f t="shared" si="10"/>
        <v>186.8636254984026</v>
      </c>
      <c r="L107" s="46">
        <v>2.903465962060547</v>
      </c>
      <c r="M107" s="42">
        <f t="shared" si="11"/>
        <v>278.75831416854282</v>
      </c>
      <c r="N107" s="33">
        <v>96.55610129122158</v>
      </c>
      <c r="O107" s="33">
        <v>36.227582021084828</v>
      </c>
      <c r="P107" s="33">
        <v>1.4788673190221859</v>
      </c>
      <c r="Q107" s="33">
        <v>0</v>
      </c>
      <c r="R107" s="33">
        <v>0</v>
      </c>
      <c r="S107" s="33">
        <v>0.96156082862165793</v>
      </c>
      <c r="T107" s="33">
        <v>7.3747885197809886</v>
      </c>
      <c r="U107" s="42">
        <v>46.042798688509663</v>
      </c>
      <c r="AD107" s="33">
        <f t="shared" si="9"/>
        <v>6.5625505745266404</v>
      </c>
    </row>
    <row r="108" spans="1:30" x14ac:dyDescent="0.2">
      <c r="A108" s="40">
        <v>42</v>
      </c>
      <c r="B108" s="40" t="s">
        <v>305</v>
      </c>
      <c r="C108" s="40">
        <v>220</v>
      </c>
      <c r="D108" s="40">
        <v>685585.06209999905</v>
      </c>
      <c r="E108" s="40">
        <v>252045.95699999901</v>
      </c>
      <c r="F108" s="40">
        <v>34</v>
      </c>
      <c r="G108" s="41">
        <f t="shared" si="8"/>
        <v>5.913586171463141</v>
      </c>
      <c r="H108" s="46">
        <v>2.5</v>
      </c>
      <c r="I108" s="46">
        <v>2.987506124448811</v>
      </c>
      <c r="J108" s="46">
        <v>1.9774079388302461</v>
      </c>
      <c r="K108" s="42">
        <f t="shared" si="10"/>
        <v>11.693572242407976</v>
      </c>
      <c r="L108" s="46">
        <v>2.8953436983747194</v>
      </c>
      <c r="M108" s="42">
        <f t="shared" si="11"/>
        <v>17.121864456341687</v>
      </c>
      <c r="N108" s="33">
        <v>102.5552118779469</v>
      </c>
      <c r="O108" s="33">
        <v>34.814568342027826</v>
      </c>
      <c r="P108" s="33">
        <v>1.4788673190221859</v>
      </c>
      <c r="Q108" s="33">
        <v>0</v>
      </c>
      <c r="R108" s="33">
        <v>0</v>
      </c>
      <c r="S108" s="33">
        <v>0.96156082862165793</v>
      </c>
      <c r="T108" s="33">
        <v>7.4769854358810699</v>
      </c>
      <c r="U108" s="42">
        <v>44.731981925552738</v>
      </c>
      <c r="AD108" s="33">
        <f t="shared" si="9"/>
        <v>5.487506124448811</v>
      </c>
    </row>
    <row r="109" spans="1:30" x14ac:dyDescent="0.2">
      <c r="A109" s="40">
        <v>43</v>
      </c>
      <c r="B109" s="40" t="s">
        <v>306</v>
      </c>
      <c r="C109" s="40">
        <v>220</v>
      </c>
      <c r="D109" s="40">
        <v>684240.44030000002</v>
      </c>
      <c r="E109" s="40">
        <v>253028.099099999</v>
      </c>
      <c r="F109" s="40">
        <v>54</v>
      </c>
      <c r="G109" s="41">
        <f t="shared" si="8"/>
        <v>9.3921662723238111</v>
      </c>
      <c r="H109" s="46">
        <v>2</v>
      </c>
      <c r="I109" s="46">
        <v>3.3973013493253452</v>
      </c>
      <c r="J109" s="46">
        <v>1.9802926355888937</v>
      </c>
      <c r="K109" s="42">
        <f t="shared" si="10"/>
        <v>18.599237701309235</v>
      </c>
      <c r="L109" s="46">
        <v>2.8974893119295313</v>
      </c>
      <c r="M109" s="42">
        <f t="shared" si="11"/>
        <v>27.213701389923269</v>
      </c>
      <c r="N109" s="33">
        <v>103.03418353779581</v>
      </c>
      <c r="O109" s="33">
        <v>34.696005262002167</v>
      </c>
      <c r="P109" s="33">
        <v>1.4788673190221859</v>
      </c>
      <c r="Q109" s="33">
        <v>0</v>
      </c>
      <c r="R109" s="33">
        <v>0</v>
      </c>
      <c r="S109" s="33">
        <v>0.96156082862165793</v>
      </c>
      <c r="T109" s="33">
        <v>7.4712696414968844</v>
      </c>
      <c r="U109" s="42">
        <v>44.607703051142899</v>
      </c>
      <c r="AD109" s="33">
        <f t="shared" si="9"/>
        <v>5.3973013493253452</v>
      </c>
    </row>
    <row r="110" spans="1:30" x14ac:dyDescent="0.2">
      <c r="A110" s="40">
        <v>44</v>
      </c>
      <c r="B110" s="40" t="s">
        <v>307</v>
      </c>
      <c r="C110" s="40">
        <v>220</v>
      </c>
      <c r="D110" s="40">
        <v>640766.50719999894</v>
      </c>
      <c r="E110" s="40">
        <v>246565.445199999</v>
      </c>
      <c r="F110" s="40">
        <v>136</v>
      </c>
      <c r="G110" s="41">
        <f t="shared" si="8"/>
        <v>23.654344685852564</v>
      </c>
      <c r="H110" s="46">
        <v>1.09770114942528</v>
      </c>
      <c r="I110" s="46">
        <v>3.4767852997375059</v>
      </c>
      <c r="J110" s="46">
        <v>2.0013908461762115</v>
      </c>
      <c r="K110" s="42">
        <f t="shared" si="10"/>
        <v>47.341588926562238</v>
      </c>
      <c r="L110" s="46">
        <v>2.9115656786013182</v>
      </c>
      <c r="M110" s="42">
        <f t="shared" si="11"/>
        <v>68.871178137133811</v>
      </c>
      <c r="N110" s="33">
        <v>107.83384512086714</v>
      </c>
      <c r="O110" s="33">
        <v>33.614516297357547</v>
      </c>
      <c r="P110" s="33">
        <v>1.4788673190221859</v>
      </c>
      <c r="Q110" s="33">
        <v>0</v>
      </c>
      <c r="R110" s="33">
        <v>0</v>
      </c>
      <c r="S110" s="33">
        <v>0.96156082862165793</v>
      </c>
      <c r="T110" s="33">
        <v>7.4023745924533664</v>
      </c>
      <c r="U110" s="42">
        <v>43.457319037454752</v>
      </c>
      <c r="AD110" s="33">
        <f t="shared" si="9"/>
        <v>4.5744864491627855</v>
      </c>
    </row>
    <row r="111" spans="1:30" x14ac:dyDescent="0.2">
      <c r="A111" s="40">
        <v>45</v>
      </c>
      <c r="B111" s="40" t="s">
        <v>308</v>
      </c>
      <c r="C111" s="40">
        <v>220</v>
      </c>
      <c r="D111" s="40">
        <v>676486.25300000003</v>
      </c>
      <c r="E111" s="40">
        <v>256421.06340000001</v>
      </c>
      <c r="F111" s="40">
        <v>159</v>
      </c>
      <c r="G111" s="41">
        <f t="shared" si="8"/>
        <v>27.654711801842335</v>
      </c>
      <c r="H111" s="46">
        <v>1.6666666666666601</v>
      </c>
      <c r="I111" s="46">
        <v>3.8018575254831841</v>
      </c>
      <c r="J111" s="46">
        <v>1.9780146436886457</v>
      </c>
      <c r="K111" s="42">
        <f t="shared" si="10"/>
        <v>54.701424911033349</v>
      </c>
      <c r="L111" s="46">
        <v>2.8956803013755597</v>
      </c>
      <c r="M111" s="42">
        <f t="shared" si="11"/>
        <v>80.079204204813067</v>
      </c>
      <c r="N111" s="33">
        <v>102.65799361050932</v>
      </c>
      <c r="O111" s="33">
        <v>34.789618927153462</v>
      </c>
      <c r="P111" s="33">
        <v>1.4788673190221859</v>
      </c>
      <c r="Q111" s="33">
        <v>0</v>
      </c>
      <c r="R111" s="33">
        <v>0</v>
      </c>
      <c r="S111" s="33">
        <v>0.96156082862165793</v>
      </c>
      <c r="T111" s="33">
        <v>7.4756443864537898</v>
      </c>
      <c r="U111" s="42">
        <v>44.705691461251092</v>
      </c>
      <c r="AD111" s="33">
        <f t="shared" si="9"/>
        <v>5.468524192149844</v>
      </c>
    </row>
    <row r="112" spans="1:30" x14ac:dyDescent="0.2">
      <c r="A112" s="40">
        <v>46</v>
      </c>
      <c r="B112" s="40" t="s">
        <v>309</v>
      </c>
      <c r="C112" s="40">
        <v>220</v>
      </c>
      <c r="D112" s="40">
        <v>691596.32519999903</v>
      </c>
      <c r="E112" s="40">
        <v>258207.731999999</v>
      </c>
      <c r="F112" s="40">
        <v>84</v>
      </c>
      <c r="G112" s="41">
        <f t="shared" si="8"/>
        <v>14.610036423614819</v>
      </c>
      <c r="H112" s="46">
        <v>1.9310344827586201</v>
      </c>
      <c r="I112" s="46">
        <v>3.2525508304163311</v>
      </c>
      <c r="J112" s="46">
        <v>1.9867001377974507</v>
      </c>
      <c r="K112" s="42">
        <f t="shared" si="10"/>
        <v>29.025761376021336</v>
      </c>
      <c r="L112" s="46">
        <v>2.9006849132639574</v>
      </c>
      <c r="M112" s="42">
        <f t="shared" si="11"/>
        <v>42.379112236216407</v>
      </c>
      <c r="N112" s="33">
        <v>104.23315205351655</v>
      </c>
      <c r="O112" s="33">
        <v>34.415101823551332</v>
      </c>
      <c r="P112" s="33">
        <v>1.4788673190221859</v>
      </c>
      <c r="Q112" s="33">
        <v>0</v>
      </c>
      <c r="R112" s="33">
        <v>0</v>
      </c>
      <c r="S112" s="33">
        <v>0.96156082862165793</v>
      </c>
      <c r="T112" s="33">
        <v>7.4546174986884663</v>
      </c>
      <c r="U112" s="42">
        <v>44.310147469883645</v>
      </c>
      <c r="AD112" s="33">
        <f t="shared" si="9"/>
        <v>5.1835853131749516</v>
      </c>
    </row>
    <row r="113" spans="1:30" x14ac:dyDescent="0.2">
      <c r="A113" s="40">
        <v>47</v>
      </c>
      <c r="B113" s="40" t="s">
        <v>310</v>
      </c>
      <c r="C113" s="40">
        <v>220</v>
      </c>
      <c r="D113" s="40">
        <v>695591.94620000001</v>
      </c>
      <c r="E113" s="40">
        <v>259780.95120000001</v>
      </c>
      <c r="F113" s="40">
        <v>112</v>
      </c>
      <c r="G113" s="41">
        <f t="shared" si="8"/>
        <v>19.480048564819757</v>
      </c>
      <c r="H113" s="46">
        <v>2.4375</v>
      </c>
      <c r="I113" s="46">
        <v>2.964373230233079</v>
      </c>
      <c r="J113" s="46">
        <v>1.9801205533502722</v>
      </c>
      <c r="K113" s="42">
        <f t="shared" si="10"/>
        <v>38.572844543461073</v>
      </c>
      <c r="L113" s="46">
        <v>2.8969043294479722</v>
      </c>
      <c r="M113" s="42">
        <f t="shared" si="11"/>
        <v>56.431837025283109</v>
      </c>
      <c r="N113" s="33">
        <v>103.01996118688137</v>
      </c>
      <c r="O113" s="33">
        <v>34.702014437028545</v>
      </c>
      <c r="P113" s="33">
        <v>1.4788673190221859</v>
      </c>
      <c r="Q113" s="33">
        <v>0</v>
      </c>
      <c r="R113" s="33">
        <v>0</v>
      </c>
      <c r="S113" s="33">
        <v>0.96156082862165793</v>
      </c>
      <c r="T113" s="33">
        <v>7.470938351391025</v>
      </c>
      <c r="U113" s="42">
        <v>44.613380936063407</v>
      </c>
      <c r="AD113" s="33">
        <f t="shared" si="9"/>
        <v>5.401873230233079</v>
      </c>
    </row>
    <row r="114" spans="1:30" x14ac:dyDescent="0.2">
      <c r="A114" s="40">
        <v>48</v>
      </c>
      <c r="B114" s="40" t="s">
        <v>311</v>
      </c>
      <c r="C114" s="40">
        <v>220</v>
      </c>
      <c r="D114" s="40">
        <v>761765.77269999904</v>
      </c>
      <c r="E114" s="40">
        <v>245460.7366</v>
      </c>
      <c r="F114" s="40">
        <v>141</v>
      </c>
      <c r="G114" s="41">
        <f t="shared" si="8"/>
        <v>24.523989711067731</v>
      </c>
      <c r="H114" s="46">
        <v>5.8181818181818103</v>
      </c>
      <c r="I114" s="46">
        <v>1.692783094098911</v>
      </c>
      <c r="J114" s="46">
        <v>1.9082212599502071</v>
      </c>
      <c r="K114" s="42">
        <f t="shared" si="10"/>
        <v>46.79719854545958</v>
      </c>
      <c r="L114" s="46">
        <v>2.8466005969558159</v>
      </c>
      <c r="M114" s="42">
        <f t="shared" si="11"/>
        <v>69.810003751263693</v>
      </c>
      <c r="N114" s="33">
        <v>92.840779018599179</v>
      </c>
      <c r="O114" s="33">
        <v>37.474155995364015</v>
      </c>
      <c r="P114" s="33">
        <v>1.4788673190221859</v>
      </c>
      <c r="Q114" s="33">
        <v>0</v>
      </c>
      <c r="R114" s="33">
        <v>0</v>
      </c>
      <c r="S114" s="33">
        <v>0.96156082862165793</v>
      </c>
      <c r="T114" s="33">
        <v>7.1988653777846636</v>
      </c>
      <c r="U114" s="42">
        <v>47.113449520792521</v>
      </c>
      <c r="AD114" s="33">
        <f t="shared" si="9"/>
        <v>7.5109649122807216</v>
      </c>
    </row>
    <row r="115" spans="1:30" x14ac:dyDescent="0.2">
      <c r="A115" s="40">
        <v>49</v>
      </c>
      <c r="B115" s="40" t="s">
        <v>312</v>
      </c>
      <c r="C115" s="40">
        <v>220</v>
      </c>
      <c r="D115" s="40">
        <v>631991.57889999903</v>
      </c>
      <c r="E115" s="40">
        <v>258204.37369999901</v>
      </c>
      <c r="F115" s="40">
        <v>236</v>
      </c>
      <c r="G115" s="41">
        <f t="shared" si="8"/>
        <v>41.04724519015592</v>
      </c>
      <c r="H115" s="46">
        <v>0.765625</v>
      </c>
      <c r="I115" s="46">
        <v>6.7447016992114159</v>
      </c>
      <c r="J115" s="46">
        <v>1.9082506603425118</v>
      </c>
      <c r="K115" s="42">
        <f t="shared" si="10"/>
        <v>78.328432739356018</v>
      </c>
      <c r="L115" s="46">
        <v>2.8466814544608079</v>
      </c>
      <c r="M115" s="42">
        <f t="shared" si="11"/>
        <v>116.84843163952246</v>
      </c>
      <c r="N115" s="33">
        <v>92.842505107020429</v>
      </c>
      <c r="O115" s="33">
        <v>37.47331714279656</v>
      </c>
      <c r="P115" s="33">
        <v>1.4788673190221859</v>
      </c>
      <c r="Q115" s="33">
        <v>0</v>
      </c>
      <c r="R115" s="33">
        <v>0</v>
      </c>
      <c r="S115" s="33">
        <v>0.96156082862165793</v>
      </c>
      <c r="T115" s="33">
        <v>7.1990179378028039</v>
      </c>
      <c r="U115" s="42">
        <v>47.11276322824321</v>
      </c>
      <c r="AD115" s="33">
        <f t="shared" si="9"/>
        <v>7.5103266992114159</v>
      </c>
    </row>
    <row r="116" spans="1:30" x14ac:dyDescent="0.2">
      <c r="A116" s="40">
        <v>114</v>
      </c>
      <c r="B116" s="40" t="s">
        <v>313</v>
      </c>
      <c r="C116" s="40">
        <v>220</v>
      </c>
      <c r="D116" s="40">
        <v>610441.10120000003</v>
      </c>
      <c r="E116" s="40">
        <v>261544.968499999</v>
      </c>
      <c r="F116" s="40">
        <v>296</v>
      </c>
      <c r="G116" s="41">
        <f t="shared" si="8"/>
        <v>51.482985492737932</v>
      </c>
      <c r="H116" s="46">
        <v>0</v>
      </c>
      <c r="I116" s="46">
        <v>8</v>
      </c>
      <c r="J116" s="46">
        <v>1.885782209063388</v>
      </c>
      <c r="K116" s="42">
        <f t="shared" si="10"/>
        <v>97.085698111673693</v>
      </c>
      <c r="L116" s="46">
        <v>2.8098899699570712</v>
      </c>
      <c r="M116" s="42">
        <f t="shared" si="11"/>
        <v>144.66152455948972</v>
      </c>
      <c r="N116" s="33">
        <v>91.097363866379993</v>
      </c>
      <c r="O116" s="33">
        <v>38.116932457710448</v>
      </c>
      <c r="P116" s="33">
        <v>1.4788673190221859</v>
      </c>
      <c r="Q116" s="33">
        <v>0</v>
      </c>
      <c r="R116" s="33">
        <v>0</v>
      </c>
      <c r="S116" s="33">
        <v>0.96156082862165793</v>
      </c>
      <c r="T116" s="33">
        <v>7.1045008288680265</v>
      </c>
      <c r="U116" s="42">
        <v>47.661861434222317</v>
      </c>
      <c r="AD116" s="33">
        <f t="shared" si="9"/>
        <v>8</v>
      </c>
    </row>
    <row r="117" spans="1:30" x14ac:dyDescent="0.2">
      <c r="A117" s="40">
        <v>115</v>
      </c>
      <c r="B117" s="40" t="s">
        <v>314</v>
      </c>
      <c r="C117" s="40">
        <v>220</v>
      </c>
      <c r="D117" s="40">
        <v>617716.70510000002</v>
      </c>
      <c r="E117" s="40">
        <v>263463.51339999901</v>
      </c>
      <c r="F117" s="40">
        <v>132</v>
      </c>
      <c r="G117" s="41">
        <f t="shared" si="8"/>
        <v>22.958628665680429</v>
      </c>
      <c r="H117" s="46">
        <v>0</v>
      </c>
      <c r="I117" s="46">
        <v>8</v>
      </c>
      <c r="J117" s="46">
        <v>1.885782209063388</v>
      </c>
      <c r="K117" s="42">
        <f t="shared" si="10"/>
        <v>43.294973482232862</v>
      </c>
      <c r="L117" s="46">
        <v>2.8098899699570712</v>
      </c>
      <c r="M117" s="42">
        <f t="shared" si="11"/>
        <v>64.51122041166434</v>
      </c>
      <c r="N117" s="33">
        <v>91.097363866379993</v>
      </c>
      <c r="O117" s="33">
        <v>38.116932457710448</v>
      </c>
      <c r="P117" s="33">
        <v>1.4788673190221859</v>
      </c>
      <c r="Q117" s="33">
        <v>0</v>
      </c>
      <c r="R117" s="33">
        <v>0</v>
      </c>
      <c r="S117" s="33">
        <v>0.96156082862165793</v>
      </c>
      <c r="T117" s="33">
        <v>7.1045008288680265</v>
      </c>
      <c r="U117" s="42">
        <v>47.661861434222317</v>
      </c>
      <c r="AD117" s="33">
        <f t="shared" si="9"/>
        <v>8</v>
      </c>
    </row>
    <row r="118" spans="1:30" x14ac:dyDescent="0.2">
      <c r="A118" s="40">
        <v>50</v>
      </c>
      <c r="B118" s="40" t="s">
        <v>315</v>
      </c>
      <c r="C118" s="40">
        <v>220</v>
      </c>
      <c r="D118" s="40">
        <v>712592.41359999904</v>
      </c>
      <c r="E118" s="40">
        <v>261994.69080000001</v>
      </c>
      <c r="F118" s="40">
        <v>393</v>
      </c>
      <c r="G118" s="41">
        <f t="shared" si="8"/>
        <v>68.354098981912188</v>
      </c>
      <c r="H118" s="46">
        <v>3.24152542372881</v>
      </c>
      <c r="I118" s="46">
        <v>2.5109466943910341</v>
      </c>
      <c r="J118" s="46">
        <v>1.9718393724002401</v>
      </c>
      <c r="K118" s="42">
        <f t="shared" si="10"/>
        <v>134.78330363747762</v>
      </c>
      <c r="L118" s="46">
        <v>2.9346118437986766</v>
      </c>
      <c r="M118" s="42">
        <f t="shared" si="11"/>
        <v>200.59274844450655</v>
      </c>
      <c r="N118" s="33">
        <v>100.23820823356341</v>
      </c>
      <c r="O118" s="33">
        <v>35.162833544936412</v>
      </c>
      <c r="P118" s="33">
        <v>1.4788673190221859</v>
      </c>
      <c r="Q118" s="33">
        <v>0</v>
      </c>
      <c r="R118" s="33">
        <v>0</v>
      </c>
      <c r="S118" s="33">
        <v>0.96156082862165793</v>
      </c>
      <c r="T118" s="33">
        <v>7.5150802307559781</v>
      </c>
      <c r="U118" s="42">
        <v>45.118341923336232</v>
      </c>
      <c r="AD118" s="33">
        <f t="shared" si="9"/>
        <v>5.7524721181198437</v>
      </c>
    </row>
    <row r="119" spans="1:30" x14ac:dyDescent="0.2">
      <c r="A119" s="40">
        <v>51</v>
      </c>
      <c r="B119" s="40" t="s">
        <v>316</v>
      </c>
      <c r="C119" s="40">
        <v>220</v>
      </c>
      <c r="D119" s="40">
        <v>658908.22580000001</v>
      </c>
      <c r="E119" s="40">
        <v>253304.60099999901</v>
      </c>
      <c r="F119" s="40">
        <v>131</v>
      </c>
      <c r="G119" s="41">
        <f t="shared" si="8"/>
        <v>22.784699660637393</v>
      </c>
      <c r="H119" s="46">
        <v>1.3</v>
      </c>
      <c r="I119" s="46">
        <v>3.9397429560059352</v>
      </c>
      <c r="J119" s="46">
        <v>1.9850610761543648</v>
      </c>
      <c r="K119" s="42">
        <f t="shared" si="10"/>
        <v>45.229020428198851</v>
      </c>
      <c r="L119" s="46">
        <v>2.8998438431266034</v>
      </c>
      <c r="M119" s="42">
        <f t="shared" si="11"/>
        <v>66.072071028388152</v>
      </c>
      <c r="N119" s="33">
        <v>103.91466794113336</v>
      </c>
      <c r="O119" s="33">
        <v>34.488914136612465</v>
      </c>
      <c r="P119" s="33">
        <v>1.4788673190221859</v>
      </c>
      <c r="Q119" s="33">
        <v>0</v>
      </c>
      <c r="R119" s="33">
        <v>0</v>
      </c>
      <c r="S119" s="33">
        <v>0.96156082862165793</v>
      </c>
      <c r="T119" s="33">
        <v>7.4590823597260831</v>
      </c>
      <c r="U119" s="42">
        <v>44.388424643982397</v>
      </c>
      <c r="AD119" s="33">
        <f t="shared" si="9"/>
        <v>5.2397429560059354</v>
      </c>
    </row>
    <row r="120" spans="1:30" x14ac:dyDescent="0.2">
      <c r="A120" s="40">
        <v>52</v>
      </c>
      <c r="B120" s="40" t="s">
        <v>317</v>
      </c>
      <c r="C120" s="40">
        <v>220</v>
      </c>
      <c r="D120" s="40">
        <v>640173.5331</v>
      </c>
      <c r="E120" s="40">
        <v>266393.05560000002</v>
      </c>
      <c r="F120" s="40">
        <v>84</v>
      </c>
      <c r="G120" s="41">
        <f t="shared" si="8"/>
        <v>14.610036423614819</v>
      </c>
      <c r="H120" s="46">
        <v>0.43333333333333302</v>
      </c>
      <c r="I120" s="46">
        <v>7.4098039215686278</v>
      </c>
      <c r="J120" s="46">
        <v>1.8931694986741461</v>
      </c>
      <c r="K120" s="42">
        <f t="shared" si="10"/>
        <v>27.659275331705881</v>
      </c>
      <c r="L120" s="46">
        <v>2.8223272185039221</v>
      </c>
      <c r="M120" s="42">
        <f t="shared" si="11"/>
        <v>41.234303461701799</v>
      </c>
      <c r="N120" s="33">
        <v>91.643580844017137</v>
      </c>
      <c r="O120" s="33">
        <v>37.910755676329991</v>
      </c>
      <c r="P120" s="33">
        <v>1.4788673190221859</v>
      </c>
      <c r="Q120" s="33">
        <v>0</v>
      </c>
      <c r="R120" s="33">
        <v>0</v>
      </c>
      <c r="S120" s="33">
        <v>0.96156082862165793</v>
      </c>
      <c r="T120" s="33">
        <v>7.1351324371101343</v>
      </c>
      <c r="U120" s="42">
        <v>47.486316261083971</v>
      </c>
      <c r="AD120" s="33">
        <f t="shared" si="9"/>
        <v>7.8431372549019605</v>
      </c>
    </row>
    <row r="121" spans="1:30" x14ac:dyDescent="0.2">
      <c r="A121" s="40">
        <v>53</v>
      </c>
      <c r="B121" s="40" t="s">
        <v>318</v>
      </c>
      <c r="C121" s="40">
        <v>220</v>
      </c>
      <c r="D121" s="40">
        <v>646018.20349999901</v>
      </c>
      <c r="E121" s="40">
        <v>266889.20850000001</v>
      </c>
      <c r="F121" s="40">
        <v>86</v>
      </c>
      <c r="G121" s="41">
        <f t="shared" si="8"/>
        <v>14.957894433700885</v>
      </c>
      <c r="H121" s="46">
        <v>0.5</v>
      </c>
      <c r="I121" s="46">
        <v>7.3740157480314963</v>
      </c>
      <c r="J121" s="46">
        <v>1.8917315784341464</v>
      </c>
      <c r="K121" s="42">
        <f t="shared" si="10"/>
        <v>28.296321247116307</v>
      </c>
      <c r="L121" s="46">
        <v>2.8200030827706728</v>
      </c>
      <c r="M121" s="42">
        <f t="shared" si="11"/>
        <v>42.181308414794785</v>
      </c>
      <c r="N121" s="33">
        <v>91.533893086644312</v>
      </c>
      <c r="O121" s="33">
        <v>37.951341656916696</v>
      </c>
      <c r="P121" s="33">
        <v>1.4788673190221859</v>
      </c>
      <c r="Q121" s="33">
        <v>0</v>
      </c>
      <c r="R121" s="33">
        <v>0</v>
      </c>
      <c r="S121" s="33">
        <v>0.96156082862165793</v>
      </c>
      <c r="T121" s="33">
        <v>7.1291926937329508</v>
      </c>
      <c r="U121" s="42">
        <v>47.520962498293493</v>
      </c>
      <c r="AD121" s="33">
        <f t="shared" si="9"/>
        <v>7.8740157480314963</v>
      </c>
    </row>
    <row r="122" spans="1:30" x14ac:dyDescent="0.2">
      <c r="A122" s="40">
        <v>54</v>
      </c>
      <c r="B122" s="40" t="s">
        <v>319</v>
      </c>
      <c r="C122" s="40">
        <v>220</v>
      </c>
      <c r="D122" s="40">
        <v>659737.82880000002</v>
      </c>
      <c r="E122" s="40">
        <v>267663.67210000003</v>
      </c>
      <c r="F122" s="40">
        <v>156</v>
      </c>
      <c r="G122" s="41">
        <f t="shared" si="8"/>
        <v>27.132924786713232</v>
      </c>
      <c r="H122" s="46">
        <v>0.65</v>
      </c>
      <c r="I122" s="46">
        <v>4.4098205383848468</v>
      </c>
      <c r="J122" s="46">
        <v>1.9901891491914574</v>
      </c>
      <c r="K122" s="42">
        <f t="shared" si="10"/>
        <v>53.999652496344616</v>
      </c>
      <c r="L122" s="46">
        <v>2.9024486453265763</v>
      </c>
      <c r="M122" s="42">
        <f t="shared" si="11"/>
        <v>78.7519207909437</v>
      </c>
      <c r="N122" s="33">
        <v>104.94638630541159</v>
      </c>
      <c r="O122" s="33">
        <v>34.252428252471404</v>
      </c>
      <c r="P122" s="33">
        <v>1.4788673190221859</v>
      </c>
      <c r="Q122" s="33">
        <v>0</v>
      </c>
      <c r="R122" s="33">
        <v>0</v>
      </c>
      <c r="S122" s="33">
        <v>0.96156082862165793</v>
      </c>
      <c r="T122" s="33">
        <v>7.4444139292419758</v>
      </c>
      <c r="U122" s="42">
        <v>44.137270329357221</v>
      </c>
      <c r="AD122" s="33">
        <f t="shared" si="9"/>
        <v>5.0598205383848471</v>
      </c>
    </row>
    <row r="123" spans="1:30" x14ac:dyDescent="0.2">
      <c r="A123" s="40">
        <v>55</v>
      </c>
      <c r="B123" s="40" t="s">
        <v>320</v>
      </c>
      <c r="C123" s="40">
        <v>220</v>
      </c>
      <c r="D123" s="40">
        <v>694863.73289999901</v>
      </c>
      <c r="E123" s="40">
        <v>265695.42479999899</v>
      </c>
      <c r="F123" s="40">
        <v>176</v>
      </c>
      <c r="G123" s="41">
        <f t="shared" si="8"/>
        <v>30.611504887573904</v>
      </c>
      <c r="H123" s="46">
        <v>1.5714285714285701</v>
      </c>
      <c r="I123" s="46">
        <v>3.211380074417836</v>
      </c>
      <c r="J123" s="46">
        <v>1.9972068080838401</v>
      </c>
      <c r="K123" s="42">
        <f t="shared" si="10"/>
        <v>61.137505967154347</v>
      </c>
      <c r="L123" s="46">
        <v>2.9076370128382143</v>
      </c>
      <c r="M123" s="42">
        <f t="shared" si="11"/>
        <v>89.007144629787788</v>
      </c>
      <c r="N123" s="33">
        <v>106.56527770065942</v>
      </c>
      <c r="O123" s="33">
        <v>33.888330197372419</v>
      </c>
      <c r="P123" s="33">
        <v>1.4788673190221859</v>
      </c>
      <c r="Q123" s="33">
        <v>0</v>
      </c>
      <c r="R123" s="33">
        <v>0</v>
      </c>
      <c r="S123" s="33">
        <v>0.96156082862165793</v>
      </c>
      <c r="T123" s="33">
        <v>7.4215460736305801</v>
      </c>
      <c r="U123" s="42">
        <v>43.750304418646849</v>
      </c>
      <c r="AD123" s="33">
        <f t="shared" si="9"/>
        <v>4.7828086458464059</v>
      </c>
    </row>
    <row r="124" spans="1:30" x14ac:dyDescent="0.2">
      <c r="A124" s="40">
        <v>56</v>
      </c>
      <c r="B124" s="40" t="s">
        <v>321</v>
      </c>
      <c r="C124" s="40">
        <v>220</v>
      </c>
      <c r="D124" s="40">
        <v>677906.98439999903</v>
      </c>
      <c r="E124" s="40">
        <v>269726.49829999899</v>
      </c>
      <c r="F124" s="40">
        <v>282</v>
      </c>
      <c r="G124" s="41">
        <f t="shared" si="8"/>
        <v>49.047979422135462</v>
      </c>
      <c r="H124" s="46">
        <v>0.96052631578947401</v>
      </c>
      <c r="I124" s="46">
        <v>3.808717386399004</v>
      </c>
      <c r="J124" s="46">
        <v>1.9975101672924065</v>
      </c>
      <c r="K124" s="42">
        <f t="shared" si="10"/>
        <v>97.973837580864313</v>
      </c>
      <c r="L124" s="46">
        <v>2.9078918062304671</v>
      </c>
      <c r="M124" s="42">
        <f t="shared" si="11"/>
        <v>142.62621747378827</v>
      </c>
      <c r="N124" s="33">
        <v>106.64646675760066</v>
      </c>
      <c r="O124" s="33">
        <v>33.870500747675806</v>
      </c>
      <c r="P124" s="33">
        <v>1.4788673190221859</v>
      </c>
      <c r="Q124" s="33">
        <v>0</v>
      </c>
      <c r="R124" s="33">
        <v>0</v>
      </c>
      <c r="S124" s="33">
        <v>0.96156082862165793</v>
      </c>
      <c r="T124" s="33">
        <v>7.4203531542290291</v>
      </c>
      <c r="U124" s="42">
        <v>43.731282049548675</v>
      </c>
      <c r="AD124" s="33">
        <f t="shared" si="9"/>
        <v>4.7692437021884784</v>
      </c>
    </row>
    <row r="125" spans="1:30" x14ac:dyDescent="0.2">
      <c r="A125" s="40">
        <v>123</v>
      </c>
      <c r="B125" s="40" t="s">
        <v>322</v>
      </c>
      <c r="C125" s="40">
        <v>380</v>
      </c>
      <c r="D125" s="40">
        <v>623714.09949999896</v>
      </c>
      <c r="E125" s="40">
        <v>265583.62060000002</v>
      </c>
      <c r="F125" s="40">
        <v>73</v>
      </c>
      <c r="G125" s="41">
        <f t="shared" si="8"/>
        <v>12.696817368141449</v>
      </c>
      <c r="H125" s="46">
        <v>0</v>
      </c>
      <c r="I125" s="46">
        <v>8</v>
      </c>
      <c r="J125" s="46">
        <v>1.885782209063388</v>
      </c>
      <c r="K125" s="42">
        <f t="shared" si="10"/>
        <v>23.943432304568173</v>
      </c>
      <c r="L125" s="46">
        <v>2.8098899699570712</v>
      </c>
      <c r="M125" s="42">
        <f t="shared" si="11"/>
        <v>35.676659773117393</v>
      </c>
      <c r="N125" s="33">
        <v>91.097363866379993</v>
      </c>
      <c r="O125" s="33">
        <v>38.116932457710448</v>
      </c>
      <c r="P125" s="33">
        <v>1.4788673190221859</v>
      </c>
      <c r="Q125" s="33">
        <v>0</v>
      </c>
      <c r="R125" s="33">
        <v>0</v>
      </c>
      <c r="S125" s="33">
        <v>0.96156082862165793</v>
      </c>
      <c r="T125" s="33">
        <v>7.1045008288680265</v>
      </c>
      <c r="U125" s="42">
        <v>47.661861434222317</v>
      </c>
      <c r="AD125" s="33">
        <f t="shared" si="9"/>
        <v>8</v>
      </c>
    </row>
    <row r="126" spans="1:30" x14ac:dyDescent="0.2">
      <c r="A126" s="40">
        <v>57</v>
      </c>
      <c r="B126" s="40" t="s">
        <v>323</v>
      </c>
      <c r="C126" s="40">
        <v>220</v>
      </c>
      <c r="D126" s="40">
        <v>724494.86129999894</v>
      </c>
      <c r="E126" s="40">
        <v>269165.3971</v>
      </c>
      <c r="F126" s="40">
        <v>496</v>
      </c>
      <c r="G126" s="41">
        <f t="shared" si="8"/>
        <v>86.268786501344636</v>
      </c>
      <c r="H126" s="46">
        <v>3.11231884057971</v>
      </c>
      <c r="I126" s="46">
        <v>2.8642237397364729</v>
      </c>
      <c r="J126" s="46">
        <v>1.9655319038140364</v>
      </c>
      <c r="K126" s="42">
        <f t="shared" si="10"/>
        <v>169.56405217171456</v>
      </c>
      <c r="L126" s="46">
        <v>2.9277813894558564</v>
      </c>
      <c r="M126" s="42">
        <f t="shared" si="11"/>
        <v>252.57614760957742</v>
      </c>
      <c r="N126" s="33">
        <v>99.159192607406567</v>
      </c>
      <c r="O126" s="33">
        <v>35.457346602636612</v>
      </c>
      <c r="P126" s="33">
        <v>1.4788673190221859</v>
      </c>
      <c r="Q126" s="33">
        <v>0</v>
      </c>
      <c r="R126" s="33">
        <v>0</v>
      </c>
      <c r="S126" s="33">
        <v>0.96156082862165793</v>
      </c>
      <c r="T126" s="33">
        <v>7.4774001803425101</v>
      </c>
      <c r="U126" s="42">
        <v>45.375174930622975</v>
      </c>
      <c r="AD126" s="33">
        <f t="shared" si="9"/>
        <v>5.9765425803161829</v>
      </c>
    </row>
    <row r="127" spans="1:30" x14ac:dyDescent="0.2">
      <c r="A127" s="40">
        <v>58</v>
      </c>
      <c r="B127" s="40" t="s">
        <v>324</v>
      </c>
      <c r="C127" s="40">
        <v>220</v>
      </c>
      <c r="D127" s="40">
        <v>750377.40879999904</v>
      </c>
      <c r="E127" s="40">
        <v>261080.08329999901</v>
      </c>
      <c r="F127" s="40">
        <v>391</v>
      </c>
      <c r="G127" s="41">
        <f t="shared" si="8"/>
        <v>68.006240971826116</v>
      </c>
      <c r="H127" s="46">
        <v>4.4152542372881296</v>
      </c>
      <c r="I127" s="46">
        <v>2.369786929262808</v>
      </c>
      <c r="J127" s="46">
        <v>1.9381018129039631</v>
      </c>
      <c r="K127" s="42">
        <f t="shared" si="10"/>
        <v>131.80301891627997</v>
      </c>
      <c r="L127" s="46">
        <v>2.8921019824513485</v>
      </c>
      <c r="M127" s="42">
        <f t="shared" si="11"/>
        <v>196.68098433368243</v>
      </c>
      <c r="N127" s="33">
        <v>95.634155709403757</v>
      </c>
      <c r="O127" s="33">
        <v>36.520018533797455</v>
      </c>
      <c r="P127" s="33">
        <v>1.4788673190221859</v>
      </c>
      <c r="Q127" s="33">
        <v>0</v>
      </c>
      <c r="R127" s="33">
        <v>0</v>
      </c>
      <c r="S127" s="33">
        <v>0.96156082862165793</v>
      </c>
      <c r="T127" s="33">
        <v>7.3346177382705369</v>
      </c>
      <c r="U127" s="42">
        <v>46.295064419711835</v>
      </c>
      <c r="AD127" s="33">
        <f t="shared" si="9"/>
        <v>6.785041166550938</v>
      </c>
    </row>
    <row r="128" spans="1:30" x14ac:dyDescent="0.2">
      <c r="A128" s="40">
        <v>59</v>
      </c>
      <c r="B128" s="40" t="s">
        <v>325</v>
      </c>
      <c r="C128" s="40">
        <v>220</v>
      </c>
      <c r="D128" s="40">
        <v>700491.85470000003</v>
      </c>
      <c r="E128" s="40">
        <v>279572.38280000002</v>
      </c>
      <c r="F128" s="40">
        <v>378</v>
      </c>
      <c r="G128" s="41">
        <f t="shared" si="8"/>
        <v>65.745163906266683</v>
      </c>
      <c r="H128" s="46">
        <v>1.5632911392405</v>
      </c>
      <c r="I128" s="46">
        <v>3.1598989498032548</v>
      </c>
      <c r="J128" s="46">
        <v>1.9985352031957218</v>
      </c>
      <c r="K128" s="42">
        <f t="shared" si="10"/>
        <v>131.39402450654671</v>
      </c>
      <c r="L128" s="46">
        <v>2.9091876459502393</v>
      </c>
      <c r="M128" s="42">
        <f t="shared" si="11"/>
        <v>191.26501861708462</v>
      </c>
      <c r="N128" s="33">
        <v>106.91344204114598</v>
      </c>
      <c r="O128" s="33">
        <v>33.809968938652673</v>
      </c>
      <c r="P128" s="33">
        <v>1.4788673190221859</v>
      </c>
      <c r="Q128" s="33">
        <v>0</v>
      </c>
      <c r="R128" s="33">
        <v>0</v>
      </c>
      <c r="S128" s="33">
        <v>0.96156082862165793</v>
      </c>
      <c r="T128" s="33">
        <v>7.4168136356191159</v>
      </c>
      <c r="U128" s="42">
        <v>43.66721072191563</v>
      </c>
      <c r="AD128" s="33">
        <f t="shared" si="9"/>
        <v>4.7231900890437544</v>
      </c>
    </row>
    <row r="129" spans="1:30" x14ac:dyDescent="0.2">
      <c r="A129" s="40">
        <v>127</v>
      </c>
      <c r="B129" s="40" t="s">
        <v>326</v>
      </c>
      <c r="C129" s="40">
        <v>380</v>
      </c>
      <c r="D129" s="40">
        <v>656080.21649999905</v>
      </c>
      <c r="E129" s="40">
        <v>272450.51760000002</v>
      </c>
      <c r="F129" s="40">
        <v>38</v>
      </c>
      <c r="G129" s="41">
        <f t="shared" si="8"/>
        <v>6.6093021916352752</v>
      </c>
      <c r="H129" s="46">
        <v>0</v>
      </c>
      <c r="I129" s="46">
        <v>8</v>
      </c>
      <c r="J129" s="46">
        <v>1.885782209063388</v>
      </c>
      <c r="K129" s="42">
        <f t="shared" si="10"/>
        <v>12.46370448730946</v>
      </c>
      <c r="L129" s="46">
        <v>2.8098899699570712</v>
      </c>
      <c r="M129" s="42">
        <f t="shared" si="11"/>
        <v>18.571411936691248</v>
      </c>
      <c r="N129" s="33">
        <v>91.097363866379993</v>
      </c>
      <c r="O129" s="33">
        <v>38.116932457710448</v>
      </c>
      <c r="P129" s="33">
        <v>1.4788673190221859</v>
      </c>
      <c r="Q129" s="33">
        <v>0</v>
      </c>
      <c r="R129" s="33">
        <v>0</v>
      </c>
      <c r="S129" s="33">
        <v>0.96156082862165793</v>
      </c>
      <c r="T129" s="33">
        <v>7.1045008288680265</v>
      </c>
      <c r="U129" s="42">
        <v>47.661861434222317</v>
      </c>
      <c r="AD129" s="33">
        <f t="shared" si="9"/>
        <v>8</v>
      </c>
    </row>
    <row r="132" spans="1:30" x14ac:dyDescent="0.2">
      <c r="J132" s="33">
        <f>AVERAGE(J2:J129)</f>
        <v>1.901740721937113</v>
      </c>
      <c r="AC132" s="40" t="s">
        <v>1273</v>
      </c>
      <c r="AD132" s="33">
        <f>MIN(AD2:AD129)</f>
        <v>4.3850964672928798</v>
      </c>
    </row>
    <row r="133" spans="1:30" x14ac:dyDescent="0.2">
      <c r="AC133" s="40" t="s">
        <v>1274</v>
      </c>
      <c r="AD133" s="33">
        <f>MAX(AD2:AD129)</f>
        <v>8</v>
      </c>
    </row>
  </sheetData>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3E72A-4439-4CF6-9148-D1C6346DDF8A}">
  <sheetPr>
    <tabColor theme="8" tint="-0.249977111117893"/>
  </sheetPr>
  <dimension ref="A1:AL143"/>
  <sheetViews>
    <sheetView topLeftCell="S100" workbookViewId="0">
      <selection activeCell="W129" sqref="W129"/>
    </sheetView>
  </sheetViews>
  <sheetFormatPr defaultColWidth="9.140625" defaultRowHeight="12.75" x14ac:dyDescent="0.2"/>
  <cols>
    <col min="1" max="1" width="5.28515625" style="40" bestFit="1" customWidth="1"/>
    <col min="2" max="2" width="22.140625" style="40" bestFit="1" customWidth="1"/>
    <col min="3" max="3" width="10.7109375" style="40" customWidth="1"/>
    <col min="4" max="4" width="9.85546875" style="40" bestFit="1" customWidth="1"/>
    <col min="5" max="5" width="9.42578125" style="40" customWidth="1"/>
    <col min="6" max="7" width="12" style="40" bestFit="1" customWidth="1"/>
    <col min="8" max="8" width="10.7109375" style="40" bestFit="1" customWidth="1"/>
    <col min="9" max="9" width="13.140625" style="41" bestFit="1" customWidth="1"/>
    <col min="10" max="10" width="28.140625" style="33" bestFit="1" customWidth="1"/>
    <col min="11" max="11" width="23.5703125" style="33" customWidth="1"/>
    <col min="12" max="12" width="21" style="33" bestFit="1" customWidth="1"/>
    <col min="13" max="13" width="16" style="33" bestFit="1" customWidth="1"/>
    <col min="14" max="14" width="26.7109375" style="33" bestFit="1" customWidth="1"/>
    <col min="15" max="15" width="23.42578125" style="33" bestFit="1" customWidth="1"/>
    <col min="16" max="16" width="25.28515625" style="33" bestFit="1" customWidth="1"/>
    <col min="17" max="17" width="29.28515625" style="33" bestFit="1" customWidth="1"/>
    <col min="18" max="18" width="25.7109375" style="33" bestFit="1" customWidth="1"/>
    <col min="19" max="19" width="25.7109375" style="33" customWidth="1"/>
    <col min="20" max="20" width="19" style="33" bestFit="1" customWidth="1"/>
    <col min="21" max="21" width="15.85546875" style="42" bestFit="1" customWidth="1"/>
    <col min="22" max="22" width="46.5703125" style="33" bestFit="1" customWidth="1"/>
    <col min="23" max="23" width="37.7109375" style="42" bestFit="1" customWidth="1"/>
    <col min="24" max="24" width="46.28515625" style="33" bestFit="1" customWidth="1"/>
    <col min="25" max="25" width="36.85546875" style="42" bestFit="1" customWidth="1"/>
    <col min="26" max="26" width="30.42578125" style="33" customWidth="1"/>
    <col min="27" max="27" width="29.28515625" style="33" customWidth="1"/>
    <col min="28" max="28" width="34.85546875" style="33" customWidth="1"/>
    <col min="29" max="29" width="33" style="33" customWidth="1"/>
    <col min="30" max="30" width="33.42578125" style="33" customWidth="1"/>
    <col min="31" max="31" width="40" style="33" customWidth="1"/>
    <col min="32" max="32" width="35.28515625" style="33" customWidth="1"/>
    <col min="33" max="33" width="29.85546875" style="42" customWidth="1"/>
    <col min="34" max="34" width="32.42578125" style="40" bestFit="1" customWidth="1"/>
    <col min="35" max="35" width="29" style="40" bestFit="1" customWidth="1"/>
    <col min="36" max="36" width="26.28515625" style="40" bestFit="1" customWidth="1"/>
    <col min="37" max="37" width="25.5703125" style="40" bestFit="1" customWidth="1"/>
    <col min="38" max="16384" width="9.140625" style="40"/>
  </cols>
  <sheetData>
    <row r="1" spans="1:38" x14ac:dyDescent="0.2">
      <c r="A1" s="34" t="s">
        <v>167</v>
      </c>
      <c r="B1" s="34" t="s">
        <v>168</v>
      </c>
      <c r="C1" s="34" t="s">
        <v>169</v>
      </c>
      <c r="D1" s="43" t="s">
        <v>170</v>
      </c>
      <c r="E1" s="43" t="s">
        <v>171</v>
      </c>
      <c r="F1" s="36" t="s">
        <v>172</v>
      </c>
      <c r="G1" s="36" t="s">
        <v>173</v>
      </c>
      <c r="H1" s="35" t="s">
        <v>174</v>
      </c>
      <c r="I1" s="43" t="s">
        <v>175</v>
      </c>
      <c r="J1" s="36" t="s">
        <v>176</v>
      </c>
      <c r="K1" s="44" t="s">
        <v>177</v>
      </c>
      <c r="L1" s="36" t="s">
        <v>178</v>
      </c>
      <c r="M1" s="44" t="s">
        <v>179</v>
      </c>
      <c r="N1" s="36" t="s">
        <v>180</v>
      </c>
      <c r="O1" s="44" t="s">
        <v>181</v>
      </c>
      <c r="P1" s="36" t="s">
        <v>182</v>
      </c>
      <c r="Q1" s="45" t="s">
        <v>183</v>
      </c>
      <c r="R1" s="45" t="s">
        <v>184</v>
      </c>
      <c r="S1" s="415" t="s">
        <v>1410</v>
      </c>
      <c r="T1" s="37" t="s">
        <v>185</v>
      </c>
      <c r="U1" s="38" t="s">
        <v>186</v>
      </c>
      <c r="V1" s="47" t="s">
        <v>187</v>
      </c>
      <c r="W1" s="38" t="s">
        <v>188</v>
      </c>
      <c r="X1" s="47" t="s">
        <v>189</v>
      </c>
      <c r="Y1" s="38" t="s">
        <v>190</v>
      </c>
      <c r="Z1" s="39" t="s">
        <v>191</v>
      </c>
      <c r="AA1" s="39" t="s">
        <v>192</v>
      </c>
      <c r="AB1" s="39" t="s">
        <v>193</v>
      </c>
      <c r="AC1" s="39" t="s">
        <v>194</v>
      </c>
      <c r="AD1" s="39" t="s">
        <v>195</v>
      </c>
      <c r="AE1" s="39" t="s">
        <v>196</v>
      </c>
      <c r="AF1" s="39" t="s">
        <v>197</v>
      </c>
      <c r="AG1" s="38" t="s">
        <v>198</v>
      </c>
      <c r="AH1" s="461" t="s">
        <v>329</v>
      </c>
      <c r="AI1" s="461" t="s">
        <v>330</v>
      </c>
      <c r="AJ1" s="461" t="s">
        <v>327</v>
      </c>
      <c r="AK1" s="461" t="s">
        <v>328</v>
      </c>
      <c r="AL1" s="461" t="s">
        <v>1501</v>
      </c>
    </row>
    <row r="2" spans="1:38" x14ac:dyDescent="0.2">
      <c r="A2" s="40">
        <v>0</v>
      </c>
      <c r="B2" s="40" t="s">
        <v>199</v>
      </c>
      <c r="C2" s="40">
        <v>380</v>
      </c>
      <c r="D2" s="40">
        <v>2015</v>
      </c>
      <c r="E2" s="40">
        <v>2100</v>
      </c>
      <c r="F2" s="40">
        <v>719083.34909999999</v>
      </c>
      <c r="G2" s="40">
        <v>80432.968510000006</v>
      </c>
      <c r="H2" s="40">
        <v>136</v>
      </c>
      <c r="I2" s="41">
        <f>H2/(PI()*(8.5/(2*PI()))^2)</f>
        <v>23.654344685852564</v>
      </c>
      <c r="J2" s="33">
        <v>0</v>
      </c>
      <c r="K2" s="33">
        <v>557901.30000000005</v>
      </c>
      <c r="L2" s="33">
        <v>0</v>
      </c>
      <c r="M2" s="33">
        <v>765.82278481000003</v>
      </c>
      <c r="N2" s="33">
        <v>0</v>
      </c>
      <c r="O2" s="33">
        <v>25</v>
      </c>
      <c r="P2" s="33">
        <v>8</v>
      </c>
      <c r="Q2" s="46">
        <v>0</v>
      </c>
      <c r="R2" s="46">
        <v>8</v>
      </c>
      <c r="S2" s="46">
        <f>SUM(Q2:R2)</f>
        <v>8</v>
      </c>
      <c r="T2" s="33">
        <v>87.409132400000146</v>
      </c>
      <c r="U2" s="42">
        <v>25.274319168539908</v>
      </c>
      <c r="V2" s="46">
        <v>1.885782209063388</v>
      </c>
      <c r="W2" s="42">
        <f>V2*I2</f>
        <v>44.606942375633864</v>
      </c>
      <c r="X2" s="46">
        <v>2.8098899699570712</v>
      </c>
      <c r="Y2" s="42">
        <f>X2*I2</f>
        <v>66.466105878684473</v>
      </c>
      <c r="Z2" s="33">
        <v>91.097363866379993</v>
      </c>
      <c r="AA2" s="33">
        <v>38.116932457710448</v>
      </c>
      <c r="AB2" s="33">
        <v>1.4788673190221859</v>
      </c>
      <c r="AC2" s="33">
        <v>0</v>
      </c>
      <c r="AD2" s="33">
        <v>0</v>
      </c>
      <c r="AE2" s="33">
        <v>0.96156082862165793</v>
      </c>
      <c r="AF2" s="33">
        <v>7.1045008288680265</v>
      </c>
      <c r="AG2" s="42">
        <v>47.661861434222317</v>
      </c>
    </row>
    <row r="3" spans="1:38" x14ac:dyDescent="0.2">
      <c r="A3" s="40">
        <v>1</v>
      </c>
      <c r="B3" s="40" t="s">
        <v>200</v>
      </c>
      <c r="C3" s="40">
        <v>220</v>
      </c>
      <c r="D3" s="40">
        <v>2015</v>
      </c>
      <c r="E3" s="40">
        <v>2100</v>
      </c>
      <c r="F3" s="40">
        <v>590018.35600000003</v>
      </c>
      <c r="G3" s="40">
        <v>97892.569199999896</v>
      </c>
      <c r="H3" s="40">
        <v>341</v>
      </c>
      <c r="I3" s="41">
        <f t="shared" ref="I3:I66" si="0">H3/(PI()*(8.5/(2*PI()))^2)</f>
        <v>59.309790719674439</v>
      </c>
      <c r="J3" s="33">
        <v>0</v>
      </c>
      <c r="K3" s="33">
        <v>42432.3</v>
      </c>
      <c r="L3" s="33">
        <v>0</v>
      </c>
      <c r="M3" s="33">
        <v>2752.8735632200001</v>
      </c>
      <c r="N3" s="33">
        <v>0</v>
      </c>
      <c r="O3" s="33">
        <v>25</v>
      </c>
      <c r="P3" s="33">
        <v>8</v>
      </c>
      <c r="Q3" s="46">
        <v>0</v>
      </c>
      <c r="R3" s="46">
        <v>8</v>
      </c>
      <c r="S3" s="46">
        <f t="shared" ref="S3:S66" si="1">SUM(Q3:R3)</f>
        <v>8</v>
      </c>
      <c r="T3" s="33">
        <v>87.409132400000146</v>
      </c>
      <c r="U3" s="42">
        <v>25.274319168539908</v>
      </c>
      <c r="V3" s="46">
        <v>1.885782209063388</v>
      </c>
      <c r="W3" s="42">
        <f t="shared" ref="W3:W66" si="2">V3*I3</f>
        <v>111.84534816243489</v>
      </c>
      <c r="X3" s="46">
        <v>2.8098899699570712</v>
      </c>
      <c r="Y3" s="42">
        <f t="shared" ref="Y3:Y66" si="3">X3*I3</f>
        <v>166.65398606346619</v>
      </c>
      <c r="Z3" s="33">
        <v>91.097363866379993</v>
      </c>
      <c r="AA3" s="33">
        <v>38.116932457710448</v>
      </c>
      <c r="AB3" s="33">
        <v>1.4788673190221859</v>
      </c>
      <c r="AC3" s="33">
        <v>0</v>
      </c>
      <c r="AD3" s="33">
        <v>0</v>
      </c>
      <c r="AE3" s="33">
        <v>0.96156082862165793</v>
      </c>
      <c r="AF3" s="33">
        <v>7.1045008288680265</v>
      </c>
      <c r="AG3" s="42">
        <v>47.661861434222317</v>
      </c>
    </row>
    <row r="4" spans="1:38" x14ac:dyDescent="0.2">
      <c r="A4" s="40">
        <v>2</v>
      </c>
      <c r="B4" s="40" t="s">
        <v>201</v>
      </c>
      <c r="C4" s="40">
        <v>220</v>
      </c>
      <c r="D4" s="40">
        <v>2015</v>
      </c>
      <c r="E4" s="40">
        <v>2100</v>
      </c>
      <c r="F4" s="40">
        <v>640127.96019999904</v>
      </c>
      <c r="G4" s="40">
        <v>103848.8263</v>
      </c>
      <c r="H4" s="40">
        <v>581</v>
      </c>
      <c r="I4" s="41">
        <f t="shared" si="0"/>
        <v>101.05275193000249</v>
      </c>
      <c r="J4" s="33">
        <v>0</v>
      </c>
      <c r="K4" s="33">
        <v>181307.2</v>
      </c>
      <c r="L4" s="33">
        <v>0</v>
      </c>
      <c r="M4" s="33">
        <v>3382.3308270699899</v>
      </c>
      <c r="N4" s="33">
        <v>0</v>
      </c>
      <c r="O4" s="33">
        <v>25</v>
      </c>
      <c r="P4" s="33">
        <v>8</v>
      </c>
      <c r="Q4" s="46">
        <v>0</v>
      </c>
      <c r="R4" s="46">
        <v>8</v>
      </c>
      <c r="S4" s="46">
        <f t="shared" si="1"/>
        <v>8</v>
      </c>
      <c r="T4" s="33">
        <v>87.409132400000146</v>
      </c>
      <c r="U4" s="42">
        <v>25.274319168539908</v>
      </c>
      <c r="V4" s="46">
        <v>1.885782209063388</v>
      </c>
      <c r="W4" s="42">
        <f t="shared" si="2"/>
        <v>190.56348176649465</v>
      </c>
      <c r="X4" s="46">
        <v>2.8098899699570712</v>
      </c>
      <c r="Y4" s="42">
        <f t="shared" si="3"/>
        <v>283.94711408467407</v>
      </c>
      <c r="Z4" s="33">
        <v>91.097363866379993</v>
      </c>
      <c r="AA4" s="33">
        <v>38.116932457710448</v>
      </c>
      <c r="AB4" s="33">
        <v>1.4788673190221859</v>
      </c>
      <c r="AC4" s="33">
        <v>0</v>
      </c>
      <c r="AD4" s="33">
        <v>0</v>
      </c>
      <c r="AE4" s="33">
        <v>0.96156082862165793</v>
      </c>
      <c r="AF4" s="33">
        <v>7.1045008288680265</v>
      </c>
      <c r="AG4" s="42">
        <v>47.661861434222317</v>
      </c>
    </row>
    <row r="5" spans="1:38" x14ac:dyDescent="0.2">
      <c r="A5" s="40">
        <v>3</v>
      </c>
      <c r="B5" s="40" t="s">
        <v>202</v>
      </c>
      <c r="C5" s="40">
        <v>220</v>
      </c>
      <c r="D5" s="40">
        <v>2015</v>
      </c>
      <c r="E5" s="40">
        <v>2100</v>
      </c>
      <c r="F5" s="40">
        <v>562195.61040000001</v>
      </c>
      <c r="G5" s="40">
        <v>100097.2069</v>
      </c>
      <c r="H5" s="40">
        <v>112</v>
      </c>
      <c r="I5" s="41">
        <f t="shared" si="0"/>
        <v>19.480048564819757</v>
      </c>
      <c r="J5" s="33">
        <v>0</v>
      </c>
      <c r="K5" s="33">
        <v>3971.6999999999898</v>
      </c>
      <c r="L5" s="33">
        <v>0</v>
      </c>
      <c r="M5" s="33">
        <v>2632.6530612199899</v>
      </c>
      <c r="N5" s="33">
        <v>0</v>
      </c>
      <c r="O5" s="33">
        <v>25</v>
      </c>
      <c r="P5" s="33">
        <v>8</v>
      </c>
      <c r="Q5" s="46">
        <v>0</v>
      </c>
      <c r="R5" s="46">
        <v>8</v>
      </c>
      <c r="S5" s="46">
        <f t="shared" si="1"/>
        <v>8</v>
      </c>
      <c r="T5" s="33">
        <v>87.409132400000146</v>
      </c>
      <c r="U5" s="42">
        <v>25.274319168539908</v>
      </c>
      <c r="V5" s="46">
        <v>1.885782209063388</v>
      </c>
      <c r="W5" s="42">
        <f t="shared" si="2"/>
        <v>36.735129015227884</v>
      </c>
      <c r="X5" s="46">
        <v>2.8098899699570712</v>
      </c>
      <c r="Y5" s="42">
        <f t="shared" si="3"/>
        <v>54.736793076563679</v>
      </c>
      <c r="Z5" s="33">
        <v>91.097363866379993</v>
      </c>
      <c r="AA5" s="33">
        <v>38.116932457710448</v>
      </c>
      <c r="AB5" s="33">
        <v>1.4788673190221859</v>
      </c>
      <c r="AC5" s="33">
        <v>0</v>
      </c>
      <c r="AD5" s="33">
        <v>0</v>
      </c>
      <c r="AE5" s="33">
        <v>0.96156082862165793</v>
      </c>
      <c r="AF5" s="33">
        <v>7.1045008288680265</v>
      </c>
      <c r="AG5" s="42">
        <v>47.661861434222317</v>
      </c>
    </row>
    <row r="6" spans="1:38" x14ac:dyDescent="0.2">
      <c r="A6" s="40">
        <v>4</v>
      </c>
      <c r="B6" s="40" t="s">
        <v>203</v>
      </c>
      <c r="C6" s="40">
        <v>220</v>
      </c>
      <c r="D6" s="40">
        <v>2017</v>
      </c>
      <c r="E6" s="40">
        <v>2100</v>
      </c>
      <c r="F6" s="40">
        <v>562833.85400000005</v>
      </c>
      <c r="G6" s="40">
        <v>101258.644</v>
      </c>
      <c r="H6" s="40">
        <v>71</v>
      </c>
      <c r="I6" s="41">
        <f t="shared" si="0"/>
        <v>12.348959358055382</v>
      </c>
      <c r="J6" s="33">
        <v>0</v>
      </c>
      <c r="K6" s="33">
        <v>6825.3</v>
      </c>
      <c r="L6" s="33">
        <v>0</v>
      </c>
      <c r="M6" s="33">
        <v>2048.6842105300002</v>
      </c>
      <c r="N6" s="33">
        <v>0</v>
      </c>
      <c r="O6" s="33">
        <v>25</v>
      </c>
      <c r="P6" s="33">
        <v>8</v>
      </c>
      <c r="Q6" s="46">
        <v>0</v>
      </c>
      <c r="R6" s="46">
        <v>8</v>
      </c>
      <c r="S6" s="46">
        <f t="shared" si="1"/>
        <v>8</v>
      </c>
      <c r="T6" s="33">
        <v>87.409132400000146</v>
      </c>
      <c r="U6" s="42">
        <v>25.274319168539908</v>
      </c>
      <c r="V6" s="46">
        <v>1.885782209063388</v>
      </c>
      <c r="W6" s="42">
        <f t="shared" si="2"/>
        <v>23.287447857867676</v>
      </c>
      <c r="X6" s="46">
        <v>2.8098899699570712</v>
      </c>
      <c r="Y6" s="42">
        <f t="shared" si="3"/>
        <v>34.699217039607326</v>
      </c>
      <c r="Z6" s="33">
        <v>91.097363866379993</v>
      </c>
      <c r="AA6" s="33">
        <v>38.116932457710448</v>
      </c>
      <c r="AB6" s="33">
        <v>1.4788673190221859</v>
      </c>
      <c r="AC6" s="33">
        <v>0</v>
      </c>
      <c r="AD6" s="33">
        <v>0</v>
      </c>
      <c r="AE6" s="33">
        <v>0.96156082862165793</v>
      </c>
      <c r="AF6" s="33">
        <v>7.1045008288680265</v>
      </c>
      <c r="AG6" s="42">
        <v>47.661861434222317</v>
      </c>
    </row>
    <row r="7" spans="1:38" x14ac:dyDescent="0.2">
      <c r="A7" s="40">
        <v>5</v>
      </c>
      <c r="B7" s="40" t="s">
        <v>204</v>
      </c>
      <c r="C7" s="40">
        <v>380</v>
      </c>
      <c r="D7" s="40">
        <v>2019</v>
      </c>
      <c r="E7" s="40">
        <v>2100</v>
      </c>
      <c r="F7" s="40">
        <v>570903.01509999903</v>
      </c>
      <c r="G7" s="40">
        <v>106761.3006</v>
      </c>
      <c r="H7" s="40">
        <v>238</v>
      </c>
      <c r="I7" s="41">
        <f t="shared" si="0"/>
        <v>41.395103200241984</v>
      </c>
      <c r="J7" s="33">
        <v>0</v>
      </c>
      <c r="K7" s="33">
        <v>325386</v>
      </c>
      <c r="L7" s="33">
        <v>0</v>
      </c>
      <c r="M7" s="33">
        <v>1897.24770641999</v>
      </c>
      <c r="N7" s="33">
        <v>0</v>
      </c>
      <c r="O7" s="33">
        <v>25</v>
      </c>
      <c r="P7" s="33">
        <v>8</v>
      </c>
      <c r="Q7" s="46">
        <v>0</v>
      </c>
      <c r="R7" s="46">
        <v>8</v>
      </c>
      <c r="S7" s="46">
        <f t="shared" si="1"/>
        <v>8</v>
      </c>
      <c r="T7" s="33">
        <v>87.409132400000146</v>
      </c>
      <c r="U7" s="42">
        <v>25.274319168539908</v>
      </c>
      <c r="V7" s="46">
        <v>1.885782209063388</v>
      </c>
      <c r="W7" s="42">
        <f t="shared" si="2"/>
        <v>78.062149157359244</v>
      </c>
      <c r="X7" s="46">
        <v>2.8098899699570712</v>
      </c>
      <c r="Y7" s="42">
        <f t="shared" si="3"/>
        <v>116.3156852876978</v>
      </c>
      <c r="Z7" s="33">
        <v>91.097363866379993</v>
      </c>
      <c r="AA7" s="33">
        <v>38.116932457710448</v>
      </c>
      <c r="AB7" s="33">
        <v>1.4788673190221859</v>
      </c>
      <c r="AC7" s="33">
        <v>0</v>
      </c>
      <c r="AD7" s="33">
        <v>0</v>
      </c>
      <c r="AE7" s="33">
        <v>0.96156082862165793</v>
      </c>
      <c r="AF7" s="33">
        <v>7.1045008288680265</v>
      </c>
      <c r="AG7" s="42">
        <v>47.661861434222317</v>
      </c>
    </row>
    <row r="8" spans="1:38" x14ac:dyDescent="0.2">
      <c r="A8" s="40">
        <v>6</v>
      </c>
      <c r="B8" s="40" t="s">
        <v>205</v>
      </c>
      <c r="C8" s="40">
        <v>220</v>
      </c>
      <c r="D8" s="40">
        <v>2015</v>
      </c>
      <c r="E8" s="40">
        <v>2100</v>
      </c>
      <c r="F8" s="40">
        <v>582373.90610000002</v>
      </c>
      <c r="G8" s="40">
        <v>112076.34059999901</v>
      </c>
      <c r="H8" s="40">
        <v>151</v>
      </c>
      <c r="I8" s="41">
        <f t="shared" si="0"/>
        <v>26.263279761498065</v>
      </c>
      <c r="J8" s="33">
        <v>0</v>
      </c>
      <c r="K8" s="33">
        <v>253727</v>
      </c>
      <c r="L8" s="33">
        <v>0</v>
      </c>
      <c r="M8" s="33">
        <v>2118.5714285700001</v>
      </c>
      <c r="N8" s="33">
        <v>0</v>
      </c>
      <c r="O8" s="33">
        <v>25</v>
      </c>
      <c r="P8" s="33">
        <v>8</v>
      </c>
      <c r="Q8" s="46">
        <v>0</v>
      </c>
      <c r="R8" s="46">
        <v>8</v>
      </c>
      <c r="S8" s="46">
        <f t="shared" si="1"/>
        <v>8</v>
      </c>
      <c r="T8" s="33">
        <v>87.409132400000146</v>
      </c>
      <c r="U8" s="42">
        <v>25.274319168539908</v>
      </c>
      <c r="V8" s="46">
        <v>1.885782209063388</v>
      </c>
      <c r="W8" s="42">
        <f t="shared" si="2"/>
        <v>49.526825725887591</v>
      </c>
      <c r="X8" s="46">
        <v>2.8098899699570712</v>
      </c>
      <c r="Y8" s="42">
        <f t="shared" si="3"/>
        <v>73.79692638000995</v>
      </c>
      <c r="Z8" s="33">
        <v>91.097363866379993</v>
      </c>
      <c r="AA8" s="33">
        <v>38.116932457710448</v>
      </c>
      <c r="AB8" s="33">
        <v>1.4788673190221859</v>
      </c>
      <c r="AC8" s="33">
        <v>0</v>
      </c>
      <c r="AD8" s="33">
        <v>0</v>
      </c>
      <c r="AE8" s="33">
        <v>0.96156082862165793</v>
      </c>
      <c r="AF8" s="33">
        <v>7.1045008288680265</v>
      </c>
      <c r="AG8" s="42">
        <v>47.661861434222317</v>
      </c>
    </row>
    <row r="9" spans="1:38" x14ac:dyDescent="0.2">
      <c r="A9" s="40">
        <v>7</v>
      </c>
      <c r="B9" s="40" t="s">
        <v>206</v>
      </c>
      <c r="C9" s="40">
        <v>220</v>
      </c>
      <c r="D9" s="40">
        <v>2015</v>
      </c>
      <c r="E9" s="40">
        <v>2100</v>
      </c>
      <c r="F9" s="40">
        <v>590044.28370000003</v>
      </c>
      <c r="G9" s="40">
        <v>97908.418539999897</v>
      </c>
      <c r="H9" s="40">
        <v>420</v>
      </c>
      <c r="I9" s="41">
        <f t="shared" si="0"/>
        <v>73.05018211807409</v>
      </c>
      <c r="J9" s="33">
        <v>0</v>
      </c>
      <c r="K9" s="33">
        <v>12742</v>
      </c>
      <c r="L9" s="33">
        <v>0</v>
      </c>
      <c r="M9" s="33">
        <v>3172.4444444400001</v>
      </c>
      <c r="N9" s="33">
        <v>0</v>
      </c>
      <c r="O9" s="33">
        <v>25</v>
      </c>
      <c r="P9" s="33">
        <v>8</v>
      </c>
      <c r="Q9" s="46">
        <v>0</v>
      </c>
      <c r="R9" s="46">
        <v>8</v>
      </c>
      <c r="S9" s="46">
        <f t="shared" si="1"/>
        <v>8</v>
      </c>
      <c r="T9" s="33">
        <v>87.409132400000146</v>
      </c>
      <c r="U9" s="42">
        <v>25.274319168539908</v>
      </c>
      <c r="V9" s="46">
        <v>1.885782209063388</v>
      </c>
      <c r="W9" s="42">
        <f t="shared" si="2"/>
        <v>137.75673380710455</v>
      </c>
      <c r="X9" s="46">
        <v>2.8098899699570712</v>
      </c>
      <c r="Y9" s="42">
        <f t="shared" si="3"/>
        <v>205.26297403711379</v>
      </c>
      <c r="Z9" s="33">
        <v>91.097363866379993</v>
      </c>
      <c r="AA9" s="33">
        <v>38.116932457710448</v>
      </c>
      <c r="AB9" s="33">
        <v>1.4788673190221859</v>
      </c>
      <c r="AC9" s="33">
        <v>0</v>
      </c>
      <c r="AD9" s="33">
        <v>0</v>
      </c>
      <c r="AE9" s="33">
        <v>0.96156082862165793</v>
      </c>
      <c r="AF9" s="33">
        <v>7.1045008288680265</v>
      </c>
      <c r="AG9" s="42">
        <v>47.661861434222317</v>
      </c>
    </row>
    <row r="10" spans="1:38" x14ac:dyDescent="0.2">
      <c r="A10" s="40">
        <v>8</v>
      </c>
      <c r="B10" s="40" t="s">
        <v>207</v>
      </c>
      <c r="C10" s="40">
        <v>220</v>
      </c>
      <c r="D10" s="40">
        <v>2015</v>
      </c>
      <c r="E10" s="40">
        <v>2100</v>
      </c>
      <c r="F10" s="40">
        <v>714780.82559999905</v>
      </c>
      <c r="G10" s="40">
        <v>98716.252539999899</v>
      </c>
      <c r="H10" s="40">
        <v>250</v>
      </c>
      <c r="I10" s="41">
        <f t="shared" si="0"/>
        <v>43.482251260758389</v>
      </c>
      <c r="J10" s="33">
        <v>0</v>
      </c>
      <c r="K10" s="33">
        <v>1513957.8</v>
      </c>
      <c r="L10" s="33">
        <v>0</v>
      </c>
      <c r="M10" s="33">
        <v>900.69930069899897</v>
      </c>
      <c r="N10" s="33">
        <v>0</v>
      </c>
      <c r="O10" s="33">
        <v>25</v>
      </c>
      <c r="P10" s="33">
        <v>8</v>
      </c>
      <c r="Q10" s="46">
        <v>0</v>
      </c>
      <c r="R10" s="46">
        <v>8</v>
      </c>
      <c r="S10" s="46">
        <f t="shared" si="1"/>
        <v>8</v>
      </c>
      <c r="T10" s="33">
        <v>87.409132400000146</v>
      </c>
      <c r="U10" s="42">
        <v>25.274319168539908</v>
      </c>
      <c r="V10" s="46">
        <v>1.885782209063388</v>
      </c>
      <c r="W10" s="42">
        <f t="shared" si="2"/>
        <v>81.998055837562248</v>
      </c>
      <c r="X10" s="46">
        <v>2.8098899699570712</v>
      </c>
      <c r="Y10" s="42">
        <f t="shared" si="3"/>
        <v>122.1803416887582</v>
      </c>
      <c r="Z10" s="33">
        <v>91.097363866379993</v>
      </c>
      <c r="AA10" s="33">
        <v>38.116932457710448</v>
      </c>
      <c r="AB10" s="33">
        <v>1.4788673190221859</v>
      </c>
      <c r="AC10" s="33">
        <v>0</v>
      </c>
      <c r="AD10" s="33">
        <v>0</v>
      </c>
      <c r="AE10" s="33">
        <v>0.96156082862165793</v>
      </c>
      <c r="AF10" s="33">
        <v>7.1045008288680265</v>
      </c>
      <c r="AG10" s="42">
        <v>47.661861434222317</v>
      </c>
    </row>
    <row r="11" spans="1:38" x14ac:dyDescent="0.2">
      <c r="A11" s="40">
        <v>9</v>
      </c>
      <c r="B11" s="40" t="s">
        <v>208</v>
      </c>
      <c r="C11" s="40">
        <v>220</v>
      </c>
      <c r="D11" s="40">
        <v>2015</v>
      </c>
      <c r="E11" s="40">
        <v>2100</v>
      </c>
      <c r="F11" s="40">
        <v>698993.70929999906</v>
      </c>
      <c r="G11" s="40">
        <v>110005.44629999901</v>
      </c>
      <c r="H11" s="40">
        <v>137</v>
      </c>
      <c r="I11" s="41">
        <f t="shared" si="0"/>
        <v>23.828273690895596</v>
      </c>
      <c r="J11" s="33">
        <v>0</v>
      </c>
      <c r="K11" s="33">
        <v>160463.1</v>
      </c>
      <c r="L11" s="33">
        <v>0</v>
      </c>
      <c r="M11" s="33">
        <v>1147</v>
      </c>
      <c r="N11" s="33">
        <v>0</v>
      </c>
      <c r="O11" s="33">
        <v>25</v>
      </c>
      <c r="P11" s="33">
        <v>8</v>
      </c>
      <c r="Q11" s="46">
        <v>0</v>
      </c>
      <c r="R11" s="46">
        <v>8</v>
      </c>
      <c r="S11" s="46">
        <f t="shared" si="1"/>
        <v>8</v>
      </c>
      <c r="T11" s="33">
        <v>87.409132400000146</v>
      </c>
      <c r="U11" s="42">
        <v>25.274319168539908</v>
      </c>
      <c r="V11" s="46">
        <v>1.885782209063388</v>
      </c>
      <c r="W11" s="42">
        <f t="shared" si="2"/>
        <v>44.934934598984107</v>
      </c>
      <c r="X11" s="46">
        <v>2.8098899699570712</v>
      </c>
      <c r="Y11" s="42">
        <f t="shared" si="3"/>
        <v>66.954827245439503</v>
      </c>
      <c r="Z11" s="33">
        <v>91.097363866379993</v>
      </c>
      <c r="AA11" s="33">
        <v>38.116932457710448</v>
      </c>
      <c r="AB11" s="33">
        <v>1.4788673190221859</v>
      </c>
      <c r="AC11" s="33">
        <v>0</v>
      </c>
      <c r="AD11" s="33">
        <v>0</v>
      </c>
      <c r="AE11" s="33">
        <v>0.96156082862165793</v>
      </c>
      <c r="AF11" s="33">
        <v>7.1045008288680265</v>
      </c>
      <c r="AG11" s="42">
        <v>47.661861434222317</v>
      </c>
    </row>
    <row r="12" spans="1:38" x14ac:dyDescent="0.2">
      <c r="A12" s="40">
        <v>10</v>
      </c>
      <c r="B12" s="40" t="s">
        <v>209</v>
      </c>
      <c r="C12" s="40">
        <v>220</v>
      </c>
      <c r="D12" s="40">
        <v>2015</v>
      </c>
      <c r="E12" s="40">
        <v>2100</v>
      </c>
      <c r="F12" s="40">
        <v>652579.70869999903</v>
      </c>
      <c r="G12" s="40">
        <v>113224.568799999</v>
      </c>
      <c r="H12" s="40">
        <v>47</v>
      </c>
      <c r="I12" s="41">
        <f t="shared" si="0"/>
        <v>8.1746632370225765</v>
      </c>
      <c r="J12" s="33">
        <v>0</v>
      </c>
      <c r="K12" s="33">
        <v>0</v>
      </c>
      <c r="L12" s="33">
        <v>0</v>
      </c>
      <c r="M12" s="33">
        <v>2241.8181818200001</v>
      </c>
      <c r="N12" s="33">
        <v>0</v>
      </c>
      <c r="O12" s="33">
        <v>25</v>
      </c>
      <c r="P12" s="33">
        <v>8</v>
      </c>
      <c r="Q12" s="46">
        <v>0</v>
      </c>
      <c r="R12" s="46">
        <v>8</v>
      </c>
      <c r="S12" s="46">
        <f t="shared" si="1"/>
        <v>8</v>
      </c>
      <c r="T12" s="33">
        <v>87.409132400000146</v>
      </c>
      <c r="U12" s="42">
        <v>25.274319168539908</v>
      </c>
      <c r="V12" s="46">
        <v>1.885782209063388</v>
      </c>
      <c r="W12" s="42">
        <f t="shared" si="2"/>
        <v>15.415634497461701</v>
      </c>
      <c r="X12" s="46">
        <v>2.8098899699570712</v>
      </c>
      <c r="Y12" s="42">
        <f t="shared" si="3"/>
        <v>22.969904237486542</v>
      </c>
      <c r="Z12" s="33">
        <v>91.097363866379993</v>
      </c>
      <c r="AA12" s="33">
        <v>38.116932457710448</v>
      </c>
      <c r="AB12" s="33">
        <v>1.4788673190221859</v>
      </c>
      <c r="AC12" s="33">
        <v>0</v>
      </c>
      <c r="AD12" s="33">
        <v>0</v>
      </c>
      <c r="AE12" s="33">
        <v>0.96156082862165793</v>
      </c>
      <c r="AF12" s="33">
        <v>7.1045008288680265</v>
      </c>
      <c r="AG12" s="42">
        <v>47.661861434222317</v>
      </c>
    </row>
    <row r="13" spans="1:38" x14ac:dyDescent="0.2">
      <c r="A13" s="40">
        <v>11</v>
      </c>
      <c r="B13" s="40" t="s">
        <v>210</v>
      </c>
      <c r="C13" s="40">
        <v>220</v>
      </c>
      <c r="D13" s="40">
        <v>2015</v>
      </c>
      <c r="E13" s="40">
        <v>2100</v>
      </c>
      <c r="F13" s="40">
        <v>585444.48470000003</v>
      </c>
      <c r="G13" s="40">
        <v>115049.813299999</v>
      </c>
      <c r="H13" s="40">
        <v>204</v>
      </c>
      <c r="I13" s="41">
        <f t="shared" si="0"/>
        <v>35.481517028778846</v>
      </c>
      <c r="J13" s="33">
        <v>0</v>
      </c>
      <c r="K13" s="33">
        <v>190361.60000000001</v>
      </c>
      <c r="L13" s="33">
        <v>0</v>
      </c>
      <c r="M13" s="33">
        <v>2134</v>
      </c>
      <c r="N13" s="33">
        <v>0</v>
      </c>
      <c r="O13" s="33">
        <v>25</v>
      </c>
      <c r="P13" s="33">
        <v>8</v>
      </c>
      <c r="Q13" s="46">
        <v>0</v>
      </c>
      <c r="R13" s="46">
        <v>8</v>
      </c>
      <c r="S13" s="46">
        <f t="shared" si="1"/>
        <v>8</v>
      </c>
      <c r="T13" s="33">
        <v>87.409132400000146</v>
      </c>
      <c r="U13" s="42">
        <v>25.274319168539908</v>
      </c>
      <c r="V13" s="46">
        <v>1.885782209063388</v>
      </c>
      <c r="W13" s="42">
        <f t="shared" si="2"/>
        <v>66.910413563450788</v>
      </c>
      <c r="X13" s="46">
        <v>2.8098899699570712</v>
      </c>
      <c r="Y13" s="42">
        <f t="shared" si="3"/>
        <v>99.699158818026703</v>
      </c>
      <c r="Z13" s="33">
        <v>91.097363866379993</v>
      </c>
      <c r="AA13" s="33">
        <v>38.116932457710448</v>
      </c>
      <c r="AB13" s="33">
        <v>1.4788673190221859</v>
      </c>
      <c r="AC13" s="33">
        <v>0</v>
      </c>
      <c r="AD13" s="33">
        <v>0</v>
      </c>
      <c r="AE13" s="33">
        <v>0.96156082862165793</v>
      </c>
      <c r="AF13" s="33">
        <v>7.1045008288680265</v>
      </c>
      <c r="AG13" s="42">
        <v>47.661861434222317</v>
      </c>
    </row>
    <row r="14" spans="1:38" x14ac:dyDescent="0.2">
      <c r="A14" s="40">
        <v>12</v>
      </c>
      <c r="B14" s="40" t="s">
        <v>211</v>
      </c>
      <c r="C14" s="40">
        <v>220</v>
      </c>
      <c r="D14" s="40">
        <v>2015</v>
      </c>
      <c r="E14" s="40">
        <v>2100</v>
      </c>
      <c r="F14" s="40">
        <v>713877.57720000006</v>
      </c>
      <c r="G14" s="40">
        <v>113482.8285</v>
      </c>
      <c r="H14" s="40">
        <v>210</v>
      </c>
      <c r="I14" s="41">
        <f t="shared" si="0"/>
        <v>36.525091059037045</v>
      </c>
      <c r="J14" s="33">
        <v>0</v>
      </c>
      <c r="K14" s="33">
        <v>246253.5</v>
      </c>
      <c r="L14" s="33">
        <v>0</v>
      </c>
      <c r="M14" s="33">
        <v>1250</v>
      </c>
      <c r="N14" s="33">
        <v>0</v>
      </c>
      <c r="O14" s="33">
        <v>25</v>
      </c>
      <c r="P14" s="33">
        <v>8</v>
      </c>
      <c r="Q14" s="46">
        <v>0</v>
      </c>
      <c r="R14" s="46">
        <v>8</v>
      </c>
      <c r="S14" s="46">
        <f t="shared" si="1"/>
        <v>8</v>
      </c>
      <c r="T14" s="33">
        <v>87.409132400000146</v>
      </c>
      <c r="U14" s="42">
        <v>25.274319168539908</v>
      </c>
      <c r="V14" s="46">
        <v>1.885782209063388</v>
      </c>
      <c r="W14" s="42">
        <f t="shared" si="2"/>
        <v>68.878366903552276</v>
      </c>
      <c r="X14" s="46">
        <v>2.8098899699570712</v>
      </c>
      <c r="Y14" s="42">
        <f t="shared" si="3"/>
        <v>102.6314870185569</v>
      </c>
      <c r="Z14" s="33">
        <v>91.097363866379993</v>
      </c>
      <c r="AA14" s="33">
        <v>38.116932457710448</v>
      </c>
      <c r="AB14" s="33">
        <v>1.4788673190221859</v>
      </c>
      <c r="AC14" s="33">
        <v>0</v>
      </c>
      <c r="AD14" s="33">
        <v>0</v>
      </c>
      <c r="AE14" s="33">
        <v>0.96156082862165793</v>
      </c>
      <c r="AF14" s="33">
        <v>7.1045008288680265</v>
      </c>
      <c r="AG14" s="42">
        <v>47.661861434222317</v>
      </c>
    </row>
    <row r="15" spans="1:38" x14ac:dyDescent="0.2">
      <c r="A15" s="40">
        <v>13</v>
      </c>
      <c r="B15" s="40" t="s">
        <v>212</v>
      </c>
      <c r="C15" s="40">
        <v>220</v>
      </c>
      <c r="D15" s="40">
        <v>2015</v>
      </c>
      <c r="E15" s="40">
        <v>2100</v>
      </c>
      <c r="F15" s="40">
        <v>648832.42579999904</v>
      </c>
      <c r="G15" s="40">
        <v>115531.1621</v>
      </c>
      <c r="H15" s="40">
        <v>128</v>
      </c>
      <c r="I15" s="41">
        <f t="shared" si="0"/>
        <v>22.262912645508294</v>
      </c>
      <c r="J15" s="33">
        <v>0</v>
      </c>
      <c r="K15" s="33">
        <v>3325.9</v>
      </c>
      <c r="L15" s="33">
        <v>0</v>
      </c>
      <c r="M15" s="33">
        <v>2662.1951219500002</v>
      </c>
      <c r="N15" s="33">
        <v>0</v>
      </c>
      <c r="O15" s="33">
        <v>25</v>
      </c>
      <c r="P15" s="33">
        <v>8</v>
      </c>
      <c r="Q15" s="46">
        <v>0</v>
      </c>
      <c r="R15" s="46">
        <v>8</v>
      </c>
      <c r="S15" s="46">
        <f t="shared" si="1"/>
        <v>8</v>
      </c>
      <c r="T15" s="33">
        <v>87.409132400000146</v>
      </c>
      <c r="U15" s="42">
        <v>25.274319168539908</v>
      </c>
      <c r="V15" s="46">
        <v>1.885782209063388</v>
      </c>
      <c r="W15" s="42">
        <f t="shared" si="2"/>
        <v>41.983004588831868</v>
      </c>
      <c r="X15" s="46">
        <v>2.8098899699570712</v>
      </c>
      <c r="Y15" s="42">
        <f t="shared" si="3"/>
        <v>62.556334944644199</v>
      </c>
      <c r="Z15" s="33">
        <v>91.097363866379993</v>
      </c>
      <c r="AA15" s="33">
        <v>38.116932457710448</v>
      </c>
      <c r="AB15" s="33">
        <v>1.4788673190221859</v>
      </c>
      <c r="AC15" s="33">
        <v>0</v>
      </c>
      <c r="AD15" s="33">
        <v>0</v>
      </c>
      <c r="AE15" s="33">
        <v>0.96156082862165793</v>
      </c>
      <c r="AF15" s="33">
        <v>7.1045008288680265</v>
      </c>
      <c r="AG15" s="42">
        <v>47.661861434222317</v>
      </c>
    </row>
    <row r="16" spans="1:38" x14ac:dyDescent="0.2">
      <c r="A16" s="40">
        <v>14</v>
      </c>
      <c r="B16" s="40" t="s">
        <v>213</v>
      </c>
      <c r="C16" s="40">
        <v>380</v>
      </c>
      <c r="D16" s="40">
        <v>2019</v>
      </c>
      <c r="E16" s="40">
        <v>2100</v>
      </c>
      <c r="F16" s="40">
        <v>558222.72299999895</v>
      </c>
      <c r="G16" s="40">
        <v>101366.637</v>
      </c>
      <c r="H16" s="40">
        <v>83</v>
      </c>
      <c r="I16" s="41">
        <f t="shared" si="0"/>
        <v>14.436107418571785</v>
      </c>
      <c r="J16" s="33">
        <v>0</v>
      </c>
      <c r="K16" s="33">
        <v>12870.6</v>
      </c>
      <c r="L16" s="33">
        <v>0</v>
      </c>
      <c r="M16" s="33">
        <v>2273.75</v>
      </c>
      <c r="N16" s="33">
        <v>0</v>
      </c>
      <c r="O16" s="33">
        <v>25</v>
      </c>
      <c r="P16" s="33">
        <v>8</v>
      </c>
      <c r="Q16" s="46">
        <v>0</v>
      </c>
      <c r="R16" s="46">
        <v>8</v>
      </c>
      <c r="S16" s="46">
        <f t="shared" si="1"/>
        <v>8</v>
      </c>
      <c r="T16" s="33">
        <v>87.409132400000146</v>
      </c>
      <c r="U16" s="42">
        <v>25.274319168539908</v>
      </c>
      <c r="V16" s="46">
        <v>1.885782209063388</v>
      </c>
      <c r="W16" s="42">
        <f t="shared" si="2"/>
        <v>27.223354538070666</v>
      </c>
      <c r="X16" s="46">
        <v>2.8098899699570712</v>
      </c>
      <c r="Y16" s="42">
        <f t="shared" si="3"/>
        <v>40.563873440667727</v>
      </c>
      <c r="Z16" s="33">
        <v>91.097363866379993</v>
      </c>
      <c r="AA16" s="33">
        <v>38.116932457710448</v>
      </c>
      <c r="AB16" s="33">
        <v>1.4788673190221859</v>
      </c>
      <c r="AC16" s="33">
        <v>0</v>
      </c>
      <c r="AD16" s="33">
        <v>0</v>
      </c>
      <c r="AE16" s="33">
        <v>0.96156082862165793</v>
      </c>
      <c r="AF16" s="33">
        <v>7.1045008288680265</v>
      </c>
      <c r="AG16" s="42">
        <v>47.661861434222317</v>
      </c>
    </row>
    <row r="17" spans="1:33" x14ac:dyDescent="0.2">
      <c r="A17" s="40">
        <v>15</v>
      </c>
      <c r="B17" s="40" t="s">
        <v>214</v>
      </c>
      <c r="C17" s="40">
        <v>220</v>
      </c>
      <c r="D17" s="40">
        <v>2015</v>
      </c>
      <c r="E17" s="40">
        <v>2100</v>
      </c>
      <c r="F17" s="40">
        <v>564250.81169999903</v>
      </c>
      <c r="G17" s="40">
        <v>124189.2289</v>
      </c>
      <c r="H17" s="40">
        <v>411</v>
      </c>
      <c r="I17" s="41">
        <f t="shared" si="0"/>
        <v>71.484821072686785</v>
      </c>
      <c r="J17" s="33">
        <v>0</v>
      </c>
      <c r="K17" s="33">
        <v>661884.4</v>
      </c>
      <c r="L17" s="33">
        <v>0</v>
      </c>
      <c r="M17" s="33">
        <v>1677.3809523800001</v>
      </c>
      <c r="N17" s="33">
        <v>0</v>
      </c>
      <c r="O17" s="33">
        <v>25</v>
      </c>
      <c r="P17" s="33">
        <v>8</v>
      </c>
      <c r="Q17" s="46">
        <v>0</v>
      </c>
      <c r="R17" s="46">
        <v>8</v>
      </c>
      <c r="S17" s="46">
        <f t="shared" si="1"/>
        <v>8</v>
      </c>
      <c r="T17" s="33">
        <v>87.409132400000146</v>
      </c>
      <c r="U17" s="42">
        <v>25.274319168539908</v>
      </c>
      <c r="V17" s="46">
        <v>1.885782209063388</v>
      </c>
      <c r="W17" s="42">
        <f t="shared" si="2"/>
        <v>134.80480379695231</v>
      </c>
      <c r="X17" s="46">
        <v>2.8098899699570712</v>
      </c>
      <c r="Y17" s="42">
        <f t="shared" si="3"/>
        <v>200.86448173631848</v>
      </c>
      <c r="Z17" s="33">
        <v>91.097363866379993</v>
      </c>
      <c r="AA17" s="33">
        <v>38.116932457710448</v>
      </c>
      <c r="AB17" s="33">
        <v>1.4788673190221859</v>
      </c>
      <c r="AC17" s="33">
        <v>0</v>
      </c>
      <c r="AD17" s="33">
        <v>0</v>
      </c>
      <c r="AE17" s="33">
        <v>0.96156082862165793</v>
      </c>
      <c r="AF17" s="33">
        <v>7.1045008288680265</v>
      </c>
      <c r="AG17" s="42">
        <v>47.661861434222317</v>
      </c>
    </row>
    <row r="18" spans="1:33" x14ac:dyDescent="0.2">
      <c r="A18" s="40">
        <v>16</v>
      </c>
      <c r="B18" s="40" t="s">
        <v>215</v>
      </c>
      <c r="C18" s="40">
        <v>220</v>
      </c>
      <c r="D18" s="40">
        <v>2015</v>
      </c>
      <c r="E18" s="40">
        <v>2100</v>
      </c>
      <c r="F18" s="40">
        <v>654956.44169999904</v>
      </c>
      <c r="G18" s="40">
        <v>116509.68739999901</v>
      </c>
      <c r="H18" s="40">
        <v>19</v>
      </c>
      <c r="I18" s="41">
        <f t="shared" si="0"/>
        <v>3.3046510958176376</v>
      </c>
      <c r="J18" s="33">
        <v>0</v>
      </c>
      <c r="K18" s="33">
        <v>1213</v>
      </c>
      <c r="L18" s="33">
        <v>0</v>
      </c>
      <c r="M18" s="33">
        <v>2175</v>
      </c>
      <c r="N18" s="33">
        <v>0</v>
      </c>
      <c r="O18" s="33">
        <v>25</v>
      </c>
      <c r="P18" s="33">
        <v>8</v>
      </c>
      <c r="Q18" s="46">
        <v>0</v>
      </c>
      <c r="R18" s="46">
        <v>8</v>
      </c>
      <c r="S18" s="46">
        <f t="shared" si="1"/>
        <v>8</v>
      </c>
      <c r="T18" s="33">
        <v>87.409132400000146</v>
      </c>
      <c r="U18" s="42">
        <v>25.274319168539908</v>
      </c>
      <c r="V18" s="46">
        <v>1.885782209063388</v>
      </c>
      <c r="W18" s="42">
        <f t="shared" si="2"/>
        <v>6.2318522436547301</v>
      </c>
      <c r="X18" s="46">
        <v>2.8098899699570712</v>
      </c>
      <c r="Y18" s="42">
        <f t="shared" si="3"/>
        <v>9.2857059683456242</v>
      </c>
      <c r="Z18" s="33">
        <v>91.097363866379993</v>
      </c>
      <c r="AA18" s="33">
        <v>38.116932457710448</v>
      </c>
      <c r="AB18" s="33">
        <v>1.4788673190221859</v>
      </c>
      <c r="AC18" s="33">
        <v>0</v>
      </c>
      <c r="AD18" s="33">
        <v>0</v>
      </c>
      <c r="AE18" s="33">
        <v>0.96156082862165793</v>
      </c>
      <c r="AF18" s="33">
        <v>7.1045008288680265</v>
      </c>
      <c r="AG18" s="42">
        <v>47.661861434222317</v>
      </c>
    </row>
    <row r="19" spans="1:33" x14ac:dyDescent="0.2">
      <c r="A19" s="40">
        <v>17</v>
      </c>
      <c r="B19" s="40" t="s">
        <v>216</v>
      </c>
      <c r="C19" s="40">
        <v>220</v>
      </c>
      <c r="D19" s="40">
        <v>2017</v>
      </c>
      <c r="E19" s="40">
        <v>2100</v>
      </c>
      <c r="F19" s="40">
        <v>595031.56000000006</v>
      </c>
      <c r="G19" s="40">
        <v>119014.96400000001</v>
      </c>
      <c r="H19" s="40">
        <v>403</v>
      </c>
      <c r="I19" s="41">
        <f t="shared" si="0"/>
        <v>70.093389032342515</v>
      </c>
      <c r="J19" s="33">
        <v>0</v>
      </c>
      <c r="K19" s="33">
        <v>700340.5</v>
      </c>
      <c r="L19" s="33">
        <v>0</v>
      </c>
      <c r="M19" s="33">
        <v>2182.3129251700002</v>
      </c>
      <c r="N19" s="33">
        <v>0</v>
      </c>
      <c r="O19" s="33">
        <v>25</v>
      </c>
      <c r="P19" s="33">
        <v>8</v>
      </c>
      <c r="Q19" s="46">
        <v>0</v>
      </c>
      <c r="R19" s="46">
        <v>8</v>
      </c>
      <c r="S19" s="46">
        <f t="shared" si="1"/>
        <v>8</v>
      </c>
      <c r="T19" s="33">
        <v>87.409132400000146</v>
      </c>
      <c r="U19" s="42">
        <v>25.274319168539908</v>
      </c>
      <c r="V19" s="46">
        <v>1.885782209063388</v>
      </c>
      <c r="W19" s="42">
        <f t="shared" si="2"/>
        <v>132.18086601015031</v>
      </c>
      <c r="X19" s="46">
        <v>2.8098899699570712</v>
      </c>
      <c r="Y19" s="42">
        <f t="shared" si="3"/>
        <v>196.95471080227821</v>
      </c>
      <c r="Z19" s="33">
        <v>91.097363866379993</v>
      </c>
      <c r="AA19" s="33">
        <v>38.116932457710448</v>
      </c>
      <c r="AB19" s="33">
        <v>1.4788673190221859</v>
      </c>
      <c r="AC19" s="33">
        <v>0</v>
      </c>
      <c r="AD19" s="33">
        <v>0</v>
      </c>
      <c r="AE19" s="33">
        <v>0.96156082862165793</v>
      </c>
      <c r="AF19" s="33">
        <v>7.1045008288680265</v>
      </c>
      <c r="AG19" s="42">
        <v>47.661861434222317</v>
      </c>
    </row>
    <row r="20" spans="1:33" x14ac:dyDescent="0.2">
      <c r="A20" s="40">
        <v>18</v>
      </c>
      <c r="B20" s="40" t="s">
        <v>217</v>
      </c>
      <c r="C20" s="40">
        <v>220</v>
      </c>
      <c r="D20" s="40">
        <v>2015</v>
      </c>
      <c r="E20" s="40">
        <v>2100</v>
      </c>
      <c r="F20" s="40">
        <v>609247.82389999903</v>
      </c>
      <c r="G20" s="40">
        <v>126393.97530000001</v>
      </c>
      <c r="H20" s="40">
        <v>807</v>
      </c>
      <c r="I20" s="41">
        <f t="shared" si="0"/>
        <v>140.36070706972808</v>
      </c>
      <c r="J20" s="33">
        <v>0</v>
      </c>
      <c r="K20" s="33">
        <v>606850.69999999902</v>
      </c>
      <c r="L20" s="33">
        <v>0</v>
      </c>
      <c r="M20" s="33">
        <v>2499.3103448299898</v>
      </c>
      <c r="N20" s="33">
        <v>0</v>
      </c>
      <c r="O20" s="33">
        <v>25</v>
      </c>
      <c r="P20" s="33">
        <v>8</v>
      </c>
      <c r="Q20" s="46">
        <v>0</v>
      </c>
      <c r="R20" s="46">
        <v>8</v>
      </c>
      <c r="S20" s="46">
        <f t="shared" si="1"/>
        <v>8</v>
      </c>
      <c r="T20" s="33">
        <v>87.409132400000146</v>
      </c>
      <c r="U20" s="42">
        <v>25.274319168539908</v>
      </c>
      <c r="V20" s="46">
        <v>1.885782209063388</v>
      </c>
      <c r="W20" s="42">
        <f t="shared" si="2"/>
        <v>264.68972424365091</v>
      </c>
      <c r="X20" s="46">
        <v>2.8098899699570712</v>
      </c>
      <c r="Y20" s="42">
        <f t="shared" si="3"/>
        <v>394.39814297131153</v>
      </c>
      <c r="Z20" s="33">
        <v>91.097363866379993</v>
      </c>
      <c r="AA20" s="33">
        <v>38.116932457710448</v>
      </c>
      <c r="AB20" s="33">
        <v>1.4788673190221859</v>
      </c>
      <c r="AC20" s="33">
        <v>0</v>
      </c>
      <c r="AD20" s="33">
        <v>0</v>
      </c>
      <c r="AE20" s="33">
        <v>0.96156082862165793</v>
      </c>
      <c r="AF20" s="33">
        <v>7.1045008288680265</v>
      </c>
      <c r="AG20" s="42">
        <v>47.661861434222317</v>
      </c>
    </row>
    <row r="21" spans="1:33" x14ac:dyDescent="0.2">
      <c r="A21" s="40">
        <v>19</v>
      </c>
      <c r="B21" s="40" t="s">
        <v>218</v>
      </c>
      <c r="C21" s="40">
        <v>220</v>
      </c>
      <c r="D21" s="40">
        <v>2015</v>
      </c>
      <c r="E21" s="40">
        <v>2100</v>
      </c>
      <c r="F21" s="40">
        <v>633695.91090000002</v>
      </c>
      <c r="G21" s="40">
        <v>120926.304999999</v>
      </c>
      <c r="H21" s="40">
        <v>460</v>
      </c>
      <c r="I21" s="41">
        <f t="shared" si="0"/>
        <v>80.007342319795427</v>
      </c>
      <c r="J21" s="33">
        <v>0</v>
      </c>
      <c r="K21" s="33">
        <v>249116.6</v>
      </c>
      <c r="L21" s="33">
        <v>0</v>
      </c>
      <c r="M21" s="33">
        <v>2483.6601307199899</v>
      </c>
      <c r="N21" s="33">
        <v>0</v>
      </c>
      <c r="O21" s="33">
        <v>25</v>
      </c>
      <c r="P21" s="33">
        <v>8</v>
      </c>
      <c r="Q21" s="46">
        <v>0</v>
      </c>
      <c r="R21" s="46">
        <v>8</v>
      </c>
      <c r="S21" s="46">
        <f t="shared" si="1"/>
        <v>8</v>
      </c>
      <c r="T21" s="33">
        <v>87.409132400000146</v>
      </c>
      <c r="U21" s="42">
        <v>25.274319168539908</v>
      </c>
      <c r="V21" s="46">
        <v>1.885782209063388</v>
      </c>
      <c r="W21" s="42">
        <f t="shared" si="2"/>
        <v>150.87642274111451</v>
      </c>
      <c r="X21" s="46">
        <v>2.8098899699570712</v>
      </c>
      <c r="Y21" s="42">
        <f t="shared" si="3"/>
        <v>224.81182870731507</v>
      </c>
      <c r="Z21" s="33">
        <v>91.097363866379993</v>
      </c>
      <c r="AA21" s="33">
        <v>38.116932457710448</v>
      </c>
      <c r="AB21" s="33">
        <v>1.4788673190221859</v>
      </c>
      <c r="AC21" s="33">
        <v>0</v>
      </c>
      <c r="AD21" s="33">
        <v>0</v>
      </c>
      <c r="AE21" s="33">
        <v>0.96156082862165793</v>
      </c>
      <c r="AF21" s="33">
        <v>7.1045008288680265</v>
      </c>
      <c r="AG21" s="42">
        <v>47.661861434222317</v>
      </c>
    </row>
    <row r="22" spans="1:33" x14ac:dyDescent="0.2">
      <c r="A22" s="40">
        <v>1</v>
      </c>
      <c r="B22" s="40" t="s">
        <v>219</v>
      </c>
      <c r="C22" s="40">
        <v>220</v>
      </c>
      <c r="D22" s="40">
        <v>2015</v>
      </c>
      <c r="E22" s="40">
        <v>2100</v>
      </c>
      <c r="F22" s="40">
        <v>491069.67099999898</v>
      </c>
      <c r="G22" s="40">
        <v>116563.5935</v>
      </c>
      <c r="H22" s="40">
        <v>105</v>
      </c>
      <c r="I22" s="41">
        <f t="shared" si="0"/>
        <v>18.262545529518523</v>
      </c>
      <c r="J22" s="33">
        <v>93.3333333333333</v>
      </c>
      <c r="K22" s="33">
        <v>744870.59999999905</v>
      </c>
      <c r="L22" s="33">
        <v>-2623.5294117646999</v>
      </c>
      <c r="M22" s="33">
        <v>412.5</v>
      </c>
      <c r="N22" s="33">
        <v>3.1153846153846101</v>
      </c>
      <c r="O22" s="33">
        <v>32.355421686746901</v>
      </c>
      <c r="P22" s="33">
        <v>6.1813442561906697</v>
      </c>
      <c r="Q22" s="46">
        <v>3.1153846153846101</v>
      </c>
      <c r="R22" s="46">
        <v>3.0659596408060601</v>
      </c>
      <c r="S22" s="46">
        <f t="shared" si="1"/>
        <v>6.1813442561906697</v>
      </c>
      <c r="T22" s="33">
        <v>83.156074300000128</v>
      </c>
      <c r="U22" s="42">
        <v>23.278947357069971</v>
      </c>
      <c r="V22" s="46">
        <v>1.959234901897974</v>
      </c>
      <c r="W22" s="42">
        <f t="shared" si="2"/>
        <v>35.780616598933506</v>
      </c>
      <c r="X22" s="46">
        <v>2.9200870812213502</v>
      </c>
      <c r="Y22" s="42">
        <f t="shared" si="3"/>
        <v>53.328223270963761</v>
      </c>
      <c r="Z22" s="33">
        <v>98.220668756193533</v>
      </c>
      <c r="AA22" s="33">
        <v>35.72653321113777</v>
      </c>
      <c r="AB22" s="33">
        <v>1.4788673190221859</v>
      </c>
      <c r="AC22" s="33">
        <v>0</v>
      </c>
      <c r="AD22" s="33">
        <v>0</v>
      </c>
      <c r="AE22" s="33">
        <v>0.96156082862165793</v>
      </c>
      <c r="AF22" s="33">
        <v>7.4419647826354725</v>
      </c>
      <c r="AG22" s="42">
        <v>45.608926141417086</v>
      </c>
    </row>
    <row r="23" spans="1:33" x14ac:dyDescent="0.2">
      <c r="A23" s="40">
        <v>21</v>
      </c>
      <c r="B23" s="40" t="s">
        <v>220</v>
      </c>
      <c r="C23" s="40">
        <v>220</v>
      </c>
      <c r="D23" s="40">
        <v>2015</v>
      </c>
      <c r="E23" s="40">
        <v>2100</v>
      </c>
      <c r="F23" s="40">
        <v>723010.32339999895</v>
      </c>
      <c r="G23" s="40">
        <v>120233.61149999899</v>
      </c>
      <c r="H23" s="40">
        <v>272</v>
      </c>
      <c r="I23" s="41">
        <f t="shared" si="0"/>
        <v>47.308689371705128</v>
      </c>
      <c r="J23" s="33">
        <v>0</v>
      </c>
      <c r="K23" s="33">
        <v>466686.9</v>
      </c>
      <c r="L23" s="33">
        <v>0</v>
      </c>
      <c r="M23" s="33">
        <v>1605.40540540999</v>
      </c>
      <c r="N23" s="33">
        <v>0</v>
      </c>
      <c r="O23" s="33">
        <v>25</v>
      </c>
      <c r="P23" s="33">
        <v>8</v>
      </c>
      <c r="Q23" s="46">
        <v>0</v>
      </c>
      <c r="R23" s="46">
        <v>8</v>
      </c>
      <c r="S23" s="46">
        <f t="shared" si="1"/>
        <v>8</v>
      </c>
      <c r="T23" s="33">
        <v>87.409132400000146</v>
      </c>
      <c r="U23" s="42">
        <v>25.274319168539908</v>
      </c>
      <c r="V23" s="46">
        <v>1.885782209063388</v>
      </c>
      <c r="W23" s="42">
        <f t="shared" si="2"/>
        <v>89.213884751267727</v>
      </c>
      <c r="X23" s="46">
        <v>2.8098899699570712</v>
      </c>
      <c r="Y23" s="42">
        <f t="shared" si="3"/>
        <v>132.93221175736895</v>
      </c>
      <c r="Z23" s="33">
        <v>91.097363866379993</v>
      </c>
      <c r="AA23" s="33">
        <v>38.116932457710448</v>
      </c>
      <c r="AB23" s="33">
        <v>1.4788673190221859</v>
      </c>
      <c r="AC23" s="33">
        <v>0</v>
      </c>
      <c r="AD23" s="33">
        <v>0</v>
      </c>
      <c r="AE23" s="33">
        <v>0.96156082862165793</v>
      </c>
      <c r="AF23" s="33">
        <v>7.1045008288680265</v>
      </c>
      <c r="AG23" s="42">
        <v>47.661861434222317</v>
      </c>
    </row>
    <row r="24" spans="1:33" x14ac:dyDescent="0.2">
      <c r="A24" s="40">
        <v>22</v>
      </c>
      <c r="B24" s="40" t="s">
        <v>221</v>
      </c>
      <c r="C24" s="40">
        <v>220</v>
      </c>
      <c r="D24" s="40">
        <v>2015</v>
      </c>
      <c r="E24" s="40">
        <v>2100</v>
      </c>
      <c r="F24" s="40">
        <v>701235.54929999902</v>
      </c>
      <c r="G24" s="40">
        <v>117234.97999999901</v>
      </c>
      <c r="H24" s="40">
        <v>242</v>
      </c>
      <c r="I24" s="41">
        <f t="shared" si="0"/>
        <v>42.090819220414119</v>
      </c>
      <c r="J24" s="33">
        <v>0</v>
      </c>
      <c r="K24" s="33">
        <v>462894.59999999899</v>
      </c>
      <c r="L24" s="33">
        <v>0</v>
      </c>
      <c r="M24" s="33">
        <v>1302.7272727300001</v>
      </c>
      <c r="N24" s="33">
        <v>0</v>
      </c>
      <c r="O24" s="33">
        <v>25</v>
      </c>
      <c r="P24" s="33">
        <v>8</v>
      </c>
      <c r="Q24" s="46">
        <v>0</v>
      </c>
      <c r="R24" s="46">
        <v>8</v>
      </c>
      <c r="S24" s="46">
        <f t="shared" si="1"/>
        <v>8</v>
      </c>
      <c r="T24" s="33">
        <v>87.409132400000146</v>
      </c>
      <c r="U24" s="42">
        <v>25.274319168539908</v>
      </c>
      <c r="V24" s="46">
        <v>1.885782209063388</v>
      </c>
      <c r="W24" s="42">
        <f t="shared" si="2"/>
        <v>79.374118050760245</v>
      </c>
      <c r="X24" s="46">
        <v>2.8098899699570712</v>
      </c>
      <c r="Y24" s="42">
        <f t="shared" si="3"/>
        <v>118.27057075471794</v>
      </c>
      <c r="Z24" s="33">
        <v>91.097363866379993</v>
      </c>
      <c r="AA24" s="33">
        <v>38.116932457710448</v>
      </c>
      <c r="AB24" s="33">
        <v>1.4788673190221859</v>
      </c>
      <c r="AC24" s="33">
        <v>0</v>
      </c>
      <c r="AD24" s="33">
        <v>0</v>
      </c>
      <c r="AE24" s="33">
        <v>0.96156082862165793</v>
      </c>
      <c r="AF24" s="33">
        <v>7.1045008288680265</v>
      </c>
      <c r="AG24" s="42">
        <v>47.661861434222317</v>
      </c>
    </row>
    <row r="25" spans="1:33" x14ac:dyDescent="0.2">
      <c r="A25" s="40">
        <v>23</v>
      </c>
      <c r="B25" s="40" t="s">
        <v>222</v>
      </c>
      <c r="C25" s="40">
        <v>220</v>
      </c>
      <c r="D25" s="40">
        <v>2015</v>
      </c>
      <c r="E25" s="40">
        <v>2100</v>
      </c>
      <c r="F25" s="40">
        <v>643982.13840000005</v>
      </c>
      <c r="G25" s="40">
        <v>131643.899899999</v>
      </c>
      <c r="H25" s="40">
        <v>311</v>
      </c>
      <c r="I25" s="41">
        <f t="shared" si="0"/>
        <v>54.091920568383436</v>
      </c>
      <c r="J25" s="33">
        <v>0</v>
      </c>
      <c r="K25" s="33">
        <v>260262.2</v>
      </c>
      <c r="L25" s="33">
        <v>0</v>
      </c>
      <c r="M25" s="33">
        <v>2666.4596273299899</v>
      </c>
      <c r="N25" s="33">
        <v>0</v>
      </c>
      <c r="O25" s="33">
        <v>25</v>
      </c>
      <c r="P25" s="33">
        <v>8</v>
      </c>
      <c r="Q25" s="46">
        <v>0</v>
      </c>
      <c r="R25" s="46">
        <v>8</v>
      </c>
      <c r="S25" s="46">
        <f t="shared" si="1"/>
        <v>8</v>
      </c>
      <c r="T25" s="33">
        <v>87.409132400000146</v>
      </c>
      <c r="U25" s="42">
        <v>25.274319168539908</v>
      </c>
      <c r="V25" s="46">
        <v>1.885782209063388</v>
      </c>
      <c r="W25" s="42">
        <f t="shared" si="2"/>
        <v>102.00558146192743</v>
      </c>
      <c r="X25" s="46">
        <v>2.8098899699570712</v>
      </c>
      <c r="Y25" s="42">
        <f t="shared" si="3"/>
        <v>151.99234506081521</v>
      </c>
      <c r="Z25" s="33">
        <v>91.097363866379993</v>
      </c>
      <c r="AA25" s="33">
        <v>38.116932457710448</v>
      </c>
      <c r="AB25" s="33">
        <v>1.4788673190221859</v>
      </c>
      <c r="AC25" s="33">
        <v>0</v>
      </c>
      <c r="AD25" s="33">
        <v>0</v>
      </c>
      <c r="AE25" s="33">
        <v>0.96156082862165793</v>
      </c>
      <c r="AF25" s="33">
        <v>7.1045008288680265</v>
      </c>
      <c r="AG25" s="42">
        <v>47.661861434222317</v>
      </c>
    </row>
    <row r="26" spans="1:33" x14ac:dyDescent="0.2">
      <c r="A26" s="40">
        <v>24</v>
      </c>
      <c r="B26" s="40" t="s">
        <v>223</v>
      </c>
      <c r="C26" s="40">
        <v>220</v>
      </c>
      <c r="D26" s="40">
        <v>2015</v>
      </c>
      <c r="E26" s="40">
        <v>2100</v>
      </c>
      <c r="F26" s="40">
        <v>718642.505</v>
      </c>
      <c r="G26" s="40">
        <v>132525.4155</v>
      </c>
      <c r="H26" s="40">
        <v>190</v>
      </c>
      <c r="I26" s="41">
        <f t="shared" si="0"/>
        <v>33.046510958176377</v>
      </c>
      <c r="J26" s="33">
        <v>0</v>
      </c>
      <c r="K26" s="33">
        <v>61333.199999999903</v>
      </c>
      <c r="L26" s="33">
        <v>0</v>
      </c>
      <c r="M26" s="33">
        <v>2028.92561982999</v>
      </c>
      <c r="N26" s="33">
        <v>0</v>
      </c>
      <c r="O26" s="33">
        <v>25</v>
      </c>
      <c r="P26" s="33">
        <v>8</v>
      </c>
      <c r="Q26" s="46">
        <v>0</v>
      </c>
      <c r="R26" s="46">
        <v>8</v>
      </c>
      <c r="S26" s="46">
        <f t="shared" si="1"/>
        <v>8</v>
      </c>
      <c r="T26" s="33">
        <v>87.409132400000146</v>
      </c>
      <c r="U26" s="42">
        <v>25.274319168539908</v>
      </c>
      <c r="V26" s="46">
        <v>1.885782209063388</v>
      </c>
      <c r="W26" s="42">
        <f t="shared" si="2"/>
        <v>62.318522436547305</v>
      </c>
      <c r="X26" s="46">
        <v>2.8098899699570712</v>
      </c>
      <c r="Y26" s="42">
        <f t="shared" si="3"/>
        <v>92.857059683456242</v>
      </c>
      <c r="Z26" s="33">
        <v>91.097363866379993</v>
      </c>
      <c r="AA26" s="33">
        <v>38.116932457710448</v>
      </c>
      <c r="AB26" s="33">
        <v>1.4788673190221859</v>
      </c>
      <c r="AC26" s="33">
        <v>0</v>
      </c>
      <c r="AD26" s="33">
        <v>0</v>
      </c>
      <c r="AE26" s="33">
        <v>0.96156082862165793</v>
      </c>
      <c r="AF26" s="33">
        <v>7.1045008288680265</v>
      </c>
      <c r="AG26" s="42">
        <v>47.661861434222317</v>
      </c>
    </row>
    <row r="27" spans="1:33" x14ac:dyDescent="0.2">
      <c r="A27" s="40">
        <v>25</v>
      </c>
      <c r="B27" s="40" t="s">
        <v>224</v>
      </c>
      <c r="C27" s="40">
        <v>220</v>
      </c>
      <c r="D27" s="40">
        <v>2015</v>
      </c>
      <c r="E27" s="40">
        <v>2100</v>
      </c>
      <c r="F27" s="40">
        <v>759964.93599999906</v>
      </c>
      <c r="G27" s="40">
        <v>133825.1128</v>
      </c>
      <c r="H27" s="40">
        <v>111</v>
      </c>
      <c r="I27" s="41">
        <f t="shared" si="0"/>
        <v>19.306119559776725</v>
      </c>
      <c r="J27" s="33">
        <v>0</v>
      </c>
      <c r="K27" s="33">
        <v>9017.6</v>
      </c>
      <c r="L27" s="33">
        <v>0</v>
      </c>
      <c r="M27" s="33">
        <v>2333.3333333300002</v>
      </c>
      <c r="N27" s="33">
        <v>0</v>
      </c>
      <c r="O27" s="33">
        <v>25</v>
      </c>
      <c r="P27" s="33">
        <v>8</v>
      </c>
      <c r="Q27" s="46">
        <v>0</v>
      </c>
      <c r="R27" s="46">
        <v>8</v>
      </c>
      <c r="S27" s="46">
        <f t="shared" si="1"/>
        <v>8</v>
      </c>
      <c r="T27" s="33">
        <v>87.409132400000146</v>
      </c>
      <c r="U27" s="42">
        <v>25.274319168539908</v>
      </c>
      <c r="V27" s="46">
        <v>1.885782209063388</v>
      </c>
      <c r="W27" s="42">
        <f t="shared" si="2"/>
        <v>36.40713679187764</v>
      </c>
      <c r="X27" s="46">
        <v>2.8098899699570712</v>
      </c>
      <c r="Y27" s="42">
        <f t="shared" si="3"/>
        <v>54.248071709808649</v>
      </c>
      <c r="Z27" s="33">
        <v>91.097363866379993</v>
      </c>
      <c r="AA27" s="33">
        <v>38.116932457710448</v>
      </c>
      <c r="AB27" s="33">
        <v>1.4788673190221859</v>
      </c>
      <c r="AC27" s="33">
        <v>0</v>
      </c>
      <c r="AD27" s="33">
        <v>0</v>
      </c>
      <c r="AE27" s="33">
        <v>0.96156082862165793</v>
      </c>
      <c r="AF27" s="33">
        <v>7.1045008288680265</v>
      </c>
      <c r="AG27" s="42">
        <v>47.661861434222317</v>
      </c>
    </row>
    <row r="28" spans="1:33" x14ac:dyDescent="0.2">
      <c r="A28" s="40">
        <v>26</v>
      </c>
      <c r="B28" s="40" t="s">
        <v>225</v>
      </c>
      <c r="C28" s="40">
        <v>220</v>
      </c>
      <c r="D28" s="40">
        <v>2015</v>
      </c>
      <c r="E28" s="40">
        <v>2100</v>
      </c>
      <c r="F28" s="40">
        <v>690198.96979999903</v>
      </c>
      <c r="G28" s="40">
        <v>133157.177499999</v>
      </c>
      <c r="H28" s="40">
        <v>311</v>
      </c>
      <c r="I28" s="41">
        <f t="shared" si="0"/>
        <v>54.091920568383436</v>
      </c>
      <c r="J28" s="33">
        <v>0</v>
      </c>
      <c r="K28" s="33">
        <v>27585.0999999999</v>
      </c>
      <c r="L28" s="33">
        <v>0</v>
      </c>
      <c r="M28" s="33">
        <v>1965.38461538</v>
      </c>
      <c r="N28" s="33">
        <v>0</v>
      </c>
      <c r="O28" s="33">
        <v>25</v>
      </c>
      <c r="P28" s="33">
        <v>8</v>
      </c>
      <c r="Q28" s="46">
        <v>0</v>
      </c>
      <c r="R28" s="46">
        <v>8</v>
      </c>
      <c r="S28" s="46">
        <f t="shared" si="1"/>
        <v>8</v>
      </c>
      <c r="T28" s="33">
        <v>87.409132400000146</v>
      </c>
      <c r="U28" s="42">
        <v>25.274319168539908</v>
      </c>
      <c r="V28" s="46">
        <v>1.885782209063388</v>
      </c>
      <c r="W28" s="42">
        <f t="shared" si="2"/>
        <v>102.00558146192743</v>
      </c>
      <c r="X28" s="46">
        <v>2.8098899699570712</v>
      </c>
      <c r="Y28" s="42">
        <f t="shared" si="3"/>
        <v>151.99234506081521</v>
      </c>
      <c r="Z28" s="33">
        <v>91.097363866379993</v>
      </c>
      <c r="AA28" s="33">
        <v>38.116932457710448</v>
      </c>
      <c r="AB28" s="33">
        <v>1.4788673190221859</v>
      </c>
      <c r="AC28" s="33">
        <v>0</v>
      </c>
      <c r="AD28" s="33">
        <v>0</v>
      </c>
      <c r="AE28" s="33">
        <v>0.96156082862165793</v>
      </c>
      <c r="AF28" s="33">
        <v>7.1045008288680265</v>
      </c>
      <c r="AG28" s="42">
        <v>47.661861434222317</v>
      </c>
    </row>
    <row r="29" spans="1:33" x14ac:dyDescent="0.2">
      <c r="A29" s="40">
        <v>27</v>
      </c>
      <c r="B29" s="40" t="s">
        <v>226</v>
      </c>
      <c r="C29" s="40">
        <v>220</v>
      </c>
      <c r="D29" s="40">
        <v>2015</v>
      </c>
      <c r="E29" s="40">
        <v>2100</v>
      </c>
      <c r="F29" s="40">
        <v>736796.09820000001</v>
      </c>
      <c r="G29" s="40">
        <v>133773.07680000001</v>
      </c>
      <c r="H29" s="40">
        <v>356</v>
      </c>
      <c r="I29" s="41">
        <f t="shared" si="0"/>
        <v>61.918725795319943</v>
      </c>
      <c r="J29" s="33">
        <v>0</v>
      </c>
      <c r="K29" s="33">
        <v>41410.199999999903</v>
      </c>
      <c r="L29" s="33">
        <v>0</v>
      </c>
      <c r="M29" s="33">
        <v>2233.50515464</v>
      </c>
      <c r="N29" s="33">
        <v>0</v>
      </c>
      <c r="O29" s="33">
        <v>25</v>
      </c>
      <c r="P29" s="33">
        <v>8</v>
      </c>
      <c r="Q29" s="46">
        <v>0</v>
      </c>
      <c r="R29" s="46">
        <v>8</v>
      </c>
      <c r="S29" s="46">
        <f t="shared" si="1"/>
        <v>8</v>
      </c>
      <c r="T29" s="33">
        <v>87.409132400000146</v>
      </c>
      <c r="U29" s="42">
        <v>25.274319168539908</v>
      </c>
      <c r="V29" s="46">
        <v>1.885782209063388</v>
      </c>
      <c r="W29" s="42">
        <f t="shared" si="2"/>
        <v>116.76523151268863</v>
      </c>
      <c r="X29" s="46">
        <v>2.8098899699570712</v>
      </c>
      <c r="Y29" s="42">
        <f t="shared" si="3"/>
        <v>173.98480656479168</v>
      </c>
      <c r="Z29" s="33">
        <v>91.097363866379993</v>
      </c>
      <c r="AA29" s="33">
        <v>38.116932457710448</v>
      </c>
      <c r="AB29" s="33">
        <v>1.4788673190221859</v>
      </c>
      <c r="AC29" s="33">
        <v>0</v>
      </c>
      <c r="AD29" s="33">
        <v>0</v>
      </c>
      <c r="AE29" s="33">
        <v>0.96156082862165793</v>
      </c>
      <c r="AF29" s="33">
        <v>7.1045008288680265</v>
      </c>
      <c r="AG29" s="42">
        <v>47.661861434222317</v>
      </c>
    </row>
    <row r="30" spans="1:33" x14ac:dyDescent="0.2">
      <c r="A30" s="40">
        <v>28</v>
      </c>
      <c r="B30" s="40" t="s">
        <v>227</v>
      </c>
      <c r="C30" s="40">
        <v>220</v>
      </c>
      <c r="D30" s="40">
        <v>2015</v>
      </c>
      <c r="E30" s="40">
        <v>2100</v>
      </c>
      <c r="F30" s="40">
        <v>646505.22089999903</v>
      </c>
      <c r="G30" s="40">
        <v>133673.99290000001</v>
      </c>
      <c r="H30" s="40">
        <v>205</v>
      </c>
      <c r="I30" s="41">
        <f t="shared" si="0"/>
        <v>35.655446033821875</v>
      </c>
      <c r="J30" s="33">
        <v>0</v>
      </c>
      <c r="K30" s="33">
        <v>39864.199999999903</v>
      </c>
      <c r="L30" s="33">
        <v>0</v>
      </c>
      <c r="M30" s="33">
        <v>2865.9420289899899</v>
      </c>
      <c r="N30" s="33">
        <v>0</v>
      </c>
      <c r="O30" s="33">
        <v>25</v>
      </c>
      <c r="P30" s="33">
        <v>8</v>
      </c>
      <c r="Q30" s="46">
        <v>0</v>
      </c>
      <c r="R30" s="46">
        <v>8</v>
      </c>
      <c r="S30" s="46">
        <f t="shared" si="1"/>
        <v>8</v>
      </c>
      <c r="T30" s="33">
        <v>87.409132400000146</v>
      </c>
      <c r="U30" s="42">
        <v>25.274319168539908</v>
      </c>
      <c r="V30" s="46">
        <v>1.885782209063388</v>
      </c>
      <c r="W30" s="42">
        <f t="shared" si="2"/>
        <v>67.238405786801025</v>
      </c>
      <c r="X30" s="46">
        <v>2.8098899699570712</v>
      </c>
      <c r="Y30" s="42">
        <f t="shared" si="3"/>
        <v>100.18788018478172</v>
      </c>
      <c r="Z30" s="33">
        <v>91.097363866379993</v>
      </c>
      <c r="AA30" s="33">
        <v>38.116932457710448</v>
      </c>
      <c r="AB30" s="33">
        <v>1.4788673190221859</v>
      </c>
      <c r="AC30" s="33">
        <v>0</v>
      </c>
      <c r="AD30" s="33">
        <v>0</v>
      </c>
      <c r="AE30" s="33">
        <v>0.96156082862165793</v>
      </c>
      <c r="AF30" s="33">
        <v>7.1045008288680265</v>
      </c>
      <c r="AG30" s="42">
        <v>47.661861434222317</v>
      </c>
    </row>
    <row r="31" spans="1:33" x14ac:dyDescent="0.2">
      <c r="A31" s="40">
        <v>29</v>
      </c>
      <c r="B31" s="40" t="s">
        <v>228</v>
      </c>
      <c r="C31" s="40">
        <v>380</v>
      </c>
      <c r="D31" s="40">
        <v>2015</v>
      </c>
      <c r="E31" s="40">
        <v>2100</v>
      </c>
      <c r="F31" s="40">
        <v>801915.05940000003</v>
      </c>
      <c r="G31" s="40">
        <v>136409.949599999</v>
      </c>
      <c r="H31" s="40">
        <v>328</v>
      </c>
      <c r="I31" s="41">
        <f t="shared" si="0"/>
        <v>57.048713654115005</v>
      </c>
      <c r="J31" s="33">
        <v>0</v>
      </c>
      <c r="K31" s="33">
        <v>44436.5</v>
      </c>
      <c r="L31" s="33">
        <v>0</v>
      </c>
      <c r="M31" s="33">
        <v>2652.83018867999</v>
      </c>
      <c r="N31" s="33">
        <v>0</v>
      </c>
      <c r="O31" s="33">
        <v>25</v>
      </c>
      <c r="P31" s="33">
        <v>8</v>
      </c>
      <c r="Q31" s="46">
        <v>0</v>
      </c>
      <c r="R31" s="46">
        <v>8</v>
      </c>
      <c r="S31" s="46">
        <f t="shared" si="1"/>
        <v>8</v>
      </c>
      <c r="T31" s="33">
        <v>87.409132400000146</v>
      </c>
      <c r="U31" s="42">
        <v>25.274319168539908</v>
      </c>
      <c r="V31" s="46">
        <v>1.885782209063388</v>
      </c>
      <c r="W31" s="42">
        <f t="shared" si="2"/>
        <v>107.58144925888166</v>
      </c>
      <c r="X31" s="46">
        <v>2.8098899699570712</v>
      </c>
      <c r="Y31" s="42">
        <f t="shared" si="3"/>
        <v>160.30060829565076</v>
      </c>
      <c r="Z31" s="33">
        <v>91.097363866379993</v>
      </c>
      <c r="AA31" s="33">
        <v>38.116932457710448</v>
      </c>
      <c r="AB31" s="33">
        <v>1.4788673190221859</v>
      </c>
      <c r="AC31" s="33">
        <v>0</v>
      </c>
      <c r="AD31" s="33">
        <v>0</v>
      </c>
      <c r="AE31" s="33">
        <v>0.96156082862165793</v>
      </c>
      <c r="AF31" s="33">
        <v>7.1045008288680265</v>
      </c>
      <c r="AG31" s="42">
        <v>47.661861434222317</v>
      </c>
    </row>
    <row r="32" spans="1:33" x14ac:dyDescent="0.2">
      <c r="A32" s="40">
        <v>30</v>
      </c>
      <c r="B32" s="40" t="s">
        <v>229</v>
      </c>
      <c r="C32" s="40">
        <v>220</v>
      </c>
      <c r="D32" s="40">
        <v>2015</v>
      </c>
      <c r="E32" s="40">
        <v>2100</v>
      </c>
      <c r="F32" s="40">
        <v>714547.14709999901</v>
      </c>
      <c r="G32" s="40">
        <v>136055.97810000001</v>
      </c>
      <c r="H32" s="40">
        <v>185</v>
      </c>
      <c r="I32" s="41">
        <f t="shared" si="0"/>
        <v>32.176865932961206</v>
      </c>
      <c r="J32" s="33">
        <v>0</v>
      </c>
      <c r="K32" s="33">
        <v>57233.5</v>
      </c>
      <c r="L32" s="33">
        <v>0</v>
      </c>
      <c r="M32" s="33">
        <v>1883.87096773999</v>
      </c>
      <c r="N32" s="33">
        <v>0</v>
      </c>
      <c r="O32" s="33">
        <v>25</v>
      </c>
      <c r="P32" s="33">
        <v>8</v>
      </c>
      <c r="Q32" s="46">
        <v>0</v>
      </c>
      <c r="R32" s="46">
        <v>8</v>
      </c>
      <c r="S32" s="46">
        <f t="shared" si="1"/>
        <v>8</v>
      </c>
      <c r="T32" s="33">
        <v>87.409132400000146</v>
      </c>
      <c r="U32" s="42">
        <v>25.274319168539908</v>
      </c>
      <c r="V32" s="46">
        <v>1.885782209063388</v>
      </c>
      <c r="W32" s="42">
        <f t="shared" si="2"/>
        <v>60.67856131979606</v>
      </c>
      <c r="X32" s="46">
        <v>2.8098899699570712</v>
      </c>
      <c r="Y32" s="42">
        <f t="shared" si="3"/>
        <v>90.413452849681065</v>
      </c>
      <c r="Z32" s="33">
        <v>91.097363866379993</v>
      </c>
      <c r="AA32" s="33">
        <v>38.116932457710448</v>
      </c>
      <c r="AB32" s="33">
        <v>1.4788673190221859</v>
      </c>
      <c r="AC32" s="33">
        <v>0</v>
      </c>
      <c r="AD32" s="33">
        <v>0</v>
      </c>
      <c r="AE32" s="33">
        <v>0.96156082862165793</v>
      </c>
      <c r="AF32" s="33">
        <v>7.1045008288680265</v>
      </c>
      <c r="AG32" s="42">
        <v>47.661861434222317</v>
      </c>
    </row>
    <row r="33" spans="1:33" x14ac:dyDescent="0.2">
      <c r="A33" s="40">
        <v>31</v>
      </c>
      <c r="B33" s="40" t="s">
        <v>230</v>
      </c>
      <c r="C33" s="40">
        <v>220</v>
      </c>
      <c r="D33" s="40">
        <v>2015</v>
      </c>
      <c r="E33" s="40">
        <v>2100</v>
      </c>
      <c r="F33" s="40">
        <v>683906.38109999895</v>
      </c>
      <c r="G33" s="40">
        <v>140629.44560000001</v>
      </c>
      <c r="H33" s="40">
        <v>74</v>
      </c>
      <c r="I33" s="41">
        <f t="shared" si="0"/>
        <v>12.870746373184483</v>
      </c>
      <c r="J33" s="33">
        <v>0</v>
      </c>
      <c r="K33" s="33">
        <v>1894.9</v>
      </c>
      <c r="L33" s="33">
        <v>0</v>
      </c>
      <c r="M33" s="33">
        <v>2243.0555555599899</v>
      </c>
      <c r="N33" s="33">
        <v>0</v>
      </c>
      <c r="O33" s="33">
        <v>25</v>
      </c>
      <c r="P33" s="33">
        <v>8</v>
      </c>
      <c r="Q33" s="46">
        <v>0</v>
      </c>
      <c r="R33" s="46">
        <v>8</v>
      </c>
      <c r="S33" s="46">
        <f t="shared" si="1"/>
        <v>8</v>
      </c>
      <c r="T33" s="33">
        <v>87.409132400000146</v>
      </c>
      <c r="U33" s="42">
        <v>25.274319168539908</v>
      </c>
      <c r="V33" s="46">
        <v>1.885782209063388</v>
      </c>
      <c r="W33" s="42">
        <f t="shared" si="2"/>
        <v>24.271424527918423</v>
      </c>
      <c r="X33" s="46">
        <v>2.8098899699570712</v>
      </c>
      <c r="Y33" s="42">
        <f t="shared" si="3"/>
        <v>36.16538113987243</v>
      </c>
      <c r="Z33" s="33">
        <v>91.097363866379993</v>
      </c>
      <c r="AA33" s="33">
        <v>38.116932457710448</v>
      </c>
      <c r="AB33" s="33">
        <v>1.4788673190221859</v>
      </c>
      <c r="AC33" s="33">
        <v>0</v>
      </c>
      <c r="AD33" s="33">
        <v>0</v>
      </c>
      <c r="AE33" s="33">
        <v>0.96156082862165793</v>
      </c>
      <c r="AF33" s="33">
        <v>7.1045008288680265</v>
      </c>
      <c r="AG33" s="42">
        <v>47.661861434222317</v>
      </c>
    </row>
    <row r="34" spans="1:33" x14ac:dyDescent="0.2">
      <c r="A34" s="40">
        <v>32</v>
      </c>
      <c r="B34" s="40" t="s">
        <v>231</v>
      </c>
      <c r="C34" s="40">
        <v>220</v>
      </c>
      <c r="D34" s="40">
        <v>2015</v>
      </c>
      <c r="E34" s="40">
        <v>2100</v>
      </c>
      <c r="F34" s="40">
        <v>690345.92220000003</v>
      </c>
      <c r="G34" s="40">
        <v>140819.29469999901</v>
      </c>
      <c r="H34" s="40">
        <v>124</v>
      </c>
      <c r="I34" s="41">
        <f t="shared" si="0"/>
        <v>21.567196625336159</v>
      </c>
      <c r="J34" s="33">
        <v>0</v>
      </c>
      <c r="K34" s="33">
        <v>5755.8999999999896</v>
      </c>
      <c r="L34" s="33">
        <v>0</v>
      </c>
      <c r="M34" s="33">
        <v>2177.3809523800001</v>
      </c>
      <c r="N34" s="33">
        <v>0</v>
      </c>
      <c r="O34" s="33">
        <v>25</v>
      </c>
      <c r="P34" s="33">
        <v>8</v>
      </c>
      <c r="Q34" s="46">
        <v>0</v>
      </c>
      <c r="R34" s="46">
        <v>8</v>
      </c>
      <c r="S34" s="46">
        <f t="shared" si="1"/>
        <v>8</v>
      </c>
      <c r="T34" s="33">
        <v>87.409132400000146</v>
      </c>
      <c r="U34" s="42">
        <v>25.274319168539908</v>
      </c>
      <c r="V34" s="46">
        <v>1.885782209063388</v>
      </c>
      <c r="W34" s="42">
        <f t="shared" si="2"/>
        <v>40.671035695430866</v>
      </c>
      <c r="X34" s="46">
        <v>2.8098899699570712</v>
      </c>
      <c r="Y34" s="42">
        <f t="shared" si="3"/>
        <v>60.601449477624065</v>
      </c>
      <c r="Z34" s="33">
        <v>91.097363866379993</v>
      </c>
      <c r="AA34" s="33">
        <v>38.116932457710448</v>
      </c>
      <c r="AB34" s="33">
        <v>1.4788673190221859</v>
      </c>
      <c r="AC34" s="33">
        <v>0</v>
      </c>
      <c r="AD34" s="33">
        <v>0</v>
      </c>
      <c r="AE34" s="33">
        <v>0.96156082862165793</v>
      </c>
      <c r="AF34" s="33">
        <v>7.1045008288680265</v>
      </c>
      <c r="AG34" s="42">
        <v>47.661861434222317</v>
      </c>
    </row>
    <row r="35" spans="1:33" x14ac:dyDescent="0.2">
      <c r="A35" s="40">
        <v>33</v>
      </c>
      <c r="B35" s="40" t="s">
        <v>232</v>
      </c>
      <c r="C35" s="40">
        <v>220</v>
      </c>
      <c r="D35" s="40">
        <v>2015</v>
      </c>
      <c r="E35" s="40">
        <v>2100</v>
      </c>
      <c r="F35" s="40">
        <v>707685.68099999905</v>
      </c>
      <c r="G35" s="40">
        <v>143910.46400000001</v>
      </c>
      <c r="H35" s="40">
        <v>106</v>
      </c>
      <c r="I35" s="41">
        <f t="shared" si="0"/>
        <v>18.436474534561555</v>
      </c>
      <c r="J35" s="33">
        <v>0</v>
      </c>
      <c r="K35" s="33">
        <v>14637.2</v>
      </c>
      <c r="L35" s="33">
        <v>0</v>
      </c>
      <c r="M35" s="33">
        <v>1998.7012987000001</v>
      </c>
      <c r="N35" s="33">
        <v>0</v>
      </c>
      <c r="O35" s="33">
        <v>25</v>
      </c>
      <c r="P35" s="33">
        <v>8</v>
      </c>
      <c r="Q35" s="46">
        <v>0</v>
      </c>
      <c r="R35" s="46">
        <v>8</v>
      </c>
      <c r="S35" s="46">
        <f t="shared" si="1"/>
        <v>8</v>
      </c>
      <c r="T35" s="33">
        <v>87.409132400000146</v>
      </c>
      <c r="U35" s="42">
        <v>25.274319168539908</v>
      </c>
      <c r="V35" s="46">
        <v>1.885782209063388</v>
      </c>
      <c r="W35" s="42">
        <f t="shared" si="2"/>
        <v>34.767175675126389</v>
      </c>
      <c r="X35" s="46">
        <v>2.8098899699570712</v>
      </c>
      <c r="Y35" s="42">
        <f t="shared" si="3"/>
        <v>51.804464876033478</v>
      </c>
      <c r="Z35" s="33">
        <v>91.097363866379993</v>
      </c>
      <c r="AA35" s="33">
        <v>38.116932457710448</v>
      </c>
      <c r="AB35" s="33">
        <v>1.4788673190221859</v>
      </c>
      <c r="AC35" s="33">
        <v>0</v>
      </c>
      <c r="AD35" s="33">
        <v>0</v>
      </c>
      <c r="AE35" s="33">
        <v>0.96156082862165793</v>
      </c>
      <c r="AF35" s="33">
        <v>7.1045008288680265</v>
      </c>
      <c r="AG35" s="42">
        <v>47.661861434222317</v>
      </c>
    </row>
    <row r="36" spans="1:33" x14ac:dyDescent="0.2">
      <c r="A36" s="40">
        <v>34</v>
      </c>
      <c r="B36" s="40" t="s">
        <v>233</v>
      </c>
      <c r="C36" s="40">
        <v>220</v>
      </c>
      <c r="D36" s="40">
        <v>2015</v>
      </c>
      <c r="E36" s="40">
        <v>2100</v>
      </c>
      <c r="F36" s="40">
        <v>653352.88630000001</v>
      </c>
      <c r="G36" s="40">
        <v>138658.092</v>
      </c>
      <c r="H36" s="40">
        <v>423</v>
      </c>
      <c r="I36" s="41">
        <f t="shared" si="0"/>
        <v>73.571969133203197</v>
      </c>
      <c r="J36" s="33">
        <v>0</v>
      </c>
      <c r="K36" s="33">
        <v>56251.4</v>
      </c>
      <c r="L36" s="33">
        <v>0</v>
      </c>
      <c r="M36" s="33">
        <v>2869.68325791999</v>
      </c>
      <c r="N36" s="33">
        <v>0</v>
      </c>
      <c r="O36" s="33">
        <v>25</v>
      </c>
      <c r="P36" s="33">
        <v>8</v>
      </c>
      <c r="Q36" s="46">
        <v>0</v>
      </c>
      <c r="R36" s="46">
        <v>8</v>
      </c>
      <c r="S36" s="46">
        <f t="shared" si="1"/>
        <v>8</v>
      </c>
      <c r="T36" s="33">
        <v>87.409132400000146</v>
      </c>
      <c r="U36" s="42">
        <v>25.274319168539908</v>
      </c>
      <c r="V36" s="46">
        <v>1.885782209063388</v>
      </c>
      <c r="W36" s="42">
        <f t="shared" si="2"/>
        <v>138.74071047715532</v>
      </c>
      <c r="X36" s="46">
        <v>2.8098899699570712</v>
      </c>
      <c r="Y36" s="42">
        <f t="shared" si="3"/>
        <v>206.7291381373789</v>
      </c>
      <c r="Z36" s="33">
        <v>91.097363866379993</v>
      </c>
      <c r="AA36" s="33">
        <v>38.116932457710448</v>
      </c>
      <c r="AB36" s="33">
        <v>1.4788673190221859</v>
      </c>
      <c r="AC36" s="33">
        <v>0</v>
      </c>
      <c r="AD36" s="33">
        <v>0</v>
      </c>
      <c r="AE36" s="33">
        <v>0.96156082862165793</v>
      </c>
      <c r="AF36" s="33">
        <v>7.1045008288680265</v>
      </c>
      <c r="AG36" s="42">
        <v>47.661861434222317</v>
      </c>
    </row>
    <row r="37" spans="1:33" x14ac:dyDescent="0.2">
      <c r="A37" s="40">
        <v>2</v>
      </c>
      <c r="B37" s="40" t="s">
        <v>234</v>
      </c>
      <c r="C37" s="40">
        <v>220</v>
      </c>
      <c r="D37" s="40">
        <v>2015</v>
      </c>
      <c r="E37" s="40">
        <v>2100</v>
      </c>
      <c r="F37" s="40">
        <v>499432.3407</v>
      </c>
      <c r="G37" s="40">
        <v>122965.69019999899</v>
      </c>
      <c r="H37" s="40">
        <v>172</v>
      </c>
      <c r="I37" s="41">
        <f t="shared" si="0"/>
        <v>29.915788867401769</v>
      </c>
      <c r="J37" s="33">
        <v>100</v>
      </c>
      <c r="K37" s="33">
        <v>3580692.2</v>
      </c>
      <c r="L37" s="33">
        <v>-3150</v>
      </c>
      <c r="M37" s="33">
        <v>412.5</v>
      </c>
      <c r="N37" s="33">
        <v>3.7844827586206899</v>
      </c>
      <c r="O37" s="33">
        <v>27.707207207207201</v>
      </c>
      <c r="P37" s="33">
        <v>7.2183384815477174</v>
      </c>
      <c r="Q37" s="46">
        <v>3.7844827586206899</v>
      </c>
      <c r="R37" s="46">
        <v>3.433855722927027</v>
      </c>
      <c r="S37" s="46">
        <f t="shared" si="1"/>
        <v>7.2183384815477165</v>
      </c>
      <c r="T37" s="33">
        <v>85.869248600000134</v>
      </c>
      <c r="U37" s="42">
        <v>24.356714583199519</v>
      </c>
      <c r="V37" s="46">
        <v>1.920793319582053</v>
      </c>
      <c r="W37" s="42">
        <f t="shared" si="2"/>
        <v>57.46204740653247</v>
      </c>
      <c r="X37" s="46">
        <v>2.8662776295136534</v>
      </c>
      <c r="Y37" s="42">
        <f t="shared" si="3"/>
        <v>85.746956399887281</v>
      </c>
      <c r="Z37" s="33">
        <v>93.934008165126798</v>
      </c>
      <c r="AA37" s="33">
        <v>37.089534550688477</v>
      </c>
      <c r="AB37" s="33">
        <v>1.4788673190221859</v>
      </c>
      <c r="AC37" s="33">
        <v>0</v>
      </c>
      <c r="AD37" s="33">
        <v>0</v>
      </c>
      <c r="AE37" s="33">
        <v>0.96156082862165793</v>
      </c>
      <c r="AF37" s="33">
        <v>7.2542519600440798</v>
      </c>
      <c r="AG37" s="42">
        <v>46.784214658376406</v>
      </c>
    </row>
    <row r="38" spans="1:33" x14ac:dyDescent="0.2">
      <c r="A38" s="40">
        <v>36</v>
      </c>
      <c r="B38" s="40" t="s">
        <v>235</v>
      </c>
      <c r="C38" s="40">
        <v>220</v>
      </c>
      <c r="D38" s="40">
        <v>2015</v>
      </c>
      <c r="E38" s="40">
        <v>2100</v>
      </c>
      <c r="F38" s="40">
        <v>587371.22600000002</v>
      </c>
      <c r="G38" s="40">
        <v>149066.78729999901</v>
      </c>
      <c r="H38" s="40">
        <v>756</v>
      </c>
      <c r="I38" s="41">
        <f t="shared" si="0"/>
        <v>131.49032781253337</v>
      </c>
      <c r="J38" s="33">
        <v>0</v>
      </c>
      <c r="K38" s="33">
        <v>266154.7</v>
      </c>
      <c r="L38" s="33">
        <v>0</v>
      </c>
      <c r="M38" s="33">
        <v>1926.9938650300001</v>
      </c>
      <c r="N38" s="33">
        <v>0</v>
      </c>
      <c r="O38" s="33">
        <v>25</v>
      </c>
      <c r="P38" s="33">
        <v>8</v>
      </c>
      <c r="Q38" s="46">
        <v>0</v>
      </c>
      <c r="R38" s="46">
        <v>8</v>
      </c>
      <c r="S38" s="46">
        <f t="shared" si="1"/>
        <v>8</v>
      </c>
      <c r="T38" s="33">
        <v>87.409132400000146</v>
      </c>
      <c r="U38" s="42">
        <v>25.274319168539908</v>
      </c>
      <c r="V38" s="46">
        <v>1.885782209063388</v>
      </c>
      <c r="W38" s="42">
        <f t="shared" si="2"/>
        <v>247.96212085278822</v>
      </c>
      <c r="X38" s="46">
        <v>2.8098899699570712</v>
      </c>
      <c r="Y38" s="42">
        <f t="shared" si="3"/>
        <v>369.47335326680479</v>
      </c>
      <c r="Z38" s="33">
        <v>91.097363866379993</v>
      </c>
      <c r="AA38" s="33">
        <v>38.116932457710448</v>
      </c>
      <c r="AB38" s="33">
        <v>1.4788673190221859</v>
      </c>
      <c r="AC38" s="33">
        <v>0</v>
      </c>
      <c r="AD38" s="33">
        <v>0</v>
      </c>
      <c r="AE38" s="33">
        <v>0.96156082862165793</v>
      </c>
      <c r="AF38" s="33">
        <v>7.1045008288680265</v>
      </c>
      <c r="AG38" s="42">
        <v>47.661861434222317</v>
      </c>
    </row>
    <row r="39" spans="1:33" x14ac:dyDescent="0.2">
      <c r="A39" s="40">
        <v>37</v>
      </c>
      <c r="B39" s="40" t="s">
        <v>236</v>
      </c>
      <c r="C39" s="40">
        <v>220</v>
      </c>
      <c r="D39" s="40">
        <v>2025</v>
      </c>
      <c r="E39" s="40">
        <v>2100</v>
      </c>
      <c r="F39" s="40">
        <v>667278.88899999997</v>
      </c>
      <c r="G39" s="40">
        <v>149939.334999999</v>
      </c>
      <c r="H39" s="40">
        <v>229</v>
      </c>
      <c r="I39" s="41">
        <f t="shared" si="0"/>
        <v>39.829742154854685</v>
      </c>
      <c r="J39" s="33">
        <v>0</v>
      </c>
      <c r="K39" s="33">
        <v>31698.799999999901</v>
      </c>
      <c r="L39" s="33">
        <v>0</v>
      </c>
      <c r="M39" s="33">
        <v>2833.82352940999</v>
      </c>
      <c r="N39" s="33">
        <v>0</v>
      </c>
      <c r="O39" s="33">
        <v>25</v>
      </c>
      <c r="P39" s="33">
        <v>8</v>
      </c>
      <c r="Q39" s="46">
        <v>0</v>
      </c>
      <c r="R39" s="46">
        <v>8</v>
      </c>
      <c r="S39" s="46">
        <f t="shared" si="1"/>
        <v>8</v>
      </c>
      <c r="T39" s="33">
        <v>87.409132400000146</v>
      </c>
      <c r="U39" s="42">
        <v>25.274319168539908</v>
      </c>
      <c r="V39" s="46">
        <v>1.885782209063388</v>
      </c>
      <c r="W39" s="42">
        <f t="shared" si="2"/>
        <v>75.110219147207019</v>
      </c>
      <c r="X39" s="46">
        <v>2.8098899699570712</v>
      </c>
      <c r="Y39" s="42">
        <f t="shared" si="3"/>
        <v>111.91719298690252</v>
      </c>
      <c r="Z39" s="33">
        <v>91.097363866379993</v>
      </c>
      <c r="AA39" s="33">
        <v>38.116932457710448</v>
      </c>
      <c r="AB39" s="33">
        <v>1.4788673190221859</v>
      </c>
      <c r="AC39" s="33">
        <v>0</v>
      </c>
      <c r="AD39" s="33">
        <v>0</v>
      </c>
      <c r="AE39" s="33">
        <v>0.96156082862165793</v>
      </c>
      <c r="AF39" s="33">
        <v>7.1045008288680265</v>
      </c>
      <c r="AG39" s="42">
        <v>47.661861434222317</v>
      </c>
    </row>
    <row r="40" spans="1:33" x14ac:dyDescent="0.2">
      <c r="A40" s="40">
        <v>38</v>
      </c>
      <c r="B40" s="40" t="s">
        <v>237</v>
      </c>
      <c r="C40" s="40">
        <v>220</v>
      </c>
      <c r="D40" s="40">
        <v>2015</v>
      </c>
      <c r="E40" s="40">
        <v>2100</v>
      </c>
      <c r="F40" s="40">
        <v>682551.25049999903</v>
      </c>
      <c r="G40" s="40">
        <v>144155.059799999</v>
      </c>
      <c r="H40" s="40">
        <v>47</v>
      </c>
      <c r="I40" s="41">
        <f t="shared" si="0"/>
        <v>8.1746632370225765</v>
      </c>
      <c r="J40" s="33">
        <v>0</v>
      </c>
      <c r="K40" s="33">
        <v>0</v>
      </c>
      <c r="L40" s="33">
        <v>0</v>
      </c>
      <c r="M40" s="33">
        <v>2509.8039215700001</v>
      </c>
      <c r="N40" s="33">
        <v>0</v>
      </c>
      <c r="O40" s="33">
        <v>25</v>
      </c>
      <c r="P40" s="33">
        <v>8</v>
      </c>
      <c r="Q40" s="46">
        <v>0</v>
      </c>
      <c r="R40" s="46">
        <v>8</v>
      </c>
      <c r="S40" s="46">
        <f t="shared" si="1"/>
        <v>8</v>
      </c>
      <c r="T40" s="33">
        <v>87.409132400000146</v>
      </c>
      <c r="U40" s="42">
        <v>25.274319168539908</v>
      </c>
      <c r="V40" s="46">
        <v>1.885782209063388</v>
      </c>
      <c r="W40" s="42">
        <f t="shared" si="2"/>
        <v>15.415634497461701</v>
      </c>
      <c r="X40" s="46">
        <v>2.8098899699570712</v>
      </c>
      <c r="Y40" s="42">
        <f t="shared" si="3"/>
        <v>22.969904237486542</v>
      </c>
      <c r="Z40" s="33">
        <v>91.097363866379993</v>
      </c>
      <c r="AA40" s="33">
        <v>38.116932457710448</v>
      </c>
      <c r="AB40" s="33">
        <v>1.4788673190221859</v>
      </c>
      <c r="AC40" s="33">
        <v>0</v>
      </c>
      <c r="AD40" s="33">
        <v>0</v>
      </c>
      <c r="AE40" s="33">
        <v>0.96156082862165793</v>
      </c>
      <c r="AF40" s="33">
        <v>7.1045008288680265</v>
      </c>
      <c r="AG40" s="42">
        <v>47.661861434222317</v>
      </c>
    </row>
    <row r="41" spans="1:33" x14ac:dyDescent="0.2">
      <c r="A41" s="40">
        <v>3</v>
      </c>
      <c r="B41" s="40" t="s">
        <v>238</v>
      </c>
      <c r="C41" s="40">
        <v>220</v>
      </c>
      <c r="D41" s="40">
        <v>2015</v>
      </c>
      <c r="E41" s="40">
        <v>2100</v>
      </c>
      <c r="F41" s="40">
        <v>504407.51990000001</v>
      </c>
      <c r="G41" s="40">
        <v>135758.42240000001</v>
      </c>
      <c r="H41" s="40">
        <v>372</v>
      </c>
      <c r="I41" s="41">
        <f t="shared" si="0"/>
        <v>64.701589876008484</v>
      </c>
      <c r="J41" s="33">
        <v>105</v>
      </c>
      <c r="K41" s="33">
        <v>752362.59999999905</v>
      </c>
      <c r="L41" s="33">
        <v>-3138.7096774193501</v>
      </c>
      <c r="M41" s="33">
        <v>1154.4117647099899</v>
      </c>
      <c r="N41" s="33">
        <v>3.8388888888888801</v>
      </c>
      <c r="O41" s="33">
        <v>27.423809523809499</v>
      </c>
      <c r="P41" s="33">
        <v>7.2929328008334844</v>
      </c>
      <c r="Q41" s="46">
        <v>3.8388888888888801</v>
      </c>
      <c r="R41" s="46">
        <v>3.4540439119446038</v>
      </c>
      <c r="S41" s="46">
        <f t="shared" si="1"/>
        <v>7.2929328008334835</v>
      </c>
      <c r="T41" s="33">
        <v>86.032418600000156</v>
      </c>
      <c r="U41" s="42">
        <v>24.440407008760932</v>
      </c>
      <c r="V41" s="46">
        <v>1.9176533437992622</v>
      </c>
      <c r="W41" s="42">
        <f t="shared" si="2"/>
        <v>124.07522017485616</v>
      </c>
      <c r="X41" s="46">
        <v>2.8614361709933456</v>
      </c>
      <c r="Y41" s="42">
        <f t="shared" si="3"/>
        <v>185.13946959198753</v>
      </c>
      <c r="Z41" s="33">
        <v>93.651301241672982</v>
      </c>
      <c r="AA41" s="33">
        <v>37.187579606893458</v>
      </c>
      <c r="AB41" s="33">
        <v>1.4788673190221859</v>
      </c>
      <c r="AC41" s="33">
        <v>0</v>
      </c>
      <c r="AD41" s="33">
        <v>0</v>
      </c>
      <c r="AE41" s="33">
        <v>0.96156082862165793</v>
      </c>
      <c r="AF41" s="33">
        <v>7.2402204696280297</v>
      </c>
      <c r="AG41" s="42">
        <v>46.868228224165328</v>
      </c>
    </row>
    <row r="42" spans="1:33" x14ac:dyDescent="0.2">
      <c r="A42" s="40">
        <v>40</v>
      </c>
      <c r="B42" s="40" t="s">
        <v>239</v>
      </c>
      <c r="C42" s="40">
        <v>220</v>
      </c>
      <c r="D42" s="40">
        <v>2015</v>
      </c>
      <c r="E42" s="40">
        <v>2100</v>
      </c>
      <c r="F42" s="40">
        <v>707661.48060000001</v>
      </c>
      <c r="G42" s="40">
        <v>144333.888299999</v>
      </c>
      <c r="H42" s="40">
        <v>138</v>
      </c>
      <c r="I42" s="41">
        <f t="shared" si="0"/>
        <v>24.002202695938628</v>
      </c>
      <c r="J42" s="33">
        <v>0</v>
      </c>
      <c r="K42" s="33">
        <v>49448.099999999897</v>
      </c>
      <c r="L42" s="33">
        <v>0</v>
      </c>
      <c r="M42" s="33">
        <v>1962.9032258100001</v>
      </c>
      <c r="N42" s="33">
        <v>0</v>
      </c>
      <c r="O42" s="33">
        <v>25</v>
      </c>
      <c r="P42" s="33">
        <v>8</v>
      </c>
      <c r="Q42" s="46">
        <v>0</v>
      </c>
      <c r="R42" s="46">
        <v>8</v>
      </c>
      <c r="S42" s="46">
        <f t="shared" si="1"/>
        <v>8</v>
      </c>
      <c r="T42" s="33">
        <v>87.409132400000146</v>
      </c>
      <c r="U42" s="42">
        <v>25.274319168539908</v>
      </c>
      <c r="V42" s="46">
        <v>1.885782209063388</v>
      </c>
      <c r="W42" s="42">
        <f t="shared" si="2"/>
        <v>45.26292682233435</v>
      </c>
      <c r="X42" s="46">
        <v>2.8098899699570712</v>
      </c>
      <c r="Y42" s="42">
        <f t="shared" si="3"/>
        <v>67.443548612194519</v>
      </c>
      <c r="Z42" s="33">
        <v>91.097363866379993</v>
      </c>
      <c r="AA42" s="33">
        <v>38.116932457710448</v>
      </c>
      <c r="AB42" s="33">
        <v>1.4788673190221859</v>
      </c>
      <c r="AC42" s="33">
        <v>0</v>
      </c>
      <c r="AD42" s="33">
        <v>0</v>
      </c>
      <c r="AE42" s="33">
        <v>0.96156082862165793</v>
      </c>
      <c r="AF42" s="33">
        <v>7.1045008288680265</v>
      </c>
      <c r="AG42" s="42">
        <v>47.661861434222317</v>
      </c>
    </row>
    <row r="43" spans="1:33" x14ac:dyDescent="0.2">
      <c r="A43" s="40">
        <v>41</v>
      </c>
      <c r="B43" s="40" t="s">
        <v>240</v>
      </c>
      <c r="C43" s="40">
        <v>220</v>
      </c>
      <c r="D43" s="40">
        <v>2015</v>
      </c>
      <c r="E43" s="40">
        <v>2100</v>
      </c>
      <c r="F43" s="40">
        <v>679442.84600000002</v>
      </c>
      <c r="G43" s="40">
        <v>149130.372</v>
      </c>
      <c r="H43" s="40">
        <v>117</v>
      </c>
      <c r="I43" s="41">
        <f t="shared" si="0"/>
        <v>20.349693590034924</v>
      </c>
      <c r="J43" s="33">
        <v>0</v>
      </c>
      <c r="K43" s="33">
        <v>1549.2</v>
      </c>
      <c r="L43" s="33">
        <v>0</v>
      </c>
      <c r="M43" s="33">
        <v>2525.9259259300002</v>
      </c>
      <c r="N43" s="33">
        <v>0</v>
      </c>
      <c r="O43" s="33">
        <v>25</v>
      </c>
      <c r="P43" s="33">
        <v>8</v>
      </c>
      <c r="Q43" s="46">
        <v>0</v>
      </c>
      <c r="R43" s="46">
        <v>8</v>
      </c>
      <c r="S43" s="46">
        <f t="shared" si="1"/>
        <v>8</v>
      </c>
      <c r="T43" s="33">
        <v>87.409132400000146</v>
      </c>
      <c r="U43" s="42">
        <v>25.274319168539908</v>
      </c>
      <c r="V43" s="46">
        <v>1.885782209063388</v>
      </c>
      <c r="W43" s="42">
        <f t="shared" si="2"/>
        <v>38.375090131979128</v>
      </c>
      <c r="X43" s="46">
        <v>2.8098899699570712</v>
      </c>
      <c r="Y43" s="42">
        <f t="shared" si="3"/>
        <v>57.180399910338835</v>
      </c>
      <c r="Z43" s="33">
        <v>91.097363866379993</v>
      </c>
      <c r="AA43" s="33">
        <v>38.116932457710448</v>
      </c>
      <c r="AB43" s="33">
        <v>1.4788673190221859</v>
      </c>
      <c r="AC43" s="33">
        <v>0</v>
      </c>
      <c r="AD43" s="33">
        <v>0</v>
      </c>
      <c r="AE43" s="33">
        <v>0.96156082862165793</v>
      </c>
      <c r="AF43" s="33">
        <v>7.1045008288680265</v>
      </c>
      <c r="AG43" s="42">
        <v>47.661861434222317</v>
      </c>
    </row>
    <row r="44" spans="1:33" x14ac:dyDescent="0.2">
      <c r="A44" s="40">
        <v>42</v>
      </c>
      <c r="B44" s="40" t="s">
        <v>241</v>
      </c>
      <c r="C44" s="40">
        <v>220</v>
      </c>
      <c r="D44" s="40">
        <v>2015</v>
      </c>
      <c r="E44" s="40">
        <v>2100</v>
      </c>
      <c r="F44" s="40">
        <v>688927.73849999905</v>
      </c>
      <c r="G44" s="40">
        <v>153562.672599999</v>
      </c>
      <c r="H44" s="40">
        <v>232</v>
      </c>
      <c r="I44" s="41">
        <f t="shared" si="0"/>
        <v>40.351529169983785</v>
      </c>
      <c r="J44" s="33">
        <v>0</v>
      </c>
      <c r="K44" s="33">
        <v>29157.200000000001</v>
      </c>
      <c r="L44" s="33">
        <v>0</v>
      </c>
      <c r="M44" s="33">
        <v>2376.33587785999</v>
      </c>
      <c r="N44" s="33">
        <v>0</v>
      </c>
      <c r="O44" s="33">
        <v>25</v>
      </c>
      <c r="P44" s="33">
        <v>8</v>
      </c>
      <c r="Q44" s="46">
        <v>0</v>
      </c>
      <c r="R44" s="46">
        <v>8</v>
      </c>
      <c r="S44" s="46">
        <f t="shared" si="1"/>
        <v>8</v>
      </c>
      <c r="T44" s="33">
        <v>87.409132400000146</v>
      </c>
      <c r="U44" s="42">
        <v>25.274319168539908</v>
      </c>
      <c r="V44" s="46">
        <v>1.885782209063388</v>
      </c>
      <c r="W44" s="42">
        <f t="shared" si="2"/>
        <v>76.094195817257756</v>
      </c>
      <c r="X44" s="46">
        <v>2.8098899699570712</v>
      </c>
      <c r="Y44" s="42">
        <f t="shared" si="3"/>
        <v>113.38335708716762</v>
      </c>
      <c r="Z44" s="33">
        <v>91.097363866379993</v>
      </c>
      <c r="AA44" s="33">
        <v>38.116932457710448</v>
      </c>
      <c r="AB44" s="33">
        <v>1.4788673190221859</v>
      </c>
      <c r="AC44" s="33">
        <v>0</v>
      </c>
      <c r="AD44" s="33">
        <v>0</v>
      </c>
      <c r="AE44" s="33">
        <v>0.96156082862165793</v>
      </c>
      <c r="AF44" s="33">
        <v>7.1045008288680265</v>
      </c>
      <c r="AG44" s="42">
        <v>47.661861434222317</v>
      </c>
    </row>
    <row r="45" spans="1:33" x14ac:dyDescent="0.2">
      <c r="A45" s="40">
        <v>4</v>
      </c>
      <c r="B45" s="40" t="s">
        <v>242</v>
      </c>
      <c r="C45" s="40">
        <v>220</v>
      </c>
      <c r="D45" s="40">
        <v>2015</v>
      </c>
      <c r="E45" s="40">
        <v>2100</v>
      </c>
      <c r="F45" s="40">
        <v>533546.02720000001</v>
      </c>
      <c r="G45" s="40">
        <v>155419.0963</v>
      </c>
      <c r="H45" s="40">
        <v>121</v>
      </c>
      <c r="I45" s="41">
        <f t="shared" si="0"/>
        <v>21.045409610207059</v>
      </c>
      <c r="J45" s="33">
        <v>110</v>
      </c>
      <c r="K45" s="33">
        <v>898284.5</v>
      </c>
      <c r="L45" s="33">
        <v>-3385</v>
      </c>
      <c r="M45" s="33">
        <v>475</v>
      </c>
      <c r="N45" s="33">
        <v>3.7708333333333299</v>
      </c>
      <c r="O45" s="33">
        <v>30.362637362637301</v>
      </c>
      <c r="P45" s="33">
        <v>6.5870430691277733</v>
      </c>
      <c r="Q45" s="46">
        <v>3.7708333333333299</v>
      </c>
      <c r="R45" s="46">
        <v>2.8162097357944429</v>
      </c>
      <c r="S45" s="46">
        <f t="shared" si="1"/>
        <v>6.5870430691277733</v>
      </c>
      <c r="T45" s="33">
        <v>84.334522400000154</v>
      </c>
      <c r="U45" s="42">
        <v>23.68137021972985</v>
      </c>
      <c r="V45" s="46">
        <v>1.9454432828735564</v>
      </c>
      <c r="W45" s="42">
        <f t="shared" si="2"/>
        <v>40.942650761499912</v>
      </c>
      <c r="X45" s="46">
        <v>2.9024546832996823</v>
      </c>
      <c r="Y45" s="42">
        <f t="shared" si="3"/>
        <v>61.083347685105622</v>
      </c>
      <c r="Z45" s="33">
        <v>96.449528438164904</v>
      </c>
      <c r="AA45" s="33">
        <v>36.259774392203184</v>
      </c>
      <c r="AB45" s="33">
        <v>1.4788673190221859</v>
      </c>
      <c r="AC45" s="33">
        <v>0</v>
      </c>
      <c r="AD45" s="33">
        <v>0</v>
      </c>
      <c r="AE45" s="33">
        <v>0.96156082862165793</v>
      </c>
      <c r="AF45" s="33">
        <v>7.3705600833682912</v>
      </c>
      <c r="AG45" s="42">
        <v>46.070762623215316</v>
      </c>
    </row>
    <row r="46" spans="1:33" x14ac:dyDescent="0.2">
      <c r="A46" s="40">
        <v>5</v>
      </c>
      <c r="B46" s="40" t="s">
        <v>243</v>
      </c>
      <c r="C46" s="40">
        <v>220</v>
      </c>
      <c r="D46" s="40">
        <v>2015</v>
      </c>
      <c r="E46" s="40">
        <v>2100</v>
      </c>
      <c r="F46" s="40">
        <v>561670.59799999895</v>
      </c>
      <c r="G46" s="40">
        <v>139719.8138</v>
      </c>
      <c r="H46" s="40">
        <v>542</v>
      </c>
      <c r="I46" s="41">
        <f t="shared" si="0"/>
        <v>94.269520733324185</v>
      </c>
      <c r="J46" s="33">
        <v>150</v>
      </c>
      <c r="K46" s="33">
        <v>977196.19999999902</v>
      </c>
      <c r="L46" s="33">
        <v>-4300</v>
      </c>
      <c r="M46" s="33">
        <v>1528.64321608</v>
      </c>
      <c r="N46" s="33">
        <v>5</v>
      </c>
      <c r="O46" s="33">
        <v>30</v>
      </c>
      <c r="P46" s="33">
        <v>6.666666666666667</v>
      </c>
      <c r="Q46" s="46">
        <v>5</v>
      </c>
      <c r="R46" s="46">
        <v>1.666666666666667</v>
      </c>
      <c r="S46" s="46">
        <f t="shared" si="1"/>
        <v>6.666666666666667</v>
      </c>
      <c r="T46" s="33">
        <v>84.539190500000146</v>
      </c>
      <c r="U46" s="42">
        <v>23.763279423090651</v>
      </c>
      <c r="V46" s="46">
        <v>1.9425299231662256</v>
      </c>
      <c r="W46" s="42">
        <f t="shared" si="2"/>
        <v>183.12136486702116</v>
      </c>
      <c r="X46" s="46">
        <v>2.8982395105916194</v>
      </c>
      <c r="Y46" s="42">
        <f t="shared" si="3"/>
        <v>273.215649633856</v>
      </c>
      <c r="Z46" s="33">
        <v>96.121540792127149</v>
      </c>
      <c r="AA46" s="33">
        <v>36.364429815976628</v>
      </c>
      <c r="AB46" s="33">
        <v>1.4788673190221859</v>
      </c>
      <c r="AC46" s="33">
        <v>0</v>
      </c>
      <c r="AD46" s="33">
        <v>0</v>
      </c>
      <c r="AE46" s="33">
        <v>0.96156082862165793</v>
      </c>
      <c r="AF46" s="33">
        <v>7.3560233882933668</v>
      </c>
      <c r="AG46" s="42">
        <v>46.160881351913829</v>
      </c>
    </row>
    <row r="47" spans="1:33" x14ac:dyDescent="0.2">
      <c r="A47" s="40">
        <v>45</v>
      </c>
      <c r="B47" s="40" t="s">
        <v>244</v>
      </c>
      <c r="C47" s="40">
        <v>220</v>
      </c>
      <c r="D47" s="40">
        <v>2015</v>
      </c>
      <c r="E47" s="40">
        <v>2100</v>
      </c>
      <c r="F47" s="40">
        <v>753153.10809999902</v>
      </c>
      <c r="G47" s="40">
        <v>155316.4541</v>
      </c>
      <c r="H47" s="40">
        <v>234</v>
      </c>
      <c r="I47" s="41">
        <f t="shared" si="0"/>
        <v>40.699387180069849</v>
      </c>
      <c r="J47" s="33">
        <v>0</v>
      </c>
      <c r="K47" s="33">
        <v>7334</v>
      </c>
      <c r="L47" s="33">
        <v>0</v>
      </c>
      <c r="M47" s="33">
        <v>2479.5031055899899</v>
      </c>
      <c r="N47" s="33">
        <v>0</v>
      </c>
      <c r="O47" s="33">
        <v>25</v>
      </c>
      <c r="P47" s="33">
        <v>8</v>
      </c>
      <c r="Q47" s="46">
        <v>0</v>
      </c>
      <c r="R47" s="46">
        <v>8</v>
      </c>
      <c r="S47" s="46">
        <f t="shared" si="1"/>
        <v>8</v>
      </c>
      <c r="T47" s="33">
        <v>87.409132400000146</v>
      </c>
      <c r="U47" s="42">
        <v>25.274319168539908</v>
      </c>
      <c r="V47" s="46">
        <v>1.885782209063388</v>
      </c>
      <c r="W47" s="42">
        <f t="shared" si="2"/>
        <v>76.750180263958256</v>
      </c>
      <c r="X47" s="46">
        <v>2.8098899699570712</v>
      </c>
      <c r="Y47" s="42">
        <f t="shared" si="3"/>
        <v>114.36079982067767</v>
      </c>
      <c r="Z47" s="33">
        <v>91.097363866379993</v>
      </c>
      <c r="AA47" s="33">
        <v>38.116932457710448</v>
      </c>
      <c r="AB47" s="33">
        <v>1.4788673190221859</v>
      </c>
      <c r="AC47" s="33">
        <v>0</v>
      </c>
      <c r="AD47" s="33">
        <v>0</v>
      </c>
      <c r="AE47" s="33">
        <v>0.96156082862165793</v>
      </c>
      <c r="AF47" s="33">
        <v>7.1045008288680265</v>
      </c>
      <c r="AG47" s="42">
        <v>47.661861434222317</v>
      </c>
    </row>
    <row r="48" spans="1:33" x14ac:dyDescent="0.2">
      <c r="A48" s="40">
        <v>46</v>
      </c>
      <c r="B48" s="40" t="s">
        <v>245</v>
      </c>
      <c r="C48" s="40">
        <v>220</v>
      </c>
      <c r="D48" s="40">
        <v>2015</v>
      </c>
      <c r="E48" s="40">
        <v>2100</v>
      </c>
      <c r="F48" s="40">
        <v>770938.46099999896</v>
      </c>
      <c r="G48" s="40">
        <v>138574.5748</v>
      </c>
      <c r="H48" s="40">
        <v>378</v>
      </c>
      <c r="I48" s="41">
        <f t="shared" si="0"/>
        <v>65.745163906266683</v>
      </c>
      <c r="J48" s="33">
        <v>0</v>
      </c>
      <c r="K48" s="33">
        <v>57959.8</v>
      </c>
      <c r="L48" s="33">
        <v>0</v>
      </c>
      <c r="M48" s="33">
        <v>2680.4651162800001</v>
      </c>
      <c r="N48" s="33">
        <v>0</v>
      </c>
      <c r="O48" s="33">
        <v>25</v>
      </c>
      <c r="P48" s="33">
        <v>8</v>
      </c>
      <c r="Q48" s="46">
        <v>0</v>
      </c>
      <c r="R48" s="46">
        <v>8</v>
      </c>
      <c r="S48" s="46">
        <f t="shared" si="1"/>
        <v>8</v>
      </c>
      <c r="T48" s="33">
        <v>87.409132400000146</v>
      </c>
      <c r="U48" s="42">
        <v>25.274319168539908</v>
      </c>
      <c r="V48" s="46">
        <v>1.885782209063388</v>
      </c>
      <c r="W48" s="42">
        <f t="shared" si="2"/>
        <v>123.98106042639411</v>
      </c>
      <c r="X48" s="46">
        <v>2.8098899699570712</v>
      </c>
      <c r="Y48" s="42">
        <f t="shared" si="3"/>
        <v>184.7366766334024</v>
      </c>
      <c r="Z48" s="33">
        <v>91.097363866379993</v>
      </c>
      <c r="AA48" s="33">
        <v>38.116932457710448</v>
      </c>
      <c r="AB48" s="33">
        <v>1.4788673190221859</v>
      </c>
      <c r="AC48" s="33">
        <v>0</v>
      </c>
      <c r="AD48" s="33">
        <v>0</v>
      </c>
      <c r="AE48" s="33">
        <v>0.96156082862165793</v>
      </c>
      <c r="AF48" s="33">
        <v>7.1045008288680265</v>
      </c>
      <c r="AG48" s="42">
        <v>47.661861434222317</v>
      </c>
    </row>
    <row r="49" spans="1:33" x14ac:dyDescent="0.2">
      <c r="A49" s="40">
        <v>47</v>
      </c>
      <c r="B49" s="40" t="s">
        <v>246</v>
      </c>
      <c r="C49" s="40">
        <v>220</v>
      </c>
      <c r="D49" s="40">
        <v>2015</v>
      </c>
      <c r="E49" s="40">
        <v>2100</v>
      </c>
      <c r="F49" s="40">
        <v>715564.34270000004</v>
      </c>
      <c r="G49" s="40">
        <v>154972.92540000001</v>
      </c>
      <c r="H49" s="40">
        <v>495</v>
      </c>
      <c r="I49" s="41">
        <f t="shared" si="0"/>
        <v>86.0948574963016</v>
      </c>
      <c r="J49" s="33">
        <v>0</v>
      </c>
      <c r="K49" s="33">
        <v>21981.7</v>
      </c>
      <c r="L49" s="33">
        <v>0</v>
      </c>
      <c r="M49" s="33">
        <v>2482.1969696999899</v>
      </c>
      <c r="N49" s="33">
        <v>0</v>
      </c>
      <c r="O49" s="33">
        <v>25</v>
      </c>
      <c r="P49" s="33">
        <v>8</v>
      </c>
      <c r="Q49" s="46">
        <v>0</v>
      </c>
      <c r="R49" s="46">
        <v>8</v>
      </c>
      <c r="S49" s="46">
        <f t="shared" si="1"/>
        <v>8</v>
      </c>
      <c r="T49" s="33">
        <v>87.409132400000146</v>
      </c>
      <c r="U49" s="42">
        <v>25.274319168539908</v>
      </c>
      <c r="V49" s="46">
        <v>1.885782209063388</v>
      </c>
      <c r="W49" s="42">
        <f t="shared" si="2"/>
        <v>162.35615055837323</v>
      </c>
      <c r="X49" s="46">
        <v>2.8098899699570712</v>
      </c>
      <c r="Y49" s="42">
        <f t="shared" si="3"/>
        <v>241.91707654374122</v>
      </c>
      <c r="Z49" s="33">
        <v>91.097363866379993</v>
      </c>
      <c r="AA49" s="33">
        <v>38.116932457710448</v>
      </c>
      <c r="AB49" s="33">
        <v>1.4788673190221859</v>
      </c>
      <c r="AC49" s="33">
        <v>0</v>
      </c>
      <c r="AD49" s="33">
        <v>0</v>
      </c>
      <c r="AE49" s="33">
        <v>0.96156082862165793</v>
      </c>
      <c r="AF49" s="33">
        <v>7.1045008288680265</v>
      </c>
      <c r="AG49" s="42">
        <v>47.661861434222317</v>
      </c>
    </row>
    <row r="50" spans="1:33" x14ac:dyDescent="0.2">
      <c r="A50" s="40">
        <v>48</v>
      </c>
      <c r="B50" s="40" t="s">
        <v>247</v>
      </c>
      <c r="C50" s="40">
        <v>220</v>
      </c>
      <c r="D50" s="40">
        <v>2015</v>
      </c>
      <c r="E50" s="40">
        <v>2100</v>
      </c>
      <c r="F50" s="40">
        <v>766641.18839999905</v>
      </c>
      <c r="G50" s="40">
        <v>161437.7451</v>
      </c>
      <c r="H50" s="40">
        <v>254</v>
      </c>
      <c r="I50" s="41">
        <f t="shared" si="0"/>
        <v>44.177967280930524</v>
      </c>
      <c r="J50" s="33">
        <v>0</v>
      </c>
      <c r="K50" s="33">
        <v>37898.9</v>
      </c>
      <c r="L50" s="33">
        <v>0</v>
      </c>
      <c r="M50" s="33">
        <v>2695.5223880600001</v>
      </c>
      <c r="N50" s="33">
        <v>0</v>
      </c>
      <c r="O50" s="33">
        <v>25</v>
      </c>
      <c r="P50" s="33">
        <v>8</v>
      </c>
      <c r="Q50" s="46">
        <v>0</v>
      </c>
      <c r="R50" s="46">
        <v>8</v>
      </c>
      <c r="S50" s="46">
        <f t="shared" si="1"/>
        <v>8</v>
      </c>
      <c r="T50" s="33">
        <v>87.409132400000146</v>
      </c>
      <c r="U50" s="42">
        <v>25.274319168539908</v>
      </c>
      <c r="V50" s="46">
        <v>1.885782209063388</v>
      </c>
      <c r="W50" s="42">
        <f t="shared" si="2"/>
        <v>83.310024730963235</v>
      </c>
      <c r="X50" s="46">
        <v>2.8098899699570712</v>
      </c>
      <c r="Y50" s="42">
        <f t="shared" si="3"/>
        <v>124.13522715577834</v>
      </c>
      <c r="Z50" s="33">
        <v>91.097363866379993</v>
      </c>
      <c r="AA50" s="33">
        <v>38.116932457710448</v>
      </c>
      <c r="AB50" s="33">
        <v>1.4788673190221859</v>
      </c>
      <c r="AC50" s="33">
        <v>0</v>
      </c>
      <c r="AD50" s="33">
        <v>0</v>
      </c>
      <c r="AE50" s="33">
        <v>0.96156082862165793</v>
      </c>
      <c r="AF50" s="33">
        <v>7.1045008288680265</v>
      </c>
      <c r="AG50" s="42">
        <v>47.661861434222317</v>
      </c>
    </row>
    <row r="51" spans="1:33" x14ac:dyDescent="0.2">
      <c r="A51" s="40">
        <v>49</v>
      </c>
      <c r="B51" s="40" t="s">
        <v>248</v>
      </c>
      <c r="C51" s="40">
        <v>380</v>
      </c>
      <c r="D51" s="40">
        <v>2021</v>
      </c>
      <c r="E51" s="40">
        <v>2100</v>
      </c>
      <c r="F51" s="40">
        <v>790127.87619999901</v>
      </c>
      <c r="G51" s="40">
        <v>160629.78270000001</v>
      </c>
      <c r="H51" s="40">
        <v>758</v>
      </c>
      <c r="I51" s="41">
        <f t="shared" si="0"/>
        <v>131.83818582261944</v>
      </c>
      <c r="J51" s="33">
        <v>0</v>
      </c>
      <c r="K51" s="33">
        <v>304006.799999999</v>
      </c>
      <c r="L51" s="33">
        <v>0</v>
      </c>
      <c r="M51" s="33">
        <v>2661.9791666699898</v>
      </c>
      <c r="N51" s="33">
        <v>0</v>
      </c>
      <c r="O51" s="33">
        <v>25</v>
      </c>
      <c r="P51" s="33">
        <v>8</v>
      </c>
      <c r="Q51" s="46">
        <v>0</v>
      </c>
      <c r="R51" s="46">
        <v>8</v>
      </c>
      <c r="S51" s="46">
        <f t="shared" si="1"/>
        <v>8</v>
      </c>
      <c r="T51" s="33">
        <v>87.409132400000146</v>
      </c>
      <c r="U51" s="42">
        <v>25.274319168539908</v>
      </c>
      <c r="V51" s="46">
        <v>1.885782209063388</v>
      </c>
      <c r="W51" s="42">
        <f t="shared" si="2"/>
        <v>248.61810529948872</v>
      </c>
      <c r="X51" s="46">
        <v>2.8098899699570712</v>
      </c>
      <c r="Y51" s="42">
        <f t="shared" si="3"/>
        <v>370.45079600031488</v>
      </c>
      <c r="Z51" s="33">
        <v>91.097363866379993</v>
      </c>
      <c r="AA51" s="33">
        <v>38.116932457710448</v>
      </c>
      <c r="AB51" s="33">
        <v>1.4788673190221859</v>
      </c>
      <c r="AC51" s="33">
        <v>0</v>
      </c>
      <c r="AD51" s="33">
        <v>0</v>
      </c>
      <c r="AE51" s="33">
        <v>0.96156082862165793</v>
      </c>
      <c r="AF51" s="33">
        <v>7.1045008288680265</v>
      </c>
      <c r="AG51" s="42">
        <v>47.661861434222317</v>
      </c>
    </row>
    <row r="52" spans="1:33" x14ac:dyDescent="0.2">
      <c r="A52" s="40">
        <v>6</v>
      </c>
      <c r="B52" s="40" t="s">
        <v>249</v>
      </c>
      <c r="C52" s="40">
        <v>220</v>
      </c>
      <c r="D52" s="40">
        <v>2015</v>
      </c>
      <c r="E52" s="40">
        <v>2100</v>
      </c>
      <c r="F52" s="40">
        <v>616648.58219999901</v>
      </c>
      <c r="G52" s="40">
        <v>170127.62549999901</v>
      </c>
      <c r="H52" s="40">
        <v>1123</v>
      </c>
      <c r="I52" s="41">
        <f t="shared" si="0"/>
        <v>195.32227266332669</v>
      </c>
      <c r="J52" s="33">
        <v>212.5</v>
      </c>
      <c r="K52" s="33">
        <v>1011216.8</v>
      </c>
      <c r="L52" s="33">
        <v>-5693.75</v>
      </c>
      <c r="M52" s="33">
        <v>1847.2813238799899</v>
      </c>
      <c r="N52" s="33">
        <v>6.5630252100840298</v>
      </c>
      <c r="O52" s="33">
        <v>32.869369369369302</v>
      </c>
      <c r="P52" s="33">
        <v>6.0846923393175398</v>
      </c>
      <c r="Q52" s="46">
        <v>6.5630252100840298</v>
      </c>
      <c r="R52" s="46">
        <v>-0.47833287076649</v>
      </c>
      <c r="S52" s="46">
        <f t="shared" si="1"/>
        <v>6.0846923393175398</v>
      </c>
      <c r="T52" s="33">
        <v>70</v>
      </c>
      <c r="U52" s="42">
        <v>28.811994560874389</v>
      </c>
      <c r="V52" s="46">
        <v>1.5359682775697634</v>
      </c>
      <c r="W52" s="42">
        <f t="shared" si="2"/>
        <v>300.00881471370155</v>
      </c>
      <c r="X52" s="46">
        <v>2.3527893157303632</v>
      </c>
      <c r="Y52" s="42">
        <f t="shared" si="3"/>
        <v>459.55215624644779</v>
      </c>
      <c r="Z52" s="33">
        <v>92.416966496016457</v>
      </c>
      <c r="AA52" s="33">
        <v>35.599496156401173</v>
      </c>
      <c r="AB52" s="33">
        <v>1.4788673190221859</v>
      </c>
      <c r="AC52" s="33">
        <v>0</v>
      </c>
      <c r="AD52" s="33">
        <v>0</v>
      </c>
      <c r="AE52" s="33">
        <v>0.96156082862165793</v>
      </c>
      <c r="AF52" s="33">
        <v>6.2143853549706094</v>
      </c>
      <c r="AG52" s="42">
        <v>44.254309659015625</v>
      </c>
    </row>
    <row r="53" spans="1:33" x14ac:dyDescent="0.2">
      <c r="A53" s="40">
        <v>51</v>
      </c>
      <c r="B53" s="40" t="s">
        <v>250</v>
      </c>
      <c r="C53" s="40">
        <v>220</v>
      </c>
      <c r="D53" s="40">
        <v>2015</v>
      </c>
      <c r="E53" s="40">
        <v>2100</v>
      </c>
      <c r="F53" s="40">
        <v>752068.10880000005</v>
      </c>
      <c r="G53" s="40">
        <v>161942.5068</v>
      </c>
      <c r="H53" s="40">
        <v>274</v>
      </c>
      <c r="I53" s="41">
        <f t="shared" si="0"/>
        <v>47.656547381791192</v>
      </c>
      <c r="J53" s="33">
        <v>0</v>
      </c>
      <c r="K53" s="33">
        <v>23232.0999999999</v>
      </c>
      <c r="L53" s="33">
        <v>0</v>
      </c>
      <c r="M53" s="33">
        <v>2303.3898305100001</v>
      </c>
      <c r="N53" s="33">
        <v>0</v>
      </c>
      <c r="O53" s="33">
        <v>25</v>
      </c>
      <c r="P53" s="33">
        <v>8</v>
      </c>
      <c r="Q53" s="46">
        <v>0</v>
      </c>
      <c r="R53" s="46">
        <v>8</v>
      </c>
      <c r="S53" s="46">
        <f t="shared" si="1"/>
        <v>8</v>
      </c>
      <c r="T53" s="33">
        <v>87.409132400000146</v>
      </c>
      <c r="U53" s="42">
        <v>25.274319168539908</v>
      </c>
      <c r="V53" s="46">
        <v>1.885782209063388</v>
      </c>
      <c r="W53" s="42">
        <f t="shared" si="2"/>
        <v>89.869869197968214</v>
      </c>
      <c r="X53" s="46">
        <v>2.8098899699570712</v>
      </c>
      <c r="Y53" s="42">
        <f t="shared" si="3"/>
        <v>133.90965449087901</v>
      </c>
      <c r="Z53" s="33">
        <v>91.097363866379993</v>
      </c>
      <c r="AA53" s="33">
        <v>38.116932457710448</v>
      </c>
      <c r="AB53" s="33">
        <v>1.4788673190221859</v>
      </c>
      <c r="AC53" s="33">
        <v>0</v>
      </c>
      <c r="AD53" s="33">
        <v>0</v>
      </c>
      <c r="AE53" s="33">
        <v>0.96156082862165793</v>
      </c>
      <c r="AF53" s="33">
        <v>7.1045008288680265</v>
      </c>
      <c r="AG53" s="42">
        <v>47.661861434222317</v>
      </c>
    </row>
    <row r="54" spans="1:33" x14ac:dyDescent="0.2">
      <c r="A54" s="40">
        <v>52</v>
      </c>
      <c r="B54" s="40" t="s">
        <v>251</v>
      </c>
      <c r="C54" s="40">
        <v>220</v>
      </c>
      <c r="D54" s="40">
        <v>2015</v>
      </c>
      <c r="E54" s="40">
        <v>2100</v>
      </c>
      <c r="F54" s="40">
        <v>667857.48869999906</v>
      </c>
      <c r="G54" s="40">
        <v>160604.250399999</v>
      </c>
      <c r="H54" s="40">
        <v>139</v>
      </c>
      <c r="I54" s="41">
        <f t="shared" si="0"/>
        <v>24.176131700981664</v>
      </c>
      <c r="J54" s="33">
        <v>0</v>
      </c>
      <c r="K54" s="33">
        <v>852.7</v>
      </c>
      <c r="L54" s="33">
        <v>0</v>
      </c>
      <c r="M54" s="33">
        <v>2731.25</v>
      </c>
      <c r="N54" s="33">
        <v>0</v>
      </c>
      <c r="O54" s="33">
        <v>25</v>
      </c>
      <c r="P54" s="33">
        <v>8</v>
      </c>
      <c r="Q54" s="46">
        <v>0</v>
      </c>
      <c r="R54" s="46">
        <v>8</v>
      </c>
      <c r="S54" s="46">
        <f t="shared" si="1"/>
        <v>8</v>
      </c>
      <c r="T54" s="33">
        <v>87.409132400000146</v>
      </c>
      <c r="U54" s="42">
        <v>25.274319168539908</v>
      </c>
      <c r="V54" s="46">
        <v>1.885782209063388</v>
      </c>
      <c r="W54" s="42">
        <f t="shared" si="2"/>
        <v>45.590919045684608</v>
      </c>
      <c r="X54" s="46">
        <v>2.8098899699570712</v>
      </c>
      <c r="Y54" s="42">
        <f t="shared" si="3"/>
        <v>67.932269978949563</v>
      </c>
      <c r="Z54" s="33">
        <v>91.097363866379993</v>
      </c>
      <c r="AA54" s="33">
        <v>38.116932457710448</v>
      </c>
      <c r="AB54" s="33">
        <v>1.4788673190221859</v>
      </c>
      <c r="AC54" s="33">
        <v>0</v>
      </c>
      <c r="AD54" s="33">
        <v>0</v>
      </c>
      <c r="AE54" s="33">
        <v>0.96156082862165793</v>
      </c>
      <c r="AF54" s="33">
        <v>7.1045008288680265</v>
      </c>
      <c r="AG54" s="42">
        <v>47.661861434222317</v>
      </c>
    </row>
    <row r="55" spans="1:33" x14ac:dyDescent="0.2">
      <c r="A55" s="40">
        <v>53</v>
      </c>
      <c r="B55" s="40" t="s">
        <v>252</v>
      </c>
      <c r="C55" s="40">
        <v>220</v>
      </c>
      <c r="D55" s="40">
        <v>2015</v>
      </c>
      <c r="E55" s="40">
        <v>2100</v>
      </c>
      <c r="F55" s="40">
        <v>687732.30949999904</v>
      </c>
      <c r="G55" s="40">
        <v>169234.215499999</v>
      </c>
      <c r="H55" s="40">
        <v>308</v>
      </c>
      <c r="I55" s="41">
        <f t="shared" si="0"/>
        <v>53.57013355325433</v>
      </c>
      <c r="J55" s="33">
        <v>0</v>
      </c>
      <c r="K55" s="33">
        <v>33022.400000000001</v>
      </c>
      <c r="L55" s="33">
        <v>0</v>
      </c>
      <c r="M55" s="33">
        <v>2533.1428571400002</v>
      </c>
      <c r="N55" s="33">
        <v>0</v>
      </c>
      <c r="O55" s="33">
        <v>25</v>
      </c>
      <c r="P55" s="33">
        <v>8</v>
      </c>
      <c r="Q55" s="46">
        <v>0</v>
      </c>
      <c r="R55" s="46">
        <v>8</v>
      </c>
      <c r="S55" s="46">
        <f t="shared" si="1"/>
        <v>8</v>
      </c>
      <c r="T55" s="33">
        <v>87.409132400000146</v>
      </c>
      <c r="U55" s="42">
        <v>25.274319168539908</v>
      </c>
      <c r="V55" s="46">
        <v>1.885782209063388</v>
      </c>
      <c r="W55" s="42">
        <f t="shared" si="2"/>
        <v>101.02160479187667</v>
      </c>
      <c r="X55" s="46">
        <v>2.8098899699570712</v>
      </c>
      <c r="Y55" s="42">
        <f t="shared" si="3"/>
        <v>150.52618096055011</v>
      </c>
      <c r="Z55" s="33">
        <v>91.097363866379993</v>
      </c>
      <c r="AA55" s="33">
        <v>38.116932457710448</v>
      </c>
      <c r="AB55" s="33">
        <v>1.4788673190221859</v>
      </c>
      <c r="AC55" s="33">
        <v>0</v>
      </c>
      <c r="AD55" s="33">
        <v>0</v>
      </c>
      <c r="AE55" s="33">
        <v>0.96156082862165793</v>
      </c>
      <c r="AF55" s="33">
        <v>7.1045008288680265</v>
      </c>
      <c r="AG55" s="42">
        <v>47.661861434222317</v>
      </c>
    </row>
    <row r="56" spans="1:33" x14ac:dyDescent="0.2">
      <c r="A56" s="40">
        <v>54</v>
      </c>
      <c r="B56" s="40" t="s">
        <v>253</v>
      </c>
      <c r="C56" s="40">
        <v>220</v>
      </c>
      <c r="D56" s="40">
        <v>2015</v>
      </c>
      <c r="E56" s="40">
        <v>2100</v>
      </c>
      <c r="F56" s="40">
        <v>701775.6398</v>
      </c>
      <c r="G56" s="40">
        <v>170362.44969999901</v>
      </c>
      <c r="H56" s="40">
        <v>323</v>
      </c>
      <c r="I56" s="41">
        <f t="shared" si="0"/>
        <v>56.179068628899834</v>
      </c>
      <c r="J56" s="33">
        <v>0</v>
      </c>
      <c r="K56" s="33">
        <v>51870.699999999903</v>
      </c>
      <c r="L56" s="33">
        <v>0</v>
      </c>
      <c r="M56" s="33">
        <v>2453.8888888900001</v>
      </c>
      <c r="N56" s="33">
        <v>0</v>
      </c>
      <c r="O56" s="33">
        <v>25</v>
      </c>
      <c r="P56" s="33">
        <v>8</v>
      </c>
      <c r="Q56" s="46">
        <v>0</v>
      </c>
      <c r="R56" s="46">
        <v>8</v>
      </c>
      <c r="S56" s="46">
        <f t="shared" si="1"/>
        <v>8</v>
      </c>
      <c r="T56" s="33">
        <v>87.409132400000146</v>
      </c>
      <c r="U56" s="42">
        <v>25.274319168539908</v>
      </c>
      <c r="V56" s="46">
        <v>1.885782209063388</v>
      </c>
      <c r="W56" s="42">
        <f t="shared" si="2"/>
        <v>105.94148814213041</v>
      </c>
      <c r="X56" s="46">
        <v>2.8098899699570712</v>
      </c>
      <c r="Y56" s="42">
        <f t="shared" si="3"/>
        <v>157.8570014618756</v>
      </c>
      <c r="Z56" s="33">
        <v>91.097363866379993</v>
      </c>
      <c r="AA56" s="33">
        <v>38.116932457710448</v>
      </c>
      <c r="AB56" s="33">
        <v>1.4788673190221859</v>
      </c>
      <c r="AC56" s="33">
        <v>0</v>
      </c>
      <c r="AD56" s="33">
        <v>0</v>
      </c>
      <c r="AE56" s="33">
        <v>0.96156082862165793</v>
      </c>
      <c r="AF56" s="33">
        <v>7.1045008288680265</v>
      </c>
      <c r="AG56" s="42">
        <v>47.661861434222317</v>
      </c>
    </row>
    <row r="57" spans="1:33" x14ac:dyDescent="0.2">
      <c r="A57" s="40">
        <v>55</v>
      </c>
      <c r="B57" s="40" t="s">
        <v>254</v>
      </c>
      <c r="C57" s="40">
        <v>220</v>
      </c>
      <c r="D57" s="40">
        <v>2015</v>
      </c>
      <c r="E57" s="40">
        <v>2100</v>
      </c>
      <c r="F57" s="40">
        <v>762704.83400000003</v>
      </c>
      <c r="G57" s="40">
        <v>170511.8291</v>
      </c>
      <c r="H57" s="40">
        <v>126</v>
      </c>
      <c r="I57" s="41">
        <f t="shared" si="0"/>
        <v>21.915054635422226</v>
      </c>
      <c r="J57" s="33">
        <v>0</v>
      </c>
      <c r="K57" s="33">
        <v>58012.4</v>
      </c>
      <c r="L57" s="33">
        <v>0</v>
      </c>
      <c r="M57" s="33">
        <v>2010.60606060999</v>
      </c>
      <c r="N57" s="33">
        <v>0</v>
      </c>
      <c r="O57" s="33">
        <v>25</v>
      </c>
      <c r="P57" s="33">
        <v>8</v>
      </c>
      <c r="Q57" s="46">
        <v>0</v>
      </c>
      <c r="R57" s="46">
        <v>8</v>
      </c>
      <c r="S57" s="46">
        <f t="shared" si="1"/>
        <v>8</v>
      </c>
      <c r="T57" s="33">
        <v>87.409132400000146</v>
      </c>
      <c r="U57" s="42">
        <v>25.274319168539908</v>
      </c>
      <c r="V57" s="46">
        <v>1.885782209063388</v>
      </c>
      <c r="W57" s="42">
        <f t="shared" si="2"/>
        <v>41.327020142131367</v>
      </c>
      <c r="X57" s="46">
        <v>2.8098899699570712</v>
      </c>
      <c r="Y57" s="42">
        <f t="shared" si="3"/>
        <v>61.578892211134132</v>
      </c>
      <c r="Z57" s="33">
        <v>91.097363866379993</v>
      </c>
      <c r="AA57" s="33">
        <v>38.116932457710448</v>
      </c>
      <c r="AB57" s="33">
        <v>1.4788673190221859</v>
      </c>
      <c r="AC57" s="33">
        <v>0</v>
      </c>
      <c r="AD57" s="33">
        <v>0</v>
      </c>
      <c r="AE57" s="33">
        <v>0.96156082862165793</v>
      </c>
      <c r="AF57" s="33">
        <v>7.1045008288680265</v>
      </c>
      <c r="AG57" s="42">
        <v>47.661861434222317</v>
      </c>
    </row>
    <row r="58" spans="1:33" x14ac:dyDescent="0.2">
      <c r="A58" s="40">
        <v>56</v>
      </c>
      <c r="B58" s="40" t="s">
        <v>255</v>
      </c>
      <c r="C58" s="40">
        <v>380</v>
      </c>
      <c r="D58" s="40">
        <v>2015</v>
      </c>
      <c r="E58" s="40">
        <v>2100</v>
      </c>
      <c r="F58" s="40">
        <v>772315.47609999904</v>
      </c>
      <c r="G58" s="40">
        <v>171318.25309999901</v>
      </c>
      <c r="H58" s="40">
        <v>612</v>
      </c>
      <c r="I58" s="41">
        <f t="shared" si="0"/>
        <v>106.44455108633653</v>
      </c>
      <c r="J58" s="33">
        <v>0</v>
      </c>
      <c r="K58" s="33">
        <v>314378.09999999899</v>
      </c>
      <c r="L58" s="33">
        <v>0</v>
      </c>
      <c r="M58" s="33">
        <v>2348.97119341999</v>
      </c>
      <c r="N58" s="33">
        <v>0</v>
      </c>
      <c r="O58" s="33">
        <v>25</v>
      </c>
      <c r="P58" s="33">
        <v>8</v>
      </c>
      <c r="Q58" s="46">
        <v>0</v>
      </c>
      <c r="R58" s="46">
        <v>8</v>
      </c>
      <c r="S58" s="46">
        <f t="shared" si="1"/>
        <v>8</v>
      </c>
      <c r="T58" s="33">
        <v>87.409132400000146</v>
      </c>
      <c r="U58" s="42">
        <v>25.274319168539908</v>
      </c>
      <c r="V58" s="46">
        <v>1.885782209063388</v>
      </c>
      <c r="W58" s="42">
        <f t="shared" si="2"/>
        <v>200.73124069035237</v>
      </c>
      <c r="X58" s="46">
        <v>2.8098899699570712</v>
      </c>
      <c r="Y58" s="42">
        <f t="shared" si="3"/>
        <v>299.09747645408009</v>
      </c>
      <c r="Z58" s="33">
        <v>91.097363866379993</v>
      </c>
      <c r="AA58" s="33">
        <v>38.116932457710448</v>
      </c>
      <c r="AB58" s="33">
        <v>1.4788673190221859</v>
      </c>
      <c r="AC58" s="33">
        <v>0</v>
      </c>
      <c r="AD58" s="33">
        <v>0</v>
      </c>
      <c r="AE58" s="33">
        <v>0.96156082862165793</v>
      </c>
      <c r="AF58" s="33">
        <v>7.1045008288680265</v>
      </c>
      <c r="AG58" s="42">
        <v>47.661861434222317</v>
      </c>
    </row>
    <row r="59" spans="1:33" x14ac:dyDescent="0.2">
      <c r="A59" s="40">
        <v>57</v>
      </c>
      <c r="B59" s="40" t="s">
        <v>256</v>
      </c>
      <c r="C59" s="40">
        <v>220</v>
      </c>
      <c r="D59" s="40">
        <v>2015</v>
      </c>
      <c r="E59" s="40">
        <v>2100</v>
      </c>
      <c r="F59" s="40">
        <v>666708.22900000005</v>
      </c>
      <c r="G59" s="40">
        <v>163319.65429999901</v>
      </c>
      <c r="H59" s="40">
        <v>194</v>
      </c>
      <c r="I59" s="41">
        <f t="shared" si="0"/>
        <v>33.742226978348505</v>
      </c>
      <c r="J59" s="33">
        <v>0</v>
      </c>
      <c r="K59" s="33">
        <v>1853.7</v>
      </c>
      <c r="L59" s="33">
        <v>0</v>
      </c>
      <c r="M59" s="33">
        <v>2820.51282050999</v>
      </c>
      <c r="N59" s="33">
        <v>0</v>
      </c>
      <c r="O59" s="33">
        <v>25</v>
      </c>
      <c r="P59" s="33">
        <v>8</v>
      </c>
      <c r="Q59" s="46">
        <v>0</v>
      </c>
      <c r="R59" s="46">
        <v>8</v>
      </c>
      <c r="S59" s="46">
        <f t="shared" si="1"/>
        <v>8</v>
      </c>
      <c r="T59" s="33">
        <v>87.409132400000146</v>
      </c>
      <c r="U59" s="42">
        <v>25.274319168539908</v>
      </c>
      <c r="V59" s="46">
        <v>1.885782209063388</v>
      </c>
      <c r="W59" s="42">
        <f t="shared" si="2"/>
        <v>63.630491329948292</v>
      </c>
      <c r="X59" s="46">
        <v>2.8098899699570712</v>
      </c>
      <c r="Y59" s="42">
        <f t="shared" si="3"/>
        <v>94.811945150476362</v>
      </c>
      <c r="Z59" s="33">
        <v>91.097363866379993</v>
      </c>
      <c r="AA59" s="33">
        <v>38.116932457710448</v>
      </c>
      <c r="AB59" s="33">
        <v>1.4788673190221859</v>
      </c>
      <c r="AC59" s="33">
        <v>0</v>
      </c>
      <c r="AD59" s="33">
        <v>0</v>
      </c>
      <c r="AE59" s="33">
        <v>0.96156082862165793</v>
      </c>
      <c r="AF59" s="33">
        <v>7.1045008288680265</v>
      </c>
      <c r="AG59" s="42">
        <v>47.661861434222317</v>
      </c>
    </row>
    <row r="60" spans="1:33" x14ac:dyDescent="0.2">
      <c r="A60" s="40">
        <v>7</v>
      </c>
      <c r="B60" s="40" t="s">
        <v>257</v>
      </c>
      <c r="C60" s="40">
        <v>220</v>
      </c>
      <c r="D60" s="40">
        <v>2015</v>
      </c>
      <c r="E60" s="40">
        <v>2100</v>
      </c>
      <c r="F60" s="40">
        <v>536836.60430000001</v>
      </c>
      <c r="G60" s="40">
        <v>156651.554299999</v>
      </c>
      <c r="H60" s="40">
        <v>453</v>
      </c>
      <c r="I60" s="41">
        <f t="shared" si="0"/>
        <v>78.789839284494192</v>
      </c>
      <c r="J60" s="33">
        <v>130</v>
      </c>
      <c r="K60" s="33">
        <v>2336736.2000000002</v>
      </c>
      <c r="L60" s="33">
        <v>-3758.8235294117599</v>
      </c>
      <c r="M60" s="33">
        <v>693.82716049400005</v>
      </c>
      <c r="N60" s="33">
        <v>4.1652173913043402</v>
      </c>
      <c r="O60" s="33">
        <v>31.046575342465701</v>
      </c>
      <c r="P60" s="33">
        <v>6.4419343452170956</v>
      </c>
      <c r="Q60" s="46">
        <v>4.1652173913043402</v>
      </c>
      <c r="R60" s="46">
        <v>2.276716953912755</v>
      </c>
      <c r="S60" s="46">
        <f t="shared" si="1"/>
        <v>6.4419343452170956</v>
      </c>
      <c r="T60" s="33">
        <v>83.933248600000127</v>
      </c>
      <c r="U60" s="42">
        <v>23.534553099161322</v>
      </c>
      <c r="V60" s="46">
        <v>1.9505763106424441</v>
      </c>
      <c r="W60" s="42">
        <f t="shared" si="2"/>
        <v>153.68559402765979</v>
      </c>
      <c r="X60" s="46">
        <v>2.9093332768790523</v>
      </c>
      <c r="Y60" s="42">
        <f t="shared" si="3"/>
        <v>229.22590131033138</v>
      </c>
      <c r="Z60" s="33">
        <v>97.066467541048141</v>
      </c>
      <c r="AA60" s="33">
        <v>36.069046825709123</v>
      </c>
      <c r="AB60" s="33">
        <v>1.4788673190221859</v>
      </c>
      <c r="AC60" s="33">
        <v>0</v>
      </c>
      <c r="AD60" s="33">
        <v>0</v>
      </c>
      <c r="AE60" s="33">
        <v>0.96156082862165793</v>
      </c>
      <c r="AF60" s="33">
        <v>7.3964667834278259</v>
      </c>
      <c r="AG60" s="42">
        <v>45.905941756780791</v>
      </c>
    </row>
    <row r="61" spans="1:33" x14ac:dyDescent="0.2">
      <c r="A61" s="40">
        <v>8</v>
      </c>
      <c r="B61" s="40" t="s">
        <v>258</v>
      </c>
      <c r="C61" s="40">
        <v>220</v>
      </c>
      <c r="D61" s="40">
        <v>2015</v>
      </c>
      <c r="E61" s="40">
        <v>2100</v>
      </c>
      <c r="F61" s="40">
        <v>575053.41810000001</v>
      </c>
      <c r="G61" s="40">
        <v>162405.03510000001</v>
      </c>
      <c r="H61" s="40">
        <v>588</v>
      </c>
      <c r="I61" s="41">
        <f t="shared" si="0"/>
        <v>102.27025496530372</v>
      </c>
      <c r="J61" s="33">
        <v>155</v>
      </c>
      <c r="K61" s="33">
        <v>456860.799999999</v>
      </c>
      <c r="L61" s="33">
        <v>-4153.3333333333303</v>
      </c>
      <c r="M61" s="33">
        <v>1480.7692307699899</v>
      </c>
      <c r="N61" s="33">
        <v>4.9166666666666599</v>
      </c>
      <c r="O61" s="33">
        <v>31.2731277533039</v>
      </c>
      <c r="P61" s="33">
        <v>6.3952669390055066</v>
      </c>
      <c r="Q61" s="46">
        <v>4.9166666666666599</v>
      </c>
      <c r="R61" s="46">
        <v>1.4786002723388469</v>
      </c>
      <c r="S61" s="46">
        <f t="shared" si="1"/>
        <v>6.3952669390055066</v>
      </c>
      <c r="T61" s="33">
        <v>83.801742400000123</v>
      </c>
      <c r="U61" s="42">
        <v>23.488014492506707</v>
      </c>
      <c r="V61" s="46">
        <v>1.9521831313035181</v>
      </c>
      <c r="W61" s="42">
        <f t="shared" si="2"/>
        <v>199.65026657737579</v>
      </c>
      <c r="X61" s="46">
        <v>2.9114738890097271</v>
      </c>
      <c r="Y61" s="42">
        <f t="shared" si="3"/>
        <v>297.75717695384918</v>
      </c>
      <c r="Z61" s="33">
        <v>97.267458561472111</v>
      </c>
      <c r="AA61" s="33">
        <v>36.007708261207611</v>
      </c>
      <c r="AB61" s="33">
        <v>1.4788673190221859</v>
      </c>
      <c r="AC61" s="33">
        <v>0</v>
      </c>
      <c r="AD61" s="33">
        <v>0</v>
      </c>
      <c r="AE61" s="33">
        <v>0.96156082862165793</v>
      </c>
      <c r="AF61" s="33">
        <v>7.4047692712326993</v>
      </c>
      <c r="AG61" s="42">
        <v>45.852905680084156</v>
      </c>
    </row>
    <row r="62" spans="1:33" x14ac:dyDescent="0.2">
      <c r="A62" s="40">
        <v>9</v>
      </c>
      <c r="B62" s="40" t="s">
        <v>259</v>
      </c>
      <c r="C62" s="40">
        <v>220</v>
      </c>
      <c r="D62" s="40">
        <v>2015</v>
      </c>
      <c r="E62" s="40">
        <v>2100</v>
      </c>
      <c r="F62" s="40">
        <v>525709.74829999905</v>
      </c>
      <c r="G62" s="40">
        <v>155070.75580000001</v>
      </c>
      <c r="H62" s="40">
        <v>584</v>
      </c>
      <c r="I62" s="41">
        <f t="shared" si="0"/>
        <v>101.57453894513159</v>
      </c>
      <c r="J62" s="33">
        <v>103.333333333333</v>
      </c>
      <c r="K62" s="33">
        <v>680767.69999999902</v>
      </c>
      <c r="L62" s="33">
        <v>-2905</v>
      </c>
      <c r="M62" s="33">
        <v>994.87179487200001</v>
      </c>
      <c r="N62" s="33">
        <v>3.7466666666666599</v>
      </c>
      <c r="O62" s="33">
        <v>27.3093749999999</v>
      </c>
      <c r="P62" s="33">
        <v>7.3234923904337146</v>
      </c>
      <c r="Q62" s="46">
        <v>3.7466666666666599</v>
      </c>
      <c r="R62" s="46">
        <v>3.5768257237670551</v>
      </c>
      <c r="S62" s="46">
        <f t="shared" si="1"/>
        <v>7.3234923904337155</v>
      </c>
      <c r="T62" s="33">
        <v>86.105580500000144</v>
      </c>
      <c r="U62" s="42">
        <v>24.474929955799947</v>
      </c>
      <c r="V62" s="46">
        <v>1.9163612239136063</v>
      </c>
      <c r="W62" s="42">
        <f t="shared" si="2"/>
        <v>194.65350777135265</v>
      </c>
      <c r="X62" s="46">
        <v>2.8596240741003154</v>
      </c>
      <c r="Y62" s="42">
        <f t="shared" si="3"/>
        <v>290.46499688313838</v>
      </c>
      <c r="Z62" s="33">
        <v>93.53271511867483</v>
      </c>
      <c r="AA62" s="33">
        <v>37.22774642802198</v>
      </c>
      <c r="AB62" s="33">
        <v>1.4788673190221859</v>
      </c>
      <c r="AC62" s="33">
        <v>0</v>
      </c>
      <c r="AD62" s="33">
        <v>0</v>
      </c>
      <c r="AE62" s="33">
        <v>0.96156082862165793</v>
      </c>
      <c r="AF62" s="33">
        <v>7.2346321496307464</v>
      </c>
      <c r="AG62" s="42">
        <v>46.902806725296571</v>
      </c>
    </row>
    <row r="63" spans="1:33" x14ac:dyDescent="0.2">
      <c r="A63" s="40">
        <v>10</v>
      </c>
      <c r="B63" s="40" t="s">
        <v>260</v>
      </c>
      <c r="C63" s="40">
        <v>220</v>
      </c>
      <c r="D63" s="40">
        <v>2015</v>
      </c>
      <c r="E63" s="40">
        <v>2100</v>
      </c>
      <c r="F63" s="40">
        <v>532439.57429999905</v>
      </c>
      <c r="G63" s="40">
        <v>178878.87029999899</v>
      </c>
      <c r="H63" s="40">
        <v>1112</v>
      </c>
      <c r="I63" s="41">
        <f t="shared" si="0"/>
        <v>193.40905360785331</v>
      </c>
      <c r="J63" s="33">
        <v>102.5</v>
      </c>
      <c r="K63" s="33">
        <v>939399.09999999905</v>
      </c>
      <c r="L63" s="33">
        <v>-2237.8048780487802</v>
      </c>
      <c r="M63" s="33">
        <v>969.69696969699896</v>
      </c>
      <c r="N63" s="33">
        <v>2.9522471910112298</v>
      </c>
      <c r="O63" s="33">
        <v>34.622905027932902</v>
      </c>
      <c r="P63" s="33">
        <v>5.7765227914481736</v>
      </c>
      <c r="Q63" s="46">
        <v>2.9522471910112298</v>
      </c>
      <c r="R63" s="46">
        <v>2.8242756004369451</v>
      </c>
      <c r="S63" s="46">
        <f t="shared" si="1"/>
        <v>5.7765227914481745</v>
      </c>
      <c r="T63" s="33">
        <v>81.852696700000138</v>
      </c>
      <c r="U63" s="42">
        <v>22.902867053345553</v>
      </c>
      <c r="V63" s="46">
        <v>1.9712019886799743</v>
      </c>
      <c r="W63" s="42">
        <f t="shared" si="2"/>
        <v>381.24831110051218</v>
      </c>
      <c r="X63" s="46">
        <v>2.9341893126667276</v>
      </c>
      <c r="Y63" s="42">
        <f t="shared" si="3"/>
        <v>567.49877806914935</v>
      </c>
      <c r="Z63" s="33">
        <v>100.11483784676352</v>
      </c>
      <c r="AA63" s="33">
        <v>35.194445196343942</v>
      </c>
      <c r="AB63" s="33">
        <v>1.4788673190221859</v>
      </c>
      <c r="AC63" s="33">
        <v>0</v>
      </c>
      <c r="AD63" s="33">
        <v>0</v>
      </c>
      <c r="AE63" s="33">
        <v>0.96156082862165793</v>
      </c>
      <c r="AF63" s="33">
        <v>7.5113037380400254</v>
      </c>
      <c r="AG63" s="42">
        <v>45.146177082027812</v>
      </c>
    </row>
    <row r="64" spans="1:33" x14ac:dyDescent="0.2">
      <c r="A64" s="40">
        <v>62</v>
      </c>
      <c r="B64" s="40" t="s">
        <v>261</v>
      </c>
      <c r="C64" s="40">
        <v>220</v>
      </c>
      <c r="D64" s="40">
        <v>2015</v>
      </c>
      <c r="E64" s="40">
        <v>2100</v>
      </c>
      <c r="F64" s="40">
        <v>722719.00809999905</v>
      </c>
      <c r="G64" s="40">
        <v>179183.98569999999</v>
      </c>
      <c r="H64" s="40">
        <v>315</v>
      </c>
      <c r="I64" s="41">
        <f t="shared" si="0"/>
        <v>54.787636588555571</v>
      </c>
      <c r="J64" s="33">
        <v>0</v>
      </c>
      <c r="K64" s="33">
        <v>69276.600000000006</v>
      </c>
      <c r="L64" s="33">
        <v>0</v>
      </c>
      <c r="M64" s="33">
        <v>2224.7787610599898</v>
      </c>
      <c r="N64" s="33">
        <v>0</v>
      </c>
      <c r="O64" s="33">
        <v>25</v>
      </c>
      <c r="P64" s="33">
        <v>8</v>
      </c>
      <c r="Q64" s="46">
        <v>0</v>
      </c>
      <c r="R64" s="46">
        <v>8</v>
      </c>
      <c r="S64" s="46">
        <f t="shared" si="1"/>
        <v>8</v>
      </c>
      <c r="T64" s="33">
        <v>87.409132400000146</v>
      </c>
      <c r="U64" s="42">
        <v>25.274319168539908</v>
      </c>
      <c r="V64" s="46">
        <v>1.885782209063388</v>
      </c>
      <c r="W64" s="42">
        <f t="shared" si="2"/>
        <v>103.31755035532842</v>
      </c>
      <c r="X64" s="46">
        <v>2.8098899699570712</v>
      </c>
      <c r="Y64" s="42">
        <f t="shared" si="3"/>
        <v>153.94723052783536</v>
      </c>
      <c r="Z64" s="33">
        <v>91.097363866379993</v>
      </c>
      <c r="AA64" s="33">
        <v>38.116932457710448</v>
      </c>
      <c r="AB64" s="33">
        <v>1.4788673190221859</v>
      </c>
      <c r="AC64" s="33">
        <v>0</v>
      </c>
      <c r="AD64" s="33">
        <v>0</v>
      </c>
      <c r="AE64" s="33">
        <v>0.96156082862165793</v>
      </c>
      <c r="AF64" s="33">
        <v>7.1045008288680265</v>
      </c>
      <c r="AG64" s="42">
        <v>47.661861434222317</v>
      </c>
    </row>
    <row r="65" spans="1:33" x14ac:dyDescent="0.2">
      <c r="A65" s="40">
        <v>63</v>
      </c>
      <c r="B65" s="40" t="s">
        <v>262</v>
      </c>
      <c r="C65" s="40">
        <v>220</v>
      </c>
      <c r="D65" s="40">
        <v>2015</v>
      </c>
      <c r="E65" s="40">
        <v>2100</v>
      </c>
      <c r="F65" s="40">
        <v>734220.39130000002</v>
      </c>
      <c r="G65" s="40">
        <v>182037.0405</v>
      </c>
      <c r="H65" s="40">
        <v>352</v>
      </c>
      <c r="I65" s="41">
        <f t="shared" si="0"/>
        <v>61.223009775147808</v>
      </c>
      <c r="J65" s="33">
        <v>0</v>
      </c>
      <c r="K65" s="33">
        <v>170406.399999999</v>
      </c>
      <c r="L65" s="33">
        <v>0</v>
      </c>
      <c r="M65" s="33">
        <v>1810.31746032</v>
      </c>
      <c r="N65" s="33">
        <v>0</v>
      </c>
      <c r="O65" s="33">
        <v>25</v>
      </c>
      <c r="P65" s="33">
        <v>8</v>
      </c>
      <c r="Q65" s="46">
        <v>0</v>
      </c>
      <c r="R65" s="46">
        <v>8</v>
      </c>
      <c r="S65" s="46">
        <f t="shared" si="1"/>
        <v>8</v>
      </c>
      <c r="T65" s="33">
        <v>87.409132400000146</v>
      </c>
      <c r="U65" s="42">
        <v>25.274319168539908</v>
      </c>
      <c r="V65" s="46">
        <v>1.885782209063388</v>
      </c>
      <c r="W65" s="42">
        <f t="shared" si="2"/>
        <v>115.45326261928763</v>
      </c>
      <c r="X65" s="46">
        <v>2.8098899699570712</v>
      </c>
      <c r="Y65" s="42">
        <f t="shared" si="3"/>
        <v>172.02992109777156</v>
      </c>
      <c r="Z65" s="33">
        <v>91.097363866379993</v>
      </c>
      <c r="AA65" s="33">
        <v>38.116932457710448</v>
      </c>
      <c r="AB65" s="33">
        <v>1.4788673190221859</v>
      </c>
      <c r="AC65" s="33">
        <v>0</v>
      </c>
      <c r="AD65" s="33">
        <v>0</v>
      </c>
      <c r="AE65" s="33">
        <v>0.96156082862165793</v>
      </c>
      <c r="AF65" s="33">
        <v>7.1045008288680265</v>
      </c>
      <c r="AG65" s="42">
        <v>47.661861434222317</v>
      </c>
    </row>
    <row r="66" spans="1:33" x14ac:dyDescent="0.2">
      <c r="A66" s="40">
        <v>64</v>
      </c>
      <c r="B66" s="40" t="s">
        <v>263</v>
      </c>
      <c r="C66" s="40">
        <v>220</v>
      </c>
      <c r="D66" s="40">
        <v>2015</v>
      </c>
      <c r="E66" s="40">
        <v>2100</v>
      </c>
      <c r="F66" s="40">
        <v>755445.60069999902</v>
      </c>
      <c r="G66" s="40">
        <v>174523.085499999</v>
      </c>
      <c r="H66" s="40">
        <v>146</v>
      </c>
      <c r="I66" s="41">
        <f t="shared" si="0"/>
        <v>25.393634736282898</v>
      </c>
      <c r="J66" s="33">
        <v>0</v>
      </c>
      <c r="K66" s="33">
        <v>125114.899999999</v>
      </c>
      <c r="L66" s="33">
        <v>0</v>
      </c>
      <c r="M66" s="33">
        <v>1697.1428571399899</v>
      </c>
      <c r="N66" s="33">
        <v>0</v>
      </c>
      <c r="O66" s="33">
        <v>25</v>
      </c>
      <c r="P66" s="33">
        <v>8</v>
      </c>
      <c r="Q66" s="46">
        <v>0</v>
      </c>
      <c r="R66" s="46">
        <v>8</v>
      </c>
      <c r="S66" s="46">
        <f t="shared" si="1"/>
        <v>8</v>
      </c>
      <c r="T66" s="33">
        <v>87.409132400000146</v>
      </c>
      <c r="U66" s="42">
        <v>25.274319168539908</v>
      </c>
      <c r="V66" s="46">
        <v>1.885782209063388</v>
      </c>
      <c r="W66" s="42">
        <f t="shared" si="2"/>
        <v>47.886864609136346</v>
      </c>
      <c r="X66" s="46">
        <v>2.8098899699570712</v>
      </c>
      <c r="Y66" s="42">
        <f t="shared" si="3"/>
        <v>71.353319546234786</v>
      </c>
      <c r="Z66" s="33">
        <v>91.097363866379993</v>
      </c>
      <c r="AA66" s="33">
        <v>38.116932457710448</v>
      </c>
      <c r="AB66" s="33">
        <v>1.4788673190221859</v>
      </c>
      <c r="AC66" s="33">
        <v>0</v>
      </c>
      <c r="AD66" s="33">
        <v>0</v>
      </c>
      <c r="AE66" s="33">
        <v>0.96156082862165793</v>
      </c>
      <c r="AF66" s="33">
        <v>7.1045008288680265</v>
      </c>
      <c r="AG66" s="42">
        <v>47.661861434222317</v>
      </c>
    </row>
    <row r="67" spans="1:33" x14ac:dyDescent="0.2">
      <c r="A67" s="40">
        <v>65</v>
      </c>
      <c r="B67" s="40" t="s">
        <v>264</v>
      </c>
      <c r="C67" s="40">
        <v>220</v>
      </c>
      <c r="D67" s="40">
        <v>2015</v>
      </c>
      <c r="E67" s="40">
        <v>2100</v>
      </c>
      <c r="F67" s="40">
        <v>660943.92740000004</v>
      </c>
      <c r="G67" s="40">
        <v>172753.45170000001</v>
      </c>
      <c r="H67" s="40">
        <v>516</v>
      </c>
      <c r="I67" s="41">
        <f t="shared" ref="I67:I129" si="4">H67/(PI()*(8.5/(2*PI()))^2)</f>
        <v>89.747366602205318</v>
      </c>
      <c r="J67" s="33">
        <v>0</v>
      </c>
      <c r="K67" s="33">
        <v>143435.20000000001</v>
      </c>
      <c r="L67" s="33">
        <v>0</v>
      </c>
      <c r="M67" s="33">
        <v>2336.0869565200001</v>
      </c>
      <c r="N67" s="33">
        <v>0</v>
      </c>
      <c r="O67" s="33">
        <v>25</v>
      </c>
      <c r="P67" s="33">
        <v>8</v>
      </c>
      <c r="Q67" s="46">
        <v>0</v>
      </c>
      <c r="R67" s="46">
        <v>8</v>
      </c>
      <c r="S67" s="46">
        <f t="shared" ref="S67:S129" si="5">SUM(Q67:R67)</f>
        <v>8</v>
      </c>
      <c r="T67" s="33">
        <v>87.409132400000146</v>
      </c>
      <c r="U67" s="42">
        <v>25.274319168539908</v>
      </c>
      <c r="V67" s="46">
        <v>1.885782209063388</v>
      </c>
      <c r="W67" s="42">
        <f t="shared" ref="W67:W129" si="6">V67*I67</f>
        <v>169.24398724872847</v>
      </c>
      <c r="X67" s="46">
        <v>2.8098899699570712</v>
      </c>
      <c r="Y67" s="42">
        <f t="shared" ref="Y67:Y129" si="7">X67*I67</f>
        <v>252.18022524559694</v>
      </c>
      <c r="Z67" s="33">
        <v>91.097363866379993</v>
      </c>
      <c r="AA67" s="33">
        <v>38.116932457710448</v>
      </c>
      <c r="AB67" s="33">
        <v>1.4788673190221859</v>
      </c>
      <c r="AC67" s="33">
        <v>0</v>
      </c>
      <c r="AD67" s="33">
        <v>0</v>
      </c>
      <c r="AE67" s="33">
        <v>0.96156082862165793</v>
      </c>
      <c r="AF67" s="33">
        <v>7.1045008288680265</v>
      </c>
      <c r="AG67" s="42">
        <v>47.661861434222317</v>
      </c>
    </row>
    <row r="68" spans="1:33" x14ac:dyDescent="0.2">
      <c r="A68" s="40">
        <v>11</v>
      </c>
      <c r="B68" s="40" t="s">
        <v>265</v>
      </c>
      <c r="C68" s="40">
        <v>220</v>
      </c>
      <c r="D68" s="40">
        <v>2015</v>
      </c>
      <c r="E68" s="40">
        <v>2100</v>
      </c>
      <c r="F68" s="40">
        <v>605832.08380000002</v>
      </c>
      <c r="G68" s="40">
        <v>180973.73800000001</v>
      </c>
      <c r="H68" s="40">
        <v>735</v>
      </c>
      <c r="I68" s="41">
        <f t="shared" si="4"/>
        <v>127.83781870662966</v>
      </c>
      <c r="J68" s="33">
        <v>193</v>
      </c>
      <c r="K68" s="33">
        <v>1154704.1000000001</v>
      </c>
      <c r="L68" s="33">
        <v>-5014.8148148148102</v>
      </c>
      <c r="M68" s="33">
        <v>1140.4651162800001</v>
      </c>
      <c r="N68" s="33">
        <v>5.6005025125628096</v>
      </c>
      <c r="O68" s="33">
        <v>34.988486842105203</v>
      </c>
      <c r="P68" s="33">
        <v>5.7161660320594274</v>
      </c>
      <c r="Q68" s="46">
        <v>5.6005025125628096</v>
      </c>
      <c r="R68" s="46">
        <v>0.11566351949661779</v>
      </c>
      <c r="S68" s="46">
        <f t="shared" si="5"/>
        <v>5.7161660320594274</v>
      </c>
      <c r="T68" s="33">
        <v>68.792904300000117</v>
      </c>
      <c r="U68" s="42">
        <v>28.459234072590689</v>
      </c>
      <c r="V68" s="46">
        <v>1.5393922692707542</v>
      </c>
      <c r="W68" s="42">
        <f t="shared" si="6"/>
        <v>196.79254983742192</v>
      </c>
      <c r="X68" s="46">
        <v>2.3539808191226417</v>
      </c>
      <c r="Y68" s="42">
        <f t="shared" si="7"/>
        <v>300.92777319388387</v>
      </c>
      <c r="Z68" s="33">
        <v>93.986931645329761</v>
      </c>
      <c r="AA68" s="33">
        <v>35.115113661137492</v>
      </c>
      <c r="AB68" s="33">
        <v>1.4788673190221859</v>
      </c>
      <c r="AC68" s="33">
        <v>0</v>
      </c>
      <c r="AD68" s="33">
        <v>0</v>
      </c>
      <c r="AE68" s="33">
        <v>0.96156082862165793</v>
      </c>
      <c r="AF68" s="33">
        <v>6.2543831119316122</v>
      </c>
      <c r="AG68" s="42">
        <v>43.809924920712945</v>
      </c>
    </row>
    <row r="69" spans="1:33" x14ac:dyDescent="0.2">
      <c r="A69" s="40">
        <v>67</v>
      </c>
      <c r="B69" s="40" t="s">
        <v>266</v>
      </c>
      <c r="C69" s="40">
        <v>220</v>
      </c>
      <c r="D69" s="40">
        <v>2015</v>
      </c>
      <c r="E69" s="40">
        <v>2100</v>
      </c>
      <c r="F69" s="40">
        <v>751360.054</v>
      </c>
      <c r="G69" s="40">
        <v>181355.8683</v>
      </c>
      <c r="H69" s="40">
        <v>182</v>
      </c>
      <c r="I69" s="41">
        <f t="shared" si="4"/>
        <v>31.655078917832107</v>
      </c>
      <c r="J69" s="33">
        <v>0</v>
      </c>
      <c r="K69" s="33">
        <v>57929.9</v>
      </c>
      <c r="L69" s="33">
        <v>0</v>
      </c>
      <c r="M69" s="33">
        <v>1710.14492754</v>
      </c>
      <c r="N69" s="33">
        <v>0</v>
      </c>
      <c r="O69" s="33">
        <v>25</v>
      </c>
      <c r="P69" s="33">
        <v>8</v>
      </c>
      <c r="Q69" s="46">
        <v>0</v>
      </c>
      <c r="R69" s="46">
        <v>8</v>
      </c>
      <c r="S69" s="46">
        <f t="shared" si="5"/>
        <v>8</v>
      </c>
      <c r="T69" s="33">
        <v>87.409132400000146</v>
      </c>
      <c r="U69" s="42">
        <v>25.274319168539908</v>
      </c>
      <c r="V69" s="46">
        <v>1.885782209063388</v>
      </c>
      <c r="W69" s="42">
        <f t="shared" si="6"/>
        <v>59.694584649745309</v>
      </c>
      <c r="X69" s="46">
        <v>2.8098899699570712</v>
      </c>
      <c r="Y69" s="42">
        <f t="shared" si="7"/>
        <v>88.947288749415975</v>
      </c>
      <c r="Z69" s="33">
        <v>91.097363866379993</v>
      </c>
      <c r="AA69" s="33">
        <v>38.116932457710448</v>
      </c>
      <c r="AB69" s="33">
        <v>1.4788673190221859</v>
      </c>
      <c r="AC69" s="33">
        <v>0</v>
      </c>
      <c r="AD69" s="33">
        <v>0</v>
      </c>
      <c r="AE69" s="33">
        <v>0.96156082862165793</v>
      </c>
      <c r="AF69" s="33">
        <v>7.1045008288680265</v>
      </c>
      <c r="AG69" s="42">
        <v>47.661861434222317</v>
      </c>
    </row>
    <row r="70" spans="1:33" x14ac:dyDescent="0.2">
      <c r="A70" s="40">
        <v>68</v>
      </c>
      <c r="B70" s="40" t="s">
        <v>267</v>
      </c>
      <c r="C70" s="40">
        <v>380</v>
      </c>
      <c r="D70" s="40">
        <v>2018</v>
      </c>
      <c r="E70" s="40">
        <v>2100</v>
      </c>
      <c r="F70" s="40">
        <v>719755.35499999905</v>
      </c>
      <c r="G70" s="40">
        <v>189497.35899999901</v>
      </c>
      <c r="H70" s="40">
        <v>176</v>
      </c>
      <c r="I70" s="41">
        <f t="shared" si="4"/>
        <v>30.611504887573904</v>
      </c>
      <c r="J70" s="33">
        <v>0</v>
      </c>
      <c r="K70" s="33">
        <v>2713.9</v>
      </c>
      <c r="L70" s="33">
        <v>0</v>
      </c>
      <c r="M70" s="33">
        <v>2583.96226415</v>
      </c>
      <c r="N70" s="33">
        <v>0</v>
      </c>
      <c r="O70" s="33">
        <v>25</v>
      </c>
      <c r="P70" s="33">
        <v>8</v>
      </c>
      <c r="Q70" s="46">
        <v>0</v>
      </c>
      <c r="R70" s="46">
        <v>8</v>
      </c>
      <c r="S70" s="46">
        <f t="shared" si="5"/>
        <v>8</v>
      </c>
      <c r="T70" s="33">
        <v>87.409132400000146</v>
      </c>
      <c r="U70" s="42">
        <v>25.274319168539908</v>
      </c>
      <c r="V70" s="46">
        <v>1.885782209063388</v>
      </c>
      <c r="W70" s="42">
        <f t="shared" si="6"/>
        <v>57.726631309643814</v>
      </c>
      <c r="X70" s="46">
        <v>2.8098899699570712</v>
      </c>
      <c r="Y70" s="42">
        <f t="shared" si="7"/>
        <v>86.014960548885782</v>
      </c>
      <c r="Z70" s="33">
        <v>91.097363866379993</v>
      </c>
      <c r="AA70" s="33">
        <v>38.116932457710448</v>
      </c>
      <c r="AB70" s="33">
        <v>1.4788673190221859</v>
      </c>
      <c r="AC70" s="33">
        <v>0</v>
      </c>
      <c r="AD70" s="33">
        <v>0</v>
      </c>
      <c r="AE70" s="33">
        <v>0.96156082862165793</v>
      </c>
      <c r="AF70" s="33">
        <v>7.1045008288680265</v>
      </c>
      <c r="AG70" s="42">
        <v>47.661861434222317</v>
      </c>
    </row>
    <row r="71" spans="1:33" x14ac:dyDescent="0.2">
      <c r="A71" s="40">
        <v>12</v>
      </c>
      <c r="B71" s="40" t="s">
        <v>268</v>
      </c>
      <c r="C71" s="40">
        <v>220</v>
      </c>
      <c r="D71" s="40">
        <v>2015</v>
      </c>
      <c r="E71" s="40">
        <v>2100</v>
      </c>
      <c r="F71" s="40">
        <v>576194.40729999903</v>
      </c>
      <c r="G71" s="40">
        <v>179702.861899999</v>
      </c>
      <c r="H71" s="40">
        <v>699</v>
      </c>
      <c r="I71" s="41">
        <f t="shared" si="4"/>
        <v>121.57637452508045</v>
      </c>
      <c r="J71" s="33">
        <v>133.636363636363</v>
      </c>
      <c r="K71" s="33">
        <v>1402433</v>
      </c>
      <c r="L71" s="33">
        <v>-3596.6101694915201</v>
      </c>
      <c r="M71" s="33">
        <v>789.85507246400005</v>
      </c>
      <c r="N71" s="33">
        <v>4.13709677419354</v>
      </c>
      <c r="O71" s="33">
        <v>31.776141384388801</v>
      </c>
      <c r="P71" s="33">
        <v>6.2940304041527639</v>
      </c>
      <c r="Q71" s="46">
        <v>4.13709677419354</v>
      </c>
      <c r="R71" s="46">
        <v>2.1569336299592239</v>
      </c>
      <c r="S71" s="46">
        <f t="shared" si="5"/>
        <v>6.2940304041527639</v>
      </c>
      <c r="T71" s="33">
        <v>83.492248600000124</v>
      </c>
      <c r="U71" s="42">
        <v>23.388199585163225</v>
      </c>
      <c r="V71" s="46">
        <v>1.9555718350855658</v>
      </c>
      <c r="W71" s="42">
        <f t="shared" si="6"/>
        <v>237.75133383306161</v>
      </c>
      <c r="X71" s="46">
        <v>2.9154409732708939</v>
      </c>
      <c r="Y71" s="42">
        <f t="shared" si="7"/>
        <v>354.44874367214726</v>
      </c>
      <c r="Z71" s="33">
        <v>97.718811720526432</v>
      </c>
      <c r="AA71" s="33">
        <v>35.874645290130559</v>
      </c>
      <c r="AB71" s="33">
        <v>1.4788673190221859</v>
      </c>
      <c r="AC71" s="33">
        <v>0</v>
      </c>
      <c r="AD71" s="33">
        <v>0</v>
      </c>
      <c r="AE71" s="33">
        <v>0.96156082862165793</v>
      </c>
      <c r="AF71" s="33">
        <v>7.422230944330714</v>
      </c>
      <c r="AG71" s="42">
        <v>45.737304382105116</v>
      </c>
    </row>
    <row r="72" spans="1:33" x14ac:dyDescent="0.2">
      <c r="A72" s="40">
        <v>70</v>
      </c>
      <c r="B72" s="40" t="s">
        <v>269</v>
      </c>
      <c r="C72" s="40">
        <v>220</v>
      </c>
      <c r="D72" s="40">
        <v>2015</v>
      </c>
      <c r="E72" s="40">
        <v>2100</v>
      </c>
      <c r="F72" s="40">
        <v>693953.57689999905</v>
      </c>
      <c r="G72" s="40">
        <v>180730.32309999899</v>
      </c>
      <c r="H72" s="40">
        <v>457</v>
      </c>
      <c r="I72" s="41">
        <f t="shared" si="4"/>
        <v>79.485555304666335</v>
      </c>
      <c r="J72" s="33">
        <v>0</v>
      </c>
      <c r="K72" s="33">
        <v>211792.2</v>
      </c>
      <c r="L72" s="33">
        <v>0</v>
      </c>
      <c r="M72" s="33">
        <v>2373.9336492900002</v>
      </c>
      <c r="N72" s="33">
        <v>0</v>
      </c>
      <c r="O72" s="33">
        <v>25</v>
      </c>
      <c r="P72" s="33">
        <v>8</v>
      </c>
      <c r="Q72" s="46">
        <v>0</v>
      </c>
      <c r="R72" s="46">
        <v>8</v>
      </c>
      <c r="S72" s="46">
        <f t="shared" si="5"/>
        <v>8</v>
      </c>
      <c r="T72" s="33">
        <v>87.409132400000146</v>
      </c>
      <c r="U72" s="42">
        <v>25.274319168539908</v>
      </c>
      <c r="V72" s="46">
        <v>1.885782209063388</v>
      </c>
      <c r="W72" s="42">
        <f t="shared" si="6"/>
        <v>149.89244607106377</v>
      </c>
      <c r="X72" s="46">
        <v>2.8098899699570712</v>
      </c>
      <c r="Y72" s="42">
        <f t="shared" si="7"/>
        <v>223.34566460705</v>
      </c>
      <c r="Z72" s="33">
        <v>91.097363866379993</v>
      </c>
      <c r="AA72" s="33">
        <v>38.116932457710448</v>
      </c>
      <c r="AB72" s="33">
        <v>1.4788673190221859</v>
      </c>
      <c r="AC72" s="33">
        <v>0</v>
      </c>
      <c r="AD72" s="33">
        <v>0</v>
      </c>
      <c r="AE72" s="33">
        <v>0.96156082862165793</v>
      </c>
      <c r="AF72" s="33">
        <v>7.1045008288680265</v>
      </c>
      <c r="AG72" s="42">
        <v>47.661861434222317</v>
      </c>
    </row>
    <row r="73" spans="1:33" x14ac:dyDescent="0.2">
      <c r="A73" s="40">
        <v>71</v>
      </c>
      <c r="B73" s="40" t="s">
        <v>270</v>
      </c>
      <c r="C73" s="40">
        <v>220</v>
      </c>
      <c r="D73" s="40">
        <v>2015</v>
      </c>
      <c r="E73" s="40">
        <v>2100</v>
      </c>
      <c r="F73" s="40">
        <v>748148.61349999905</v>
      </c>
      <c r="G73" s="40">
        <v>186421.62069999901</v>
      </c>
      <c r="H73" s="40">
        <v>233</v>
      </c>
      <c r="I73" s="41">
        <f t="shared" si="4"/>
        <v>40.52545817502682</v>
      </c>
      <c r="J73" s="33">
        <v>0</v>
      </c>
      <c r="K73" s="33">
        <v>238902.6</v>
      </c>
      <c r="L73" s="33">
        <v>0</v>
      </c>
      <c r="M73" s="33">
        <v>1739.4957983199899</v>
      </c>
      <c r="N73" s="33">
        <v>0</v>
      </c>
      <c r="O73" s="33">
        <v>25</v>
      </c>
      <c r="P73" s="33">
        <v>8</v>
      </c>
      <c r="Q73" s="46">
        <v>0</v>
      </c>
      <c r="R73" s="46">
        <v>8</v>
      </c>
      <c r="S73" s="46">
        <f t="shared" si="5"/>
        <v>8</v>
      </c>
      <c r="T73" s="33">
        <v>87.409132400000146</v>
      </c>
      <c r="U73" s="42">
        <v>25.274319168539908</v>
      </c>
      <c r="V73" s="46">
        <v>1.885782209063388</v>
      </c>
      <c r="W73" s="42">
        <f t="shared" si="6"/>
        <v>76.42218804060802</v>
      </c>
      <c r="X73" s="46">
        <v>2.8098899699570712</v>
      </c>
      <c r="Y73" s="42">
        <f t="shared" si="7"/>
        <v>113.87207845392265</v>
      </c>
      <c r="Z73" s="33">
        <v>91.097363866379993</v>
      </c>
      <c r="AA73" s="33">
        <v>38.116932457710448</v>
      </c>
      <c r="AB73" s="33">
        <v>1.4788673190221859</v>
      </c>
      <c r="AC73" s="33">
        <v>0</v>
      </c>
      <c r="AD73" s="33">
        <v>0</v>
      </c>
      <c r="AE73" s="33">
        <v>0.96156082862165793</v>
      </c>
      <c r="AF73" s="33">
        <v>7.1045008288680265</v>
      </c>
      <c r="AG73" s="42">
        <v>47.661861434222317</v>
      </c>
    </row>
    <row r="74" spans="1:33" x14ac:dyDescent="0.2">
      <c r="A74" s="40">
        <v>13</v>
      </c>
      <c r="B74" s="40" t="s">
        <v>271</v>
      </c>
      <c r="C74" s="40">
        <v>220</v>
      </c>
      <c r="D74" s="40">
        <v>2015</v>
      </c>
      <c r="E74" s="40">
        <v>2100</v>
      </c>
      <c r="F74" s="40">
        <v>588092.20200000005</v>
      </c>
      <c r="G74" s="40">
        <v>202579.570299999</v>
      </c>
      <c r="H74" s="40">
        <v>420</v>
      </c>
      <c r="I74" s="41">
        <f t="shared" si="4"/>
        <v>73.05018211807409</v>
      </c>
      <c r="J74" s="33">
        <v>116.666666666666</v>
      </c>
      <c r="K74" s="33">
        <v>3174519.3999999901</v>
      </c>
      <c r="L74" s="33">
        <v>-2915.3846153846098</v>
      </c>
      <c r="M74" s="33">
        <v>606.97674418600002</v>
      </c>
      <c r="N74" s="33">
        <v>3.55555555555555</v>
      </c>
      <c r="O74" s="33">
        <v>34.430147058823501</v>
      </c>
      <c r="P74" s="33">
        <v>5.8088627869727762</v>
      </c>
      <c r="Q74" s="46">
        <v>3.55555555555555</v>
      </c>
      <c r="R74" s="46">
        <v>2.2533072314172262</v>
      </c>
      <c r="S74" s="46">
        <f t="shared" si="5"/>
        <v>5.8088627869727762</v>
      </c>
      <c r="T74" s="33">
        <v>81.957522400000144</v>
      </c>
      <c r="U74" s="42">
        <v>22.93195110607191</v>
      </c>
      <c r="V74" s="46">
        <v>1.9703124766277498</v>
      </c>
      <c r="W74" s="42">
        <f t="shared" si="6"/>
        <v>143.93168524717072</v>
      </c>
      <c r="X74" s="46">
        <v>2.9330738733200077</v>
      </c>
      <c r="Y74" s="42">
        <f t="shared" si="7"/>
        <v>214.26158061179154</v>
      </c>
      <c r="Z74" s="33">
        <v>99.960733735437458</v>
      </c>
      <c r="AA74" s="33">
        <v>35.236952142036841</v>
      </c>
      <c r="AB74" s="33">
        <v>1.4788673190221859</v>
      </c>
      <c r="AC74" s="33">
        <v>0</v>
      </c>
      <c r="AD74" s="33">
        <v>0</v>
      </c>
      <c r="AE74" s="33">
        <v>0.96156082862165793</v>
      </c>
      <c r="AF74" s="33">
        <v>7.5057290880303302</v>
      </c>
      <c r="AG74" s="42">
        <v>45.183109377711013</v>
      </c>
    </row>
    <row r="75" spans="1:33" x14ac:dyDescent="0.2">
      <c r="A75" s="40">
        <v>14</v>
      </c>
      <c r="B75" s="40" t="s">
        <v>272</v>
      </c>
      <c r="C75" s="40">
        <v>220</v>
      </c>
      <c r="D75" s="40">
        <v>2015</v>
      </c>
      <c r="E75" s="40">
        <v>2100</v>
      </c>
      <c r="F75" s="40">
        <v>578297.65020000003</v>
      </c>
      <c r="G75" s="40">
        <v>200014.99280000001</v>
      </c>
      <c r="H75" s="40">
        <v>813</v>
      </c>
      <c r="I75" s="41">
        <f t="shared" si="4"/>
        <v>141.40428109998626</v>
      </c>
      <c r="J75" s="33">
        <v>98.75</v>
      </c>
      <c r="K75" s="33">
        <v>1708782.6</v>
      </c>
      <c r="L75" s="33">
        <v>-2635</v>
      </c>
      <c r="M75" s="33">
        <v>915.26717557300003</v>
      </c>
      <c r="N75" s="33">
        <v>2.8295454545454501</v>
      </c>
      <c r="O75" s="33">
        <v>30.053221288515399</v>
      </c>
      <c r="P75" s="33">
        <v>6.6548606580296408</v>
      </c>
      <c r="Q75" s="46">
        <v>2.8295454545454501</v>
      </c>
      <c r="R75" s="46">
        <v>3.8253152034841911</v>
      </c>
      <c r="S75" s="46">
        <f t="shared" si="5"/>
        <v>6.6548606580296408</v>
      </c>
      <c r="T75" s="33">
        <v>84.500294300000135</v>
      </c>
      <c r="U75" s="42">
        <v>23.751074611102997</v>
      </c>
      <c r="V75" s="46">
        <v>1.9429565550686845</v>
      </c>
      <c r="W75" s="42">
        <f t="shared" si="6"/>
        <v>274.7423748779932</v>
      </c>
      <c r="X75" s="46">
        <v>2.898627172088053</v>
      </c>
      <c r="Y75" s="42">
        <f t="shared" si="7"/>
        <v>409.87829144599732</v>
      </c>
      <c r="Z75" s="33">
        <v>96.174518397086999</v>
      </c>
      <c r="AA75" s="33">
        <v>36.348912269983089</v>
      </c>
      <c r="AB75" s="33">
        <v>1.4788673190221859</v>
      </c>
      <c r="AC75" s="33">
        <v>0</v>
      </c>
      <c r="AD75" s="33">
        <v>0</v>
      </c>
      <c r="AE75" s="33">
        <v>0.96156082862165793</v>
      </c>
      <c r="AF75" s="33">
        <v>7.3579656879410438</v>
      </c>
      <c r="AG75" s="42">
        <v>46.147306105567978</v>
      </c>
    </row>
    <row r="76" spans="1:33" x14ac:dyDescent="0.2">
      <c r="A76" s="40">
        <v>15</v>
      </c>
      <c r="B76" s="40" t="s">
        <v>273</v>
      </c>
      <c r="C76" s="40">
        <v>220</v>
      </c>
      <c r="D76" s="40">
        <v>2015</v>
      </c>
      <c r="E76" s="40">
        <v>2100</v>
      </c>
      <c r="F76" s="40">
        <v>656036.10109999904</v>
      </c>
      <c r="G76" s="40">
        <v>186158.80019999901</v>
      </c>
      <c r="H76" s="40">
        <v>838</v>
      </c>
      <c r="I76" s="41">
        <f t="shared" si="4"/>
        <v>145.75250622606211</v>
      </c>
      <c r="J76" s="33">
        <v>190</v>
      </c>
      <c r="K76" s="33">
        <v>368599.2</v>
      </c>
      <c r="L76" s="33">
        <v>-5238.7096774193496</v>
      </c>
      <c r="M76" s="33">
        <v>1599.35483870999</v>
      </c>
      <c r="N76" s="33">
        <v>6.3682795698924703</v>
      </c>
      <c r="O76" s="33">
        <v>32.442953020134198</v>
      </c>
      <c r="P76" s="33">
        <v>6.1646669424906966</v>
      </c>
      <c r="Q76" s="46">
        <v>6.3682795698924703</v>
      </c>
      <c r="R76" s="46">
        <v>-0.2036126274017738</v>
      </c>
      <c r="S76" s="46">
        <f t="shared" si="5"/>
        <v>6.1646669424906966</v>
      </c>
      <c r="T76" s="33">
        <v>70.25186670000015</v>
      </c>
      <c r="U76" s="42">
        <v>28.891698275494608</v>
      </c>
      <c r="V76" s="46">
        <v>1.5350639047413666</v>
      </c>
      <c r="W76" s="42">
        <f t="shared" si="6"/>
        <v>223.73941133321924</v>
      </c>
      <c r="X76" s="46">
        <v>2.3522944885264612</v>
      </c>
      <c r="Y76" s="42">
        <f t="shared" si="7"/>
        <v>342.85281708448463</v>
      </c>
      <c r="Z76" s="33">
        <v>92.08865338790612</v>
      </c>
      <c r="AA76" s="33">
        <v>35.704612933900599</v>
      </c>
      <c r="AB76" s="33">
        <v>1.4788673190221859</v>
      </c>
      <c r="AC76" s="33">
        <v>0</v>
      </c>
      <c r="AD76" s="33">
        <v>0</v>
      </c>
      <c r="AE76" s="33">
        <v>0.96156082862165793</v>
      </c>
      <c r="AF76" s="33">
        <v>6.2055620878457134</v>
      </c>
      <c r="AG76" s="42">
        <v>44.350603169390162</v>
      </c>
    </row>
    <row r="77" spans="1:33" x14ac:dyDescent="0.2">
      <c r="A77" s="40">
        <v>75</v>
      </c>
      <c r="B77" s="40" t="s">
        <v>274</v>
      </c>
      <c r="C77" s="40">
        <v>380</v>
      </c>
      <c r="D77" s="40">
        <v>2015</v>
      </c>
      <c r="E77" s="40">
        <v>2100</v>
      </c>
      <c r="F77" s="40">
        <v>755624.25789999904</v>
      </c>
      <c r="G77" s="40">
        <v>201867.918899999</v>
      </c>
      <c r="H77" s="40">
        <v>491</v>
      </c>
      <c r="I77" s="41">
        <f t="shared" si="4"/>
        <v>85.399141476129472</v>
      </c>
      <c r="J77" s="33">
        <v>0</v>
      </c>
      <c r="K77" s="33">
        <v>533873.09999999905</v>
      </c>
      <c r="L77" s="33">
        <v>0</v>
      </c>
      <c r="M77" s="33">
        <v>1886.69950739</v>
      </c>
      <c r="N77" s="33">
        <v>0</v>
      </c>
      <c r="O77" s="33">
        <v>25</v>
      </c>
      <c r="P77" s="33">
        <v>8</v>
      </c>
      <c r="Q77" s="46">
        <v>0</v>
      </c>
      <c r="R77" s="46">
        <v>8</v>
      </c>
      <c r="S77" s="46">
        <f t="shared" si="5"/>
        <v>8</v>
      </c>
      <c r="T77" s="33">
        <v>87.409132400000146</v>
      </c>
      <c r="U77" s="42">
        <v>25.274319168539908</v>
      </c>
      <c r="V77" s="46">
        <v>1.885782209063388</v>
      </c>
      <c r="W77" s="42">
        <f t="shared" si="6"/>
        <v>161.04418166497223</v>
      </c>
      <c r="X77" s="46">
        <v>2.8098899699570712</v>
      </c>
      <c r="Y77" s="42">
        <f t="shared" si="7"/>
        <v>239.96219107672113</v>
      </c>
      <c r="Z77" s="33">
        <v>91.097363866379993</v>
      </c>
      <c r="AA77" s="33">
        <v>38.116932457710448</v>
      </c>
      <c r="AB77" s="33">
        <v>1.4788673190221859</v>
      </c>
      <c r="AC77" s="33">
        <v>0</v>
      </c>
      <c r="AD77" s="33">
        <v>0</v>
      </c>
      <c r="AE77" s="33">
        <v>0.96156082862165793</v>
      </c>
      <c r="AF77" s="33">
        <v>7.1045008288680265</v>
      </c>
      <c r="AG77" s="42">
        <v>47.661861434222317</v>
      </c>
    </row>
    <row r="78" spans="1:33" x14ac:dyDescent="0.2">
      <c r="A78" s="40">
        <v>76</v>
      </c>
      <c r="B78" s="40" t="s">
        <v>275</v>
      </c>
      <c r="C78" s="40">
        <v>220</v>
      </c>
      <c r="D78" s="40">
        <v>2015</v>
      </c>
      <c r="E78" s="40">
        <v>2100</v>
      </c>
      <c r="F78" s="40">
        <v>717877.51049999904</v>
      </c>
      <c r="G78" s="40">
        <v>193352.33999999901</v>
      </c>
      <c r="H78" s="40">
        <v>544</v>
      </c>
      <c r="I78" s="41">
        <f t="shared" si="4"/>
        <v>94.617378743410256</v>
      </c>
      <c r="J78" s="33">
        <v>0</v>
      </c>
      <c r="K78" s="33">
        <v>102581.8</v>
      </c>
      <c r="L78" s="33">
        <v>0</v>
      </c>
      <c r="M78" s="33">
        <v>2138.9961389999899</v>
      </c>
      <c r="N78" s="33">
        <v>0</v>
      </c>
      <c r="O78" s="33">
        <v>25</v>
      </c>
      <c r="P78" s="33">
        <v>8</v>
      </c>
      <c r="Q78" s="46">
        <v>0</v>
      </c>
      <c r="R78" s="46">
        <v>8</v>
      </c>
      <c r="S78" s="46">
        <f t="shared" si="5"/>
        <v>8</v>
      </c>
      <c r="T78" s="33">
        <v>87.409132400000146</v>
      </c>
      <c r="U78" s="42">
        <v>25.274319168539908</v>
      </c>
      <c r="V78" s="46">
        <v>1.885782209063388</v>
      </c>
      <c r="W78" s="42">
        <f t="shared" si="6"/>
        <v>178.42776950253545</v>
      </c>
      <c r="X78" s="46">
        <v>2.8098899699570712</v>
      </c>
      <c r="Y78" s="42">
        <f t="shared" si="7"/>
        <v>265.86442351473789</v>
      </c>
      <c r="Z78" s="33">
        <v>91.097363866379993</v>
      </c>
      <c r="AA78" s="33">
        <v>38.116932457710448</v>
      </c>
      <c r="AB78" s="33">
        <v>1.4788673190221859</v>
      </c>
      <c r="AC78" s="33">
        <v>0</v>
      </c>
      <c r="AD78" s="33">
        <v>0</v>
      </c>
      <c r="AE78" s="33">
        <v>0.96156082862165793</v>
      </c>
      <c r="AF78" s="33">
        <v>7.1045008288680265</v>
      </c>
      <c r="AG78" s="42">
        <v>47.661861434222317</v>
      </c>
    </row>
    <row r="79" spans="1:33" x14ac:dyDescent="0.2">
      <c r="A79" s="40">
        <v>16</v>
      </c>
      <c r="B79" s="40" t="s">
        <v>276</v>
      </c>
      <c r="C79" s="40">
        <v>220</v>
      </c>
      <c r="D79" s="40">
        <v>2015</v>
      </c>
      <c r="E79" s="40">
        <v>2100</v>
      </c>
      <c r="F79" s="40">
        <v>690530.60889999999</v>
      </c>
      <c r="G79" s="40">
        <v>206278.414599999</v>
      </c>
      <c r="H79" s="40">
        <v>653</v>
      </c>
      <c r="I79" s="41">
        <f t="shared" si="4"/>
        <v>113.5756402931009</v>
      </c>
      <c r="J79" s="33">
        <v>190</v>
      </c>
      <c r="K79" s="33">
        <v>523606.4</v>
      </c>
      <c r="L79" s="33">
        <v>-5400</v>
      </c>
      <c r="M79" s="33">
        <v>1577.7310924400001</v>
      </c>
      <c r="N79" s="33">
        <v>6.2808219178082103</v>
      </c>
      <c r="O79" s="33">
        <v>29.872641509433901</v>
      </c>
      <c r="P79" s="33">
        <v>6.6950892152218673</v>
      </c>
      <c r="Q79" s="46">
        <v>6.2808219178082103</v>
      </c>
      <c r="R79" s="46">
        <v>0.41426729741365698</v>
      </c>
      <c r="S79" s="46">
        <f t="shared" si="5"/>
        <v>6.6950892152218673</v>
      </c>
      <c r="T79" s="33">
        <v>71.755456200000111</v>
      </c>
      <c r="U79" s="42">
        <v>29.447882160275839</v>
      </c>
      <c r="V79" s="46">
        <v>1.5276580344678383</v>
      </c>
      <c r="W79" s="42">
        <f t="shared" si="6"/>
        <v>173.50473941358476</v>
      </c>
      <c r="X79" s="46">
        <v>2.3449879108585403</v>
      </c>
      <c r="Y79" s="42">
        <f t="shared" si="7"/>
        <v>266.33350345533972</v>
      </c>
      <c r="Z79" s="33">
        <v>90.059933661822129</v>
      </c>
      <c r="AA79" s="33">
        <v>36.401787759547474</v>
      </c>
      <c r="AB79" s="33">
        <v>1.4788673190221859</v>
      </c>
      <c r="AC79" s="33">
        <v>0</v>
      </c>
      <c r="AD79" s="33">
        <v>0</v>
      </c>
      <c r="AE79" s="33">
        <v>0.96156082862165793</v>
      </c>
      <c r="AF79" s="33">
        <v>6.1440778730161938</v>
      </c>
      <c r="AG79" s="42">
        <v>44.986293780207504</v>
      </c>
    </row>
    <row r="80" spans="1:33" x14ac:dyDescent="0.2">
      <c r="A80" s="40">
        <v>78</v>
      </c>
      <c r="B80" s="40" t="s">
        <v>277</v>
      </c>
      <c r="C80" s="40">
        <v>380</v>
      </c>
      <c r="D80" s="40">
        <v>2015</v>
      </c>
      <c r="E80" s="40">
        <v>2100</v>
      </c>
      <c r="F80" s="40">
        <v>821044.35759999906</v>
      </c>
      <c r="G80" s="40">
        <v>187957.30939999901</v>
      </c>
      <c r="H80" s="40">
        <v>1099</v>
      </c>
      <c r="I80" s="41">
        <f t="shared" si="4"/>
        <v>191.14797654229386</v>
      </c>
      <c r="J80" s="33">
        <v>0</v>
      </c>
      <c r="K80" s="33">
        <v>125457.5</v>
      </c>
      <c r="L80" s="33">
        <v>0</v>
      </c>
      <c r="M80" s="33">
        <v>2576.6211604099899</v>
      </c>
      <c r="N80" s="33">
        <v>0</v>
      </c>
      <c r="O80" s="33">
        <v>25</v>
      </c>
      <c r="P80" s="33">
        <v>8</v>
      </c>
      <c r="Q80" s="46">
        <v>0</v>
      </c>
      <c r="R80" s="46">
        <v>8</v>
      </c>
      <c r="S80" s="46">
        <f t="shared" si="5"/>
        <v>8</v>
      </c>
      <c r="T80" s="33">
        <v>87.409132400000146</v>
      </c>
      <c r="U80" s="42">
        <v>25.274319168539908</v>
      </c>
      <c r="V80" s="46">
        <v>1.885782209063388</v>
      </c>
      <c r="W80" s="42">
        <f t="shared" si="6"/>
        <v>360.46345346192356</v>
      </c>
      <c r="X80" s="46">
        <v>2.8098899699570712</v>
      </c>
      <c r="Y80" s="42">
        <f t="shared" si="7"/>
        <v>537.10478206378104</v>
      </c>
      <c r="Z80" s="33">
        <v>91.097363866379993</v>
      </c>
      <c r="AA80" s="33">
        <v>38.116932457710448</v>
      </c>
      <c r="AB80" s="33">
        <v>1.4788673190221859</v>
      </c>
      <c r="AC80" s="33">
        <v>0</v>
      </c>
      <c r="AD80" s="33">
        <v>0</v>
      </c>
      <c r="AE80" s="33">
        <v>0.96156082862165793</v>
      </c>
      <c r="AF80" s="33">
        <v>7.1045008288680265</v>
      </c>
      <c r="AG80" s="42">
        <v>47.661861434222317</v>
      </c>
    </row>
    <row r="81" spans="1:33" x14ac:dyDescent="0.2">
      <c r="A81" s="40">
        <v>17</v>
      </c>
      <c r="B81" s="40" t="s">
        <v>278</v>
      </c>
      <c r="C81" s="40">
        <v>220</v>
      </c>
      <c r="D81" s="40">
        <v>2015</v>
      </c>
      <c r="E81" s="40">
        <v>2100</v>
      </c>
      <c r="F81" s="40">
        <v>662205.42890000006</v>
      </c>
      <c r="G81" s="40">
        <v>212419.0816</v>
      </c>
      <c r="H81" s="40">
        <v>395</v>
      </c>
      <c r="I81" s="41">
        <f t="shared" si="4"/>
        <v>68.701956991998259</v>
      </c>
      <c r="J81" s="33">
        <v>160</v>
      </c>
      <c r="K81" s="33">
        <v>1975039.3</v>
      </c>
      <c r="L81" s="33">
        <v>-3962.5</v>
      </c>
      <c r="M81" s="33">
        <v>1092.0353982300001</v>
      </c>
      <c r="N81" s="33">
        <v>4.8811475409835996</v>
      </c>
      <c r="O81" s="33">
        <v>33.491329479768702</v>
      </c>
      <c r="P81" s="33">
        <v>5.9716948567483756</v>
      </c>
      <c r="Q81" s="46">
        <v>4.8811475409835996</v>
      </c>
      <c r="R81" s="46">
        <v>1.090547315764776</v>
      </c>
      <c r="S81" s="46">
        <f t="shared" si="5"/>
        <v>5.9716948567483756</v>
      </c>
      <c r="T81" s="33">
        <v>82.498190500000121</v>
      </c>
      <c r="U81" s="42">
        <v>23.080942670464449</v>
      </c>
      <c r="V81" s="46">
        <v>1.9656708530822149</v>
      </c>
      <c r="W81" s="42">
        <f t="shared" si="6"/>
        <v>135.04543440887886</v>
      </c>
      <c r="X81" s="46">
        <v>2.9278432329141517</v>
      </c>
      <c r="Y81" s="42">
        <f t="shared" si="7"/>
        <v>201.1485598669812</v>
      </c>
      <c r="Z81" s="33">
        <v>99.184035980992462</v>
      </c>
      <c r="AA81" s="33">
        <v>35.450974866367375</v>
      </c>
      <c r="AB81" s="33">
        <v>1.4788673190221859</v>
      </c>
      <c r="AC81" s="33">
        <v>0</v>
      </c>
      <c r="AD81" s="33">
        <v>0</v>
      </c>
      <c r="AE81" s="33">
        <v>0.96156082862165793</v>
      </c>
      <c r="AF81" s="33">
        <v>7.4781332549823327</v>
      </c>
      <c r="AG81" s="42">
        <v>45.369536268993549</v>
      </c>
    </row>
    <row r="82" spans="1:33" x14ac:dyDescent="0.2">
      <c r="A82" s="40">
        <v>18</v>
      </c>
      <c r="B82" s="40" t="s">
        <v>279</v>
      </c>
      <c r="C82" s="40">
        <v>220</v>
      </c>
      <c r="D82" s="40">
        <v>2015</v>
      </c>
      <c r="E82" s="40">
        <v>2100</v>
      </c>
      <c r="F82" s="40">
        <v>615909.59880000004</v>
      </c>
      <c r="G82" s="40">
        <v>215979.988699999</v>
      </c>
      <c r="H82" s="40">
        <v>556</v>
      </c>
      <c r="I82" s="41">
        <f t="shared" si="4"/>
        <v>96.704526803926655</v>
      </c>
      <c r="J82" s="33">
        <v>145</v>
      </c>
      <c r="K82" s="33">
        <v>820391.19999999902</v>
      </c>
      <c r="L82" s="33">
        <v>-3300</v>
      </c>
      <c r="M82" s="33">
        <v>765.11627907000002</v>
      </c>
      <c r="N82" s="33">
        <v>3.9647302904564299</v>
      </c>
      <c r="O82" s="33">
        <v>38.012208657047701</v>
      </c>
      <c r="P82" s="33">
        <v>5.2614674881018457</v>
      </c>
      <c r="Q82" s="46">
        <v>3.9647302904564299</v>
      </c>
      <c r="R82" s="46">
        <v>1.2967371976454161</v>
      </c>
      <c r="S82" s="46">
        <f t="shared" si="5"/>
        <v>5.2614674881018457</v>
      </c>
      <c r="T82" s="33">
        <v>78.317638600000137</v>
      </c>
      <c r="U82" s="42">
        <v>22.383732335239369</v>
      </c>
      <c r="V82" s="46">
        <v>1.9844284555781244</v>
      </c>
      <c r="W82" s="42">
        <f t="shared" si="6"/>
        <v>191.90321477292952</v>
      </c>
      <c r="X82" s="46">
        <v>2.8996915400720549</v>
      </c>
      <c r="Y82" s="42">
        <f t="shared" si="7"/>
        <v>280.41329826001737</v>
      </c>
      <c r="Z82" s="33">
        <v>103.78837353495659</v>
      </c>
      <c r="AA82" s="33">
        <v>34.517468361528849</v>
      </c>
      <c r="AB82" s="33">
        <v>1.4788673190221859</v>
      </c>
      <c r="AC82" s="33">
        <v>0</v>
      </c>
      <c r="AD82" s="33">
        <v>0</v>
      </c>
      <c r="AE82" s="33">
        <v>0.96156082862165793</v>
      </c>
      <c r="AF82" s="33">
        <v>7.4610188789204814</v>
      </c>
      <c r="AG82" s="42">
        <v>44.418915388093183</v>
      </c>
    </row>
    <row r="83" spans="1:33" x14ac:dyDescent="0.2">
      <c r="A83" s="40">
        <v>19</v>
      </c>
      <c r="B83" s="40" t="s">
        <v>280</v>
      </c>
      <c r="C83" s="40">
        <v>220</v>
      </c>
      <c r="D83" s="40">
        <v>2015</v>
      </c>
      <c r="E83" s="40">
        <v>2100</v>
      </c>
      <c r="F83" s="40">
        <v>643694.39399999904</v>
      </c>
      <c r="G83" s="40">
        <v>217367.98</v>
      </c>
      <c r="H83" s="40">
        <v>494</v>
      </c>
      <c r="I83" s="41">
        <f t="shared" si="4"/>
        <v>85.920928491258579</v>
      </c>
      <c r="J83" s="33">
        <v>150</v>
      </c>
      <c r="K83" s="33">
        <v>388046.2</v>
      </c>
      <c r="L83" s="33">
        <v>-3251.3513513513499</v>
      </c>
      <c r="M83" s="33">
        <v>912.91666666699905</v>
      </c>
      <c r="N83" s="33">
        <v>4.0925000000000002</v>
      </c>
      <c r="O83" s="33">
        <v>37.555451127819502</v>
      </c>
      <c r="P83" s="33">
        <v>5.3254585950599429</v>
      </c>
      <c r="Q83" s="46">
        <v>4.0925000000000002</v>
      </c>
      <c r="R83" s="46">
        <v>1.2329585950599431</v>
      </c>
      <c r="S83" s="46">
        <f t="shared" si="5"/>
        <v>5.3254585950599438</v>
      </c>
      <c r="T83" s="33">
        <v>78.573418600000153</v>
      </c>
      <c r="U83" s="42">
        <v>22.450358816117006</v>
      </c>
      <c r="V83" s="46">
        <v>1.9825095244073505</v>
      </c>
      <c r="W83" s="42">
        <f t="shared" si="6"/>
        <v>170.33905907984303</v>
      </c>
      <c r="X83" s="46">
        <v>2.898769570874514</v>
      </c>
      <c r="Y83" s="42">
        <f t="shared" si="7"/>
        <v>249.06497301174542</v>
      </c>
      <c r="Z83" s="33">
        <v>103.4288551610944</v>
      </c>
      <c r="AA83" s="33">
        <v>34.601576799522505</v>
      </c>
      <c r="AB83" s="33">
        <v>1.4788673190221859</v>
      </c>
      <c r="AC83" s="33">
        <v>0</v>
      </c>
      <c r="AD83" s="33">
        <v>0</v>
      </c>
      <c r="AE83" s="33">
        <v>0.96156082862165793</v>
      </c>
      <c r="AF83" s="33">
        <v>7.4660452321481463</v>
      </c>
      <c r="AG83" s="42">
        <v>44.508050179314495</v>
      </c>
    </row>
    <row r="84" spans="1:33" x14ac:dyDescent="0.2">
      <c r="A84" s="40">
        <v>20</v>
      </c>
      <c r="B84" s="40" t="s">
        <v>281</v>
      </c>
      <c r="C84" s="40">
        <v>220</v>
      </c>
      <c r="D84" s="40">
        <v>2015</v>
      </c>
      <c r="E84" s="40">
        <v>2100</v>
      </c>
      <c r="F84" s="40">
        <v>668210.23079999897</v>
      </c>
      <c r="G84" s="40">
        <v>218723.758399999</v>
      </c>
      <c r="H84" s="40">
        <v>259</v>
      </c>
      <c r="I84" s="41">
        <f t="shared" si="4"/>
        <v>45.047612306145687</v>
      </c>
      <c r="J84" s="33">
        <v>155</v>
      </c>
      <c r="K84" s="33">
        <v>797325.9</v>
      </c>
      <c r="L84" s="33">
        <v>-3875.8620689655099</v>
      </c>
      <c r="M84" s="33">
        <v>705.55555555599904</v>
      </c>
      <c r="N84" s="33">
        <v>4.5801526717557204</v>
      </c>
      <c r="O84" s="33">
        <v>33.898989898989797</v>
      </c>
      <c r="P84" s="33">
        <v>5.8998808104886944</v>
      </c>
      <c r="Q84" s="46">
        <v>4.5801526717557204</v>
      </c>
      <c r="R84" s="46">
        <v>1.319728138732974</v>
      </c>
      <c r="S84" s="46">
        <f t="shared" si="5"/>
        <v>5.8998808104886944</v>
      </c>
      <c r="T84" s="33">
        <v>82.254626200000118</v>
      </c>
      <c r="U84" s="42">
        <v>23.014710632012914</v>
      </c>
      <c r="V84" s="46">
        <v>1.9677482846353396</v>
      </c>
      <c r="W84" s="42">
        <f t="shared" si="6"/>
        <v>88.642361842335987</v>
      </c>
      <c r="X84" s="46">
        <v>2.9300027988520791</v>
      </c>
      <c r="Y84" s="42">
        <f t="shared" si="7"/>
        <v>131.98963013861024</v>
      </c>
      <c r="Z84" s="33">
        <v>99.528140430997084</v>
      </c>
      <c r="AA84" s="33">
        <v>35.356584137029614</v>
      </c>
      <c r="AB84" s="33">
        <v>1.4788673190221859</v>
      </c>
      <c r="AC84" s="33">
        <v>0</v>
      </c>
      <c r="AD84" s="33">
        <v>0</v>
      </c>
      <c r="AE84" s="33">
        <v>0.96156082862165793</v>
      </c>
      <c r="AF84" s="33">
        <v>7.4901450828486729</v>
      </c>
      <c r="AG84" s="42">
        <v>45.287157367522127</v>
      </c>
    </row>
    <row r="85" spans="1:33" x14ac:dyDescent="0.2">
      <c r="A85" s="40">
        <v>21</v>
      </c>
      <c r="B85" s="40" t="s">
        <v>282</v>
      </c>
      <c r="C85" s="40">
        <v>380</v>
      </c>
      <c r="D85" s="40">
        <v>2015</v>
      </c>
      <c r="E85" s="40">
        <v>2100</v>
      </c>
      <c r="F85" s="40">
        <v>593501.52850000001</v>
      </c>
      <c r="G85" s="40">
        <v>224773.036499999</v>
      </c>
      <c r="H85" s="40">
        <v>525</v>
      </c>
      <c r="I85" s="41">
        <f t="shared" si="4"/>
        <v>91.31272764759261</v>
      </c>
      <c r="J85" s="33">
        <v>85</v>
      </c>
      <c r="K85" s="33">
        <v>1406309.1</v>
      </c>
      <c r="L85" s="33">
        <v>-1730.4347826086901</v>
      </c>
      <c r="M85" s="33">
        <v>948.93617021299895</v>
      </c>
      <c r="N85" s="33">
        <v>2.3051948051947999</v>
      </c>
      <c r="O85" s="33">
        <v>36.830827067669098</v>
      </c>
      <c r="P85" s="33">
        <v>5.4302337450239984</v>
      </c>
      <c r="Q85" s="46">
        <v>2.3051948051947999</v>
      </c>
      <c r="R85" s="46">
        <v>3.125038939829198</v>
      </c>
      <c r="S85" s="46">
        <f t="shared" si="5"/>
        <v>5.4302337450239975</v>
      </c>
      <c r="T85" s="33">
        <v>78.975522400000145</v>
      </c>
      <c r="U85" s="42">
        <v>22.560631463438543</v>
      </c>
      <c r="V85" s="46">
        <v>1.9792550760262211</v>
      </c>
      <c r="W85" s="42">
        <f t="shared" si="6"/>
        <v>180.73117970229754</v>
      </c>
      <c r="X85" s="46">
        <v>2.8968215669196398</v>
      </c>
      <c r="Y85" s="42">
        <f t="shared" si="7"/>
        <v>264.51667878380556</v>
      </c>
      <c r="Z85" s="33">
        <v>102.85622972725493</v>
      </c>
      <c r="AA85" s="33">
        <v>34.739290844847552</v>
      </c>
      <c r="AB85" s="33">
        <v>1.4788673190221859</v>
      </c>
      <c r="AC85" s="33">
        <v>0</v>
      </c>
      <c r="AD85" s="33">
        <v>0</v>
      </c>
      <c r="AE85" s="33">
        <v>0.96156082862165793</v>
      </c>
      <c r="AF85" s="33">
        <v>7.4735253498762093</v>
      </c>
      <c r="AG85" s="42">
        <v>44.653244342367614</v>
      </c>
    </row>
    <row r="86" spans="1:33" x14ac:dyDescent="0.2">
      <c r="A86" s="40">
        <v>22</v>
      </c>
      <c r="B86" s="40" t="s">
        <v>283</v>
      </c>
      <c r="C86" s="40">
        <v>220</v>
      </c>
      <c r="D86" s="40">
        <v>2015</v>
      </c>
      <c r="E86" s="40">
        <v>2100</v>
      </c>
      <c r="F86" s="40">
        <v>581186.13289999904</v>
      </c>
      <c r="G86" s="40">
        <v>202750.98459999901</v>
      </c>
      <c r="H86" s="40">
        <v>318</v>
      </c>
      <c r="I86" s="41">
        <f t="shared" si="4"/>
        <v>55.309423603684671</v>
      </c>
      <c r="J86" s="33">
        <v>80</v>
      </c>
      <c r="K86" s="33">
        <v>327388</v>
      </c>
      <c r="L86" s="33">
        <v>-2357.1428571428501</v>
      </c>
      <c r="M86" s="33">
        <v>978.84615384599897</v>
      </c>
      <c r="N86" s="33">
        <v>2.63953488372093</v>
      </c>
      <c r="O86" s="33">
        <v>30.827586206896498</v>
      </c>
      <c r="P86" s="33">
        <v>6.4876957494407268</v>
      </c>
      <c r="Q86" s="46">
        <v>2.63953488372093</v>
      </c>
      <c r="R86" s="46">
        <v>3.8481608657197972</v>
      </c>
      <c r="S86" s="46">
        <f t="shared" si="5"/>
        <v>6.4876957494407268</v>
      </c>
      <c r="T86" s="33">
        <v>84.059294300000133</v>
      </c>
      <c r="U86" s="42">
        <v>23.580509381187486</v>
      </c>
      <c r="V86" s="46">
        <v>1.9489778855568438</v>
      </c>
      <c r="W86" s="42">
        <f t="shared" si="6"/>
        <v>107.79684346647714</v>
      </c>
      <c r="X86" s="46">
        <v>2.9071520406045317</v>
      </c>
      <c r="Y86" s="42">
        <f t="shared" si="7"/>
        <v>160.79290369411234</v>
      </c>
      <c r="Z86" s="33">
        <v>96.871536101295419</v>
      </c>
      <c r="AA86" s="33">
        <v>36.129194562052639</v>
      </c>
      <c r="AB86" s="33">
        <v>1.4788673190221859</v>
      </c>
      <c r="AC86" s="33">
        <v>0</v>
      </c>
      <c r="AD86" s="33">
        <v>0</v>
      </c>
      <c r="AE86" s="33">
        <v>0.96156082862165793</v>
      </c>
      <c r="AF86" s="33">
        <v>7.3882686044036232</v>
      </c>
      <c r="AG86" s="42">
        <v>45.95789131410011</v>
      </c>
    </row>
    <row r="87" spans="1:33" x14ac:dyDescent="0.2">
      <c r="A87" s="40">
        <v>23</v>
      </c>
      <c r="B87" s="40" t="s">
        <v>284</v>
      </c>
      <c r="C87" s="40">
        <v>220</v>
      </c>
      <c r="D87" s="40">
        <v>2015</v>
      </c>
      <c r="E87" s="40">
        <v>2100</v>
      </c>
      <c r="F87" s="40">
        <v>710990.22779999895</v>
      </c>
      <c r="G87" s="40">
        <v>225758.88630000001</v>
      </c>
      <c r="H87" s="40">
        <v>312</v>
      </c>
      <c r="I87" s="41">
        <f t="shared" si="4"/>
        <v>54.265849573426465</v>
      </c>
      <c r="J87" s="33">
        <v>178.333333333333</v>
      </c>
      <c r="K87" s="33">
        <v>588474.80000000005</v>
      </c>
      <c r="L87" s="33">
        <v>-4831.25</v>
      </c>
      <c r="M87" s="33">
        <v>1497.4576271200001</v>
      </c>
      <c r="N87" s="33">
        <v>5.9014084507042197</v>
      </c>
      <c r="O87" s="33">
        <v>32.590909090909001</v>
      </c>
      <c r="P87" s="33">
        <v>6.1366806136680783</v>
      </c>
      <c r="Q87" s="46">
        <v>5.9014084507042197</v>
      </c>
      <c r="R87" s="46">
        <v>0.23527216296385861</v>
      </c>
      <c r="S87" s="46">
        <f t="shared" si="5"/>
        <v>6.1366806136680783</v>
      </c>
      <c r="T87" s="33">
        <v>70.174074300000129</v>
      </c>
      <c r="U87" s="42">
        <v>28.863681123662886</v>
      </c>
      <c r="V87" s="46">
        <v>1.5353939885996557</v>
      </c>
      <c r="W87" s="42">
        <f t="shared" si="6"/>
        <v>83.319459221292178</v>
      </c>
      <c r="X87" s="46">
        <v>2.352706346888874</v>
      </c>
      <c r="Y87" s="42">
        <f t="shared" si="7"/>
        <v>127.67160871071734</v>
      </c>
      <c r="Z87" s="33">
        <v>92.196418812808986</v>
      </c>
      <c r="AA87" s="33">
        <v>35.667828347505051</v>
      </c>
      <c r="AB87" s="33">
        <v>1.4788673190221859</v>
      </c>
      <c r="AC87" s="33">
        <v>0</v>
      </c>
      <c r="AD87" s="33">
        <v>0</v>
      </c>
      <c r="AE87" s="33">
        <v>0.96156082862165793</v>
      </c>
      <c r="AF87" s="33">
        <v>6.2088659909804571</v>
      </c>
      <c r="AG87" s="42">
        <v>44.31712248612935</v>
      </c>
    </row>
    <row r="88" spans="1:33" x14ac:dyDescent="0.2">
      <c r="A88" s="40">
        <v>24</v>
      </c>
      <c r="B88" s="40" t="s">
        <v>285</v>
      </c>
      <c r="C88" s="40">
        <v>220</v>
      </c>
      <c r="D88" s="40">
        <v>2015</v>
      </c>
      <c r="E88" s="40">
        <v>2100</v>
      </c>
      <c r="F88" s="40">
        <v>681473.14930000005</v>
      </c>
      <c r="G88" s="40">
        <v>226633.69789999901</v>
      </c>
      <c r="H88" s="40">
        <v>208</v>
      </c>
      <c r="I88" s="41">
        <f t="shared" si="4"/>
        <v>36.177233048950981</v>
      </c>
      <c r="J88" s="33">
        <v>155</v>
      </c>
      <c r="K88" s="33">
        <v>1179549.5</v>
      </c>
      <c r="L88" s="33">
        <v>-4100</v>
      </c>
      <c r="M88" s="33">
        <v>700</v>
      </c>
      <c r="N88" s="33">
        <v>4.7654320987654302</v>
      </c>
      <c r="O88" s="33">
        <v>33.794871794871703</v>
      </c>
      <c r="P88" s="33">
        <v>5.918057663125964</v>
      </c>
      <c r="Q88" s="46">
        <v>4.7654320987654302</v>
      </c>
      <c r="R88" s="46">
        <v>1.1526255643605341</v>
      </c>
      <c r="S88" s="46">
        <f t="shared" si="5"/>
        <v>5.918057663125964</v>
      </c>
      <c r="T88" s="33">
        <v>82.332418600000139</v>
      </c>
      <c r="U88" s="42">
        <v>23.031397042609175</v>
      </c>
      <c r="V88" s="46">
        <v>1.9672456120522308</v>
      </c>
      <c r="W88" s="42">
        <f t="shared" si="6"/>
        <v>71.16950297173976</v>
      </c>
      <c r="X88" s="46">
        <v>2.9299051350733456</v>
      </c>
      <c r="Y88" s="42">
        <f t="shared" si="7"/>
        <v>105.99586088286662</v>
      </c>
      <c r="Z88" s="33">
        <v>99.431687812273012</v>
      </c>
      <c r="AA88" s="33">
        <v>35.38047537372853</v>
      </c>
      <c r="AB88" s="33">
        <v>1.4788673190221859</v>
      </c>
      <c r="AC88" s="33">
        <v>0</v>
      </c>
      <c r="AD88" s="33">
        <v>0</v>
      </c>
      <c r="AE88" s="33">
        <v>0.96156082862165793</v>
      </c>
      <c r="AF88" s="33">
        <v>7.4875112501332506</v>
      </c>
      <c r="AG88" s="42">
        <v>45.308414771505625</v>
      </c>
    </row>
    <row r="89" spans="1:33" x14ac:dyDescent="0.2">
      <c r="A89" s="40">
        <v>87</v>
      </c>
      <c r="B89" s="40" t="s">
        <v>286</v>
      </c>
      <c r="C89" s="40">
        <v>220</v>
      </c>
      <c r="D89" s="40">
        <v>2015</v>
      </c>
      <c r="E89" s="40">
        <v>2100</v>
      </c>
      <c r="F89" s="40">
        <v>759892.42049999896</v>
      </c>
      <c r="G89" s="40">
        <v>205215.22990000001</v>
      </c>
      <c r="H89" s="40">
        <v>690</v>
      </c>
      <c r="I89" s="41">
        <f t="shared" si="4"/>
        <v>120.01101347969315</v>
      </c>
      <c r="J89" s="33">
        <v>0</v>
      </c>
      <c r="K89" s="33">
        <v>499273.09999999899</v>
      </c>
      <c r="L89" s="33">
        <v>0</v>
      </c>
      <c r="M89" s="33">
        <v>1815.625</v>
      </c>
      <c r="N89" s="33">
        <v>0</v>
      </c>
      <c r="O89" s="33">
        <v>25</v>
      </c>
      <c r="P89" s="33">
        <v>8</v>
      </c>
      <c r="Q89" s="46">
        <v>0</v>
      </c>
      <c r="R89" s="46">
        <v>8</v>
      </c>
      <c r="S89" s="46">
        <f t="shared" si="5"/>
        <v>8</v>
      </c>
      <c r="T89" s="33">
        <v>87.409132400000146</v>
      </c>
      <c r="U89" s="42">
        <v>25.274319168539908</v>
      </c>
      <c r="V89" s="46">
        <v>1.885782209063388</v>
      </c>
      <c r="W89" s="42">
        <f t="shared" si="6"/>
        <v>226.31463411167178</v>
      </c>
      <c r="X89" s="46">
        <v>2.8098899699570712</v>
      </c>
      <c r="Y89" s="42">
        <f t="shared" si="7"/>
        <v>337.21774306097262</v>
      </c>
      <c r="Z89" s="33">
        <v>91.097363866379993</v>
      </c>
      <c r="AA89" s="33">
        <v>38.116932457710448</v>
      </c>
      <c r="AB89" s="33">
        <v>1.4788673190221859</v>
      </c>
      <c r="AC89" s="33">
        <v>0</v>
      </c>
      <c r="AD89" s="33">
        <v>0</v>
      </c>
      <c r="AE89" s="33">
        <v>0.96156082862165793</v>
      </c>
      <c r="AF89" s="33">
        <v>7.1045008288680265</v>
      </c>
      <c r="AG89" s="42">
        <v>47.661861434222317</v>
      </c>
    </row>
    <row r="90" spans="1:33" x14ac:dyDescent="0.2">
      <c r="A90" s="40">
        <v>25</v>
      </c>
      <c r="B90" s="40" t="s">
        <v>287</v>
      </c>
      <c r="C90" s="40">
        <v>220</v>
      </c>
      <c r="D90" s="40">
        <v>2015</v>
      </c>
      <c r="E90" s="40">
        <v>2100</v>
      </c>
      <c r="F90" s="40">
        <v>694523.64870000002</v>
      </c>
      <c r="G90" s="40">
        <v>227146.132199999</v>
      </c>
      <c r="H90" s="40">
        <v>267</v>
      </c>
      <c r="I90" s="41">
        <f t="shared" si="4"/>
        <v>46.439044346489958</v>
      </c>
      <c r="J90" s="33">
        <v>170</v>
      </c>
      <c r="K90" s="33">
        <v>1053680.3</v>
      </c>
      <c r="L90" s="33">
        <v>-4530.7692307692296</v>
      </c>
      <c r="M90" s="33">
        <v>892.42424242399898</v>
      </c>
      <c r="N90" s="33">
        <v>5.2819148936170199</v>
      </c>
      <c r="O90" s="33">
        <v>32.249084249084198</v>
      </c>
      <c r="P90" s="33">
        <v>6.2017264879600278</v>
      </c>
      <c r="Q90" s="46">
        <v>5.2819148936170199</v>
      </c>
      <c r="R90" s="46">
        <v>0.91981159434300785</v>
      </c>
      <c r="S90" s="46">
        <f t="shared" si="5"/>
        <v>6.2017264879600278</v>
      </c>
      <c r="T90" s="33">
        <v>83.214418600000144</v>
      </c>
      <c r="U90" s="42">
        <v>23.298563331695163</v>
      </c>
      <c r="V90" s="46">
        <v>1.9585790305693809</v>
      </c>
      <c r="W90" s="42">
        <f t="shared" si="6"/>
        <v>90.95453845671679</v>
      </c>
      <c r="X90" s="46">
        <v>2.9191780768156437</v>
      </c>
      <c r="Y90" s="42">
        <f t="shared" si="7"/>
        <v>135.56384016454294</v>
      </c>
      <c r="Z90" s="33">
        <v>98.130932262564059</v>
      </c>
      <c r="AA90" s="33">
        <v>35.753323147402952</v>
      </c>
      <c r="AB90" s="33">
        <v>1.4788673190221859</v>
      </c>
      <c r="AC90" s="33">
        <v>0</v>
      </c>
      <c r="AD90" s="33">
        <v>0</v>
      </c>
      <c r="AE90" s="33">
        <v>0.96156082862165793</v>
      </c>
      <c r="AF90" s="33">
        <v>7.4383262888040429</v>
      </c>
      <c r="AG90" s="42">
        <v>45.632077583850837</v>
      </c>
    </row>
    <row r="91" spans="1:33" x14ac:dyDescent="0.2">
      <c r="A91" s="40">
        <v>26</v>
      </c>
      <c r="B91" s="40" t="s">
        <v>288</v>
      </c>
      <c r="C91" s="40">
        <v>220</v>
      </c>
      <c r="D91" s="40">
        <v>2015</v>
      </c>
      <c r="E91" s="40">
        <v>2100</v>
      </c>
      <c r="F91" s="40">
        <v>651787.40949999902</v>
      </c>
      <c r="G91" s="40">
        <v>226434.3738</v>
      </c>
      <c r="H91" s="40">
        <v>313</v>
      </c>
      <c r="I91" s="41">
        <f t="shared" si="4"/>
        <v>54.4397785784695</v>
      </c>
      <c r="J91" s="33">
        <v>105</v>
      </c>
      <c r="K91" s="33">
        <v>726791.5</v>
      </c>
      <c r="L91" s="33">
        <v>-2270.5882352941098</v>
      </c>
      <c r="M91" s="33">
        <v>678.94736842099906</v>
      </c>
      <c r="N91" s="33">
        <v>2.8306451612903198</v>
      </c>
      <c r="O91" s="33">
        <v>40.197879858657203</v>
      </c>
      <c r="P91" s="33">
        <v>4.9753867791842534</v>
      </c>
      <c r="Q91" s="46">
        <v>2.8306451612903198</v>
      </c>
      <c r="R91" s="46">
        <v>2.1447416178939331</v>
      </c>
      <c r="S91" s="46">
        <f t="shared" si="5"/>
        <v>4.9753867791842534</v>
      </c>
      <c r="T91" s="33">
        <v>77.168170000000103</v>
      </c>
      <c r="U91" s="42">
        <v>22.092828238939436</v>
      </c>
      <c r="V91" s="46">
        <v>1.9924766519498065</v>
      </c>
      <c r="W91" s="42">
        <f t="shared" si="6"/>
        <v>108.46998775491771</v>
      </c>
      <c r="X91" s="46">
        <v>2.9039046365339281</v>
      </c>
      <c r="Y91" s="42">
        <f t="shared" si="7"/>
        <v>158.08792542589799</v>
      </c>
      <c r="Z91" s="33">
        <v>105.43504904151919</v>
      </c>
      <c r="AA91" s="33">
        <v>34.141450462933484</v>
      </c>
      <c r="AB91" s="33">
        <v>1.4788673190221859</v>
      </c>
      <c r="AC91" s="33">
        <v>0</v>
      </c>
      <c r="AD91" s="33">
        <v>0</v>
      </c>
      <c r="AE91" s="33">
        <v>0.96156082862165793</v>
      </c>
      <c r="AF91" s="33">
        <v>7.4375658310468653</v>
      </c>
      <c r="AG91" s="42">
        <v>44.019444441624188</v>
      </c>
    </row>
    <row r="92" spans="1:33" x14ac:dyDescent="0.2">
      <c r="A92" s="40">
        <v>27</v>
      </c>
      <c r="B92" s="40" t="s">
        <v>289</v>
      </c>
      <c r="C92" s="40">
        <v>220</v>
      </c>
      <c r="D92" s="40">
        <v>2015</v>
      </c>
      <c r="E92" s="40">
        <v>2100</v>
      </c>
      <c r="F92" s="40">
        <v>610378.38890000002</v>
      </c>
      <c r="G92" s="40">
        <v>225066.851499999</v>
      </c>
      <c r="H92" s="40">
        <v>171</v>
      </c>
      <c r="I92" s="41">
        <f t="shared" si="4"/>
        <v>29.741859862358737</v>
      </c>
      <c r="J92" s="33">
        <v>80</v>
      </c>
      <c r="K92" s="33">
        <v>769546.9</v>
      </c>
      <c r="L92" s="33">
        <v>-1683.3333333333301</v>
      </c>
      <c r="M92" s="33">
        <v>638.09523809500001</v>
      </c>
      <c r="N92" s="33">
        <v>2.2631578947368398</v>
      </c>
      <c r="O92" s="33">
        <v>37.583673469387698</v>
      </c>
      <c r="P92" s="33">
        <v>5.3214596003475316</v>
      </c>
      <c r="Q92" s="46">
        <v>2.2631578947368398</v>
      </c>
      <c r="R92" s="46">
        <v>3.0583017056106918</v>
      </c>
      <c r="S92" s="46">
        <f t="shared" si="5"/>
        <v>5.3214596003475316</v>
      </c>
      <c r="T92" s="33">
        <v>78.549340000000115</v>
      </c>
      <c r="U92" s="42">
        <v>22.446178889859745</v>
      </c>
      <c r="V92" s="46">
        <v>1.982617114339007</v>
      </c>
      <c r="W92" s="42">
        <f t="shared" si="6"/>
        <v>58.966720375384817</v>
      </c>
      <c r="X92" s="46">
        <v>2.8985955989404943</v>
      </c>
      <c r="Y92" s="42">
        <f t="shared" si="7"/>
        <v>86.209624101337965</v>
      </c>
      <c r="Z92" s="33">
        <v>103.45623440697548</v>
      </c>
      <c r="AA92" s="33">
        <v>34.596320612924174</v>
      </c>
      <c r="AB92" s="33">
        <v>1.4788673190221859</v>
      </c>
      <c r="AC92" s="33">
        <v>0</v>
      </c>
      <c r="AD92" s="33">
        <v>0</v>
      </c>
      <c r="AE92" s="33">
        <v>0.96156082862165793</v>
      </c>
      <c r="AF92" s="33">
        <v>7.465429657982849</v>
      </c>
      <c r="AG92" s="42">
        <v>44.502178418550862</v>
      </c>
    </row>
    <row r="93" spans="1:33" x14ac:dyDescent="0.2">
      <c r="A93" s="40">
        <v>28</v>
      </c>
      <c r="B93" s="40" t="s">
        <v>290</v>
      </c>
      <c r="C93" s="40">
        <v>220</v>
      </c>
      <c r="D93" s="40">
        <v>2015</v>
      </c>
      <c r="E93" s="40">
        <v>2100</v>
      </c>
      <c r="F93" s="40">
        <v>626871.32920000004</v>
      </c>
      <c r="G93" s="40">
        <v>222902.55530000001</v>
      </c>
      <c r="H93" s="40">
        <v>315</v>
      </c>
      <c r="I93" s="41">
        <f t="shared" si="4"/>
        <v>54.787636588555571</v>
      </c>
      <c r="J93" s="33">
        <v>120</v>
      </c>
      <c r="K93" s="33">
        <v>481707.59999999899</v>
      </c>
      <c r="L93" s="33">
        <v>-2086.1111111111099</v>
      </c>
      <c r="M93" s="33">
        <v>716.84210526300001</v>
      </c>
      <c r="N93" s="33">
        <v>2.7363636363636301</v>
      </c>
      <c r="O93" s="33">
        <v>42.780551905387597</v>
      </c>
      <c r="P93" s="33">
        <v>4.6750215014129557</v>
      </c>
      <c r="Q93" s="46">
        <v>2.7363636363636301</v>
      </c>
      <c r="R93" s="46">
        <v>1.938657865049326</v>
      </c>
      <c r="S93" s="46">
        <f t="shared" si="5"/>
        <v>4.6750215014129566</v>
      </c>
      <c r="T93" s="33">
        <v>75.993522400000145</v>
      </c>
      <c r="U93" s="42">
        <v>21.80490350321676</v>
      </c>
      <c r="V93" s="46">
        <v>1.9995134635476624</v>
      </c>
      <c r="W93" s="42">
        <f t="shared" si="6"/>
        <v>109.54861699477338</v>
      </c>
      <c r="X93" s="46">
        <v>2.9098573752573942</v>
      </c>
      <c r="Y93" s="42">
        <f t="shared" si="7"/>
        <v>159.42420840013028</v>
      </c>
      <c r="Z93" s="33">
        <v>107.21118407190467</v>
      </c>
      <c r="AA93" s="33">
        <v>33.746657255848994</v>
      </c>
      <c r="AB93" s="33">
        <v>1.4788673190221859</v>
      </c>
      <c r="AC93" s="33">
        <v>0</v>
      </c>
      <c r="AD93" s="33">
        <v>0</v>
      </c>
      <c r="AE93" s="33">
        <v>0.96156082862165793</v>
      </c>
      <c r="AF93" s="33">
        <v>7.4121127225466594</v>
      </c>
      <c r="AG93" s="42">
        <v>43.599198126039497</v>
      </c>
    </row>
    <row r="94" spans="1:33" x14ac:dyDescent="0.2">
      <c r="A94" s="40">
        <v>29</v>
      </c>
      <c r="B94" s="40" t="s">
        <v>291</v>
      </c>
      <c r="C94" s="40">
        <v>220</v>
      </c>
      <c r="D94" s="40">
        <v>2015</v>
      </c>
      <c r="E94" s="40">
        <v>2100</v>
      </c>
      <c r="F94" s="40">
        <v>717379.64780000004</v>
      </c>
      <c r="G94" s="40">
        <v>228033.201399999</v>
      </c>
      <c r="H94" s="40">
        <v>484</v>
      </c>
      <c r="I94" s="41">
        <f t="shared" si="4"/>
        <v>84.181638440828237</v>
      </c>
      <c r="J94" s="33">
        <v>202</v>
      </c>
      <c r="K94" s="33">
        <v>430634.9</v>
      </c>
      <c r="L94" s="33">
        <v>-5227.2727272727197</v>
      </c>
      <c r="M94" s="33">
        <v>1622.0512820500001</v>
      </c>
      <c r="N94" s="33">
        <v>6.2936507936507899</v>
      </c>
      <c r="O94" s="33">
        <v>31.226337448559601</v>
      </c>
      <c r="P94" s="33">
        <v>6.404849762783356</v>
      </c>
      <c r="Q94" s="46">
        <v>6.2936507936507899</v>
      </c>
      <c r="R94" s="46">
        <v>0.11119896913256611</v>
      </c>
      <c r="S94" s="46">
        <f t="shared" si="5"/>
        <v>6.404849762783356</v>
      </c>
      <c r="T94" s="33">
        <v>70.970696700000133</v>
      </c>
      <c r="U94" s="42">
        <v>29.137665252397156</v>
      </c>
      <c r="V94" s="46">
        <v>1.5320079831120832</v>
      </c>
      <c r="W94" s="42">
        <f t="shared" si="6"/>
        <v>128.96694212280389</v>
      </c>
      <c r="X94" s="46">
        <v>2.3499089655895848</v>
      </c>
      <c r="Y94" s="42">
        <f t="shared" si="7"/>
        <v>197.81918691012311</v>
      </c>
      <c r="Z94" s="33">
        <v>91.137711423603108</v>
      </c>
      <c r="AA94" s="33">
        <v>36.020303704197069</v>
      </c>
      <c r="AB94" s="33">
        <v>1.4788673190221859</v>
      </c>
      <c r="AC94" s="33">
        <v>0</v>
      </c>
      <c r="AD94" s="33">
        <v>0</v>
      </c>
      <c r="AE94" s="33">
        <v>0.96156082862165793</v>
      </c>
      <c r="AF94" s="33">
        <v>6.1784039240790758</v>
      </c>
      <c r="AG94" s="42">
        <v>44.639135775919996</v>
      </c>
    </row>
    <row r="95" spans="1:33" x14ac:dyDescent="0.2">
      <c r="A95" s="40">
        <v>30</v>
      </c>
      <c r="B95" s="40" t="s">
        <v>292</v>
      </c>
      <c r="C95" s="40">
        <v>220</v>
      </c>
      <c r="D95" s="40">
        <v>2015</v>
      </c>
      <c r="E95" s="40">
        <v>2100</v>
      </c>
      <c r="F95" s="40">
        <v>675295.81460000004</v>
      </c>
      <c r="G95" s="40">
        <v>236177.41020000001</v>
      </c>
      <c r="H95" s="40">
        <v>187</v>
      </c>
      <c r="I95" s="41">
        <f t="shared" si="4"/>
        <v>32.52472394304727</v>
      </c>
      <c r="J95" s="33">
        <v>115</v>
      </c>
      <c r="K95" s="33">
        <v>503322.5</v>
      </c>
      <c r="L95" s="33">
        <v>-2530.76923076923</v>
      </c>
      <c r="M95" s="33">
        <v>595</v>
      </c>
      <c r="N95" s="33">
        <v>3.1372549019607798</v>
      </c>
      <c r="O95" s="33">
        <v>37.022727272727202</v>
      </c>
      <c r="P95" s="33">
        <v>5.4020871700429813</v>
      </c>
      <c r="Q95" s="46">
        <v>3.1372549019607798</v>
      </c>
      <c r="R95" s="46">
        <v>2.2648322680822019</v>
      </c>
      <c r="S95" s="46">
        <f t="shared" si="5"/>
        <v>5.4020871700429822</v>
      </c>
      <c r="T95" s="33">
        <v>78.870696700000138</v>
      </c>
      <c r="U95" s="42">
        <v>22.530864668291077</v>
      </c>
      <c r="V95" s="46">
        <v>1.9801447802159082</v>
      </c>
      <c r="W95" s="42">
        <f t="shared" si="6"/>
        <v>64.403662343788426</v>
      </c>
      <c r="X95" s="46">
        <v>2.8974315960404464</v>
      </c>
      <c r="Y95" s="42">
        <f t="shared" si="7"/>
        <v>94.238162805078375</v>
      </c>
      <c r="Z95" s="33">
        <v>103.00743515355029</v>
      </c>
      <c r="AA95" s="33">
        <v>34.702295634590058</v>
      </c>
      <c r="AB95" s="33">
        <v>1.4788673190221859</v>
      </c>
      <c r="AC95" s="33">
        <v>0</v>
      </c>
      <c r="AD95" s="33">
        <v>0</v>
      </c>
      <c r="AE95" s="33">
        <v>0.96156082862165793</v>
      </c>
      <c r="AF95" s="33">
        <v>7.4716502844337036</v>
      </c>
      <c r="AG95" s="42">
        <v>44.614374066667608</v>
      </c>
    </row>
    <row r="96" spans="1:33" x14ac:dyDescent="0.2">
      <c r="A96" s="40">
        <v>31</v>
      </c>
      <c r="B96" s="40" t="s">
        <v>293</v>
      </c>
      <c r="C96" s="40">
        <v>220</v>
      </c>
      <c r="D96" s="40">
        <v>2025</v>
      </c>
      <c r="E96" s="40">
        <v>2100</v>
      </c>
      <c r="F96" s="40">
        <v>684007.15899999905</v>
      </c>
      <c r="G96" s="40">
        <v>238425.130999999</v>
      </c>
      <c r="H96" s="40">
        <v>129</v>
      </c>
      <c r="I96" s="41">
        <f t="shared" si="4"/>
        <v>22.43684165055133</v>
      </c>
      <c r="J96" s="33">
        <v>120</v>
      </c>
      <c r="K96" s="33">
        <v>1182490.3</v>
      </c>
      <c r="L96" s="33">
        <v>-2850</v>
      </c>
      <c r="M96" s="33">
        <v>637.5</v>
      </c>
      <c r="N96" s="33">
        <v>3.4</v>
      </c>
      <c r="O96" s="33">
        <v>35.3106796116504</v>
      </c>
      <c r="P96" s="33">
        <v>5.6640087984602827</v>
      </c>
      <c r="Q96" s="46">
        <v>3.4</v>
      </c>
      <c r="R96" s="46">
        <v>2.2640087984602828</v>
      </c>
      <c r="S96" s="46">
        <f t="shared" si="5"/>
        <v>5.6640087984602827</v>
      </c>
      <c r="T96" s="33">
        <v>81.443360500000153</v>
      </c>
      <c r="U96" s="42">
        <v>22.803006974791252</v>
      </c>
      <c r="V96" s="46">
        <v>1.9741526166728733</v>
      </c>
      <c r="W96" s="42">
        <f t="shared" si="6"/>
        <v>44.293749654310815</v>
      </c>
      <c r="X96" s="46">
        <v>2.9368433895799475</v>
      </c>
      <c r="Y96" s="42">
        <f t="shared" si="7"/>
        <v>65.893490084473711</v>
      </c>
      <c r="Z96" s="33">
        <v>100.68054974256192</v>
      </c>
      <c r="AA96" s="33">
        <v>35.046559393886469</v>
      </c>
      <c r="AB96" s="33">
        <v>1.4788673190221859</v>
      </c>
      <c r="AC96" s="33">
        <v>0</v>
      </c>
      <c r="AD96" s="33">
        <v>0</v>
      </c>
      <c r="AE96" s="33">
        <v>0.96156082862165793</v>
      </c>
      <c r="AF96" s="33">
        <v>7.5296283457636193</v>
      </c>
      <c r="AG96" s="42">
        <v>45.016615887293931</v>
      </c>
    </row>
    <row r="97" spans="1:33" x14ac:dyDescent="0.2">
      <c r="A97" s="40">
        <v>32</v>
      </c>
      <c r="B97" s="40" t="s">
        <v>294</v>
      </c>
      <c r="C97" s="40">
        <v>220</v>
      </c>
      <c r="D97" s="40">
        <v>2015</v>
      </c>
      <c r="E97" s="40">
        <v>2100</v>
      </c>
      <c r="F97" s="40">
        <v>638498.22100000002</v>
      </c>
      <c r="G97" s="40">
        <v>241009.82120000001</v>
      </c>
      <c r="H97" s="40">
        <v>295</v>
      </c>
      <c r="I97" s="41">
        <f t="shared" si="4"/>
        <v>51.309056487694896</v>
      </c>
      <c r="J97" s="33">
        <v>66.6666666666666</v>
      </c>
      <c r="K97" s="33">
        <v>1166387.6000000001</v>
      </c>
      <c r="L97" s="33">
        <v>-1000</v>
      </c>
      <c r="M97" s="33">
        <v>644.68085106399894</v>
      </c>
      <c r="N97" s="33">
        <v>1.5919540229885001</v>
      </c>
      <c r="O97" s="33">
        <v>45.609030837004397</v>
      </c>
      <c r="P97" s="33">
        <v>4.3850964672928798</v>
      </c>
      <c r="Q97" s="46">
        <v>1.5919540229885001</v>
      </c>
      <c r="R97" s="46">
        <v>2.79314244430438</v>
      </c>
      <c r="S97" s="46">
        <f t="shared" si="5"/>
        <v>4.3850964672928798</v>
      </c>
      <c r="T97" s="33">
        <v>74.800000000000068</v>
      </c>
      <c r="U97" s="42">
        <v>21.549250686262333</v>
      </c>
      <c r="V97" s="46">
        <v>2.0041788000984</v>
      </c>
      <c r="W97" s="42">
        <f t="shared" si="6"/>
        <v>102.83252326568939</v>
      </c>
      <c r="X97" s="46">
        <v>2.9146790422303019</v>
      </c>
      <c r="Y97" s="42">
        <f t="shared" si="7"/>
        <v>149.54943162129501</v>
      </c>
      <c r="Z97" s="33">
        <v>109.04322472323932</v>
      </c>
      <c r="AA97" s="33">
        <v>33.36558646469885</v>
      </c>
      <c r="AB97" s="33">
        <v>1.4788673190221859</v>
      </c>
      <c r="AC97" s="33">
        <v>0</v>
      </c>
      <c r="AD97" s="33">
        <v>0</v>
      </c>
      <c r="AE97" s="33">
        <v>0.96156082862165793</v>
      </c>
      <c r="AF97" s="33">
        <v>7.3825367710701766</v>
      </c>
      <c r="AG97" s="42">
        <v>43.188551383412864</v>
      </c>
    </row>
    <row r="98" spans="1:33" x14ac:dyDescent="0.2">
      <c r="A98" s="40">
        <v>33</v>
      </c>
      <c r="B98" s="40" t="s">
        <v>295</v>
      </c>
      <c r="C98" s="40">
        <v>220</v>
      </c>
      <c r="D98" s="40">
        <v>2015</v>
      </c>
      <c r="E98" s="40">
        <v>2100</v>
      </c>
      <c r="F98" s="40">
        <v>613507.37080000003</v>
      </c>
      <c r="G98" s="40">
        <v>231422.95300000001</v>
      </c>
      <c r="H98" s="40">
        <v>389</v>
      </c>
      <c r="I98" s="41">
        <f t="shared" si="4"/>
        <v>67.658382961740045</v>
      </c>
      <c r="J98" s="33">
        <v>70</v>
      </c>
      <c r="K98" s="33">
        <v>448823.09999999899</v>
      </c>
      <c r="L98" s="33">
        <v>-1158.3333333333301</v>
      </c>
      <c r="M98" s="33">
        <v>885.32110091699894</v>
      </c>
      <c r="N98" s="33">
        <v>1.8125</v>
      </c>
      <c r="O98" s="33">
        <v>41.403669724770602</v>
      </c>
      <c r="P98" s="33">
        <v>4.830489696432533</v>
      </c>
      <c r="Q98" s="46">
        <v>1.8125</v>
      </c>
      <c r="R98" s="46">
        <v>3.017989696432533</v>
      </c>
      <c r="S98" s="46">
        <f t="shared" si="5"/>
        <v>4.830489696432533</v>
      </c>
      <c r="T98" s="33">
        <v>76.619742400000135</v>
      </c>
      <c r="U98" s="42">
        <v>21.951265257193906</v>
      </c>
      <c r="V98" s="46">
        <v>1.9961366710735597</v>
      </c>
      <c r="W98" s="42">
        <f t="shared" si="6"/>
        <v>135.05537933546782</v>
      </c>
      <c r="X98" s="46">
        <v>2.9072093205640259</v>
      </c>
      <c r="Y98" s="42">
        <f t="shared" si="7"/>
        <v>196.69708156066093</v>
      </c>
      <c r="Z98" s="33">
        <v>106.27058586339771</v>
      </c>
      <c r="AA98" s="33">
        <v>33.951001072707051</v>
      </c>
      <c r="AB98" s="33">
        <v>1.4788673190221859</v>
      </c>
      <c r="AC98" s="33">
        <v>0</v>
      </c>
      <c r="AD98" s="33">
        <v>0</v>
      </c>
      <c r="AE98" s="33">
        <v>0.96156082862165793</v>
      </c>
      <c r="AF98" s="33">
        <v>7.4262963359968355</v>
      </c>
      <c r="AG98" s="42">
        <v>43.817725556347725</v>
      </c>
    </row>
    <row r="99" spans="1:33" x14ac:dyDescent="0.2">
      <c r="A99" s="40">
        <v>34</v>
      </c>
      <c r="B99" s="40" t="s">
        <v>296</v>
      </c>
      <c r="C99" s="40">
        <v>220</v>
      </c>
      <c r="D99" s="40">
        <v>2015</v>
      </c>
      <c r="E99" s="40">
        <v>2100</v>
      </c>
      <c r="F99" s="40">
        <v>699666.98199999903</v>
      </c>
      <c r="G99" s="40">
        <v>243177.90869999901</v>
      </c>
      <c r="H99" s="40">
        <v>290</v>
      </c>
      <c r="I99" s="41">
        <f t="shared" si="4"/>
        <v>50.439411462479733</v>
      </c>
      <c r="J99" s="33">
        <v>122.85714285714199</v>
      </c>
      <c r="K99" s="33">
        <v>1263649.5</v>
      </c>
      <c r="L99" s="33">
        <v>-3238.0952380952299</v>
      </c>
      <c r="M99" s="33">
        <v>714.10256410299905</v>
      </c>
      <c r="N99" s="33">
        <v>3.7209302325581302</v>
      </c>
      <c r="O99" s="33">
        <v>32.8471337579617</v>
      </c>
      <c r="P99" s="33">
        <v>6.0888113244134354</v>
      </c>
      <c r="Q99" s="46">
        <v>3.7209302325581302</v>
      </c>
      <c r="R99" s="46">
        <v>2.3678810918553039</v>
      </c>
      <c r="S99" s="46">
        <f t="shared" si="5"/>
        <v>6.0888113244134345</v>
      </c>
      <c r="T99" s="33">
        <v>82.866028600000135</v>
      </c>
      <c r="U99" s="42">
        <v>23.190705831708613</v>
      </c>
      <c r="V99" s="46">
        <v>1.9621321929625672</v>
      </c>
      <c r="W99" s="42">
        <f t="shared" si="6"/>
        <v>98.968793024616602</v>
      </c>
      <c r="X99" s="46">
        <v>2.9235155848198442</v>
      </c>
      <c r="Y99" s="42">
        <f t="shared" si="7"/>
        <v>147.46040549970019</v>
      </c>
      <c r="Z99" s="33">
        <v>98.643710822323996</v>
      </c>
      <c r="AA99" s="33">
        <v>35.604910055597543</v>
      </c>
      <c r="AB99" s="33">
        <v>1.4788673190221859</v>
      </c>
      <c r="AC99" s="33">
        <v>0</v>
      </c>
      <c r="AD99" s="33">
        <v>0</v>
      </c>
      <c r="AE99" s="33">
        <v>0.96156082862165793</v>
      </c>
      <c r="AF99" s="33">
        <v>7.4578922866788355</v>
      </c>
      <c r="AG99" s="42">
        <v>45.50323048992022</v>
      </c>
    </row>
    <row r="100" spans="1:33" x14ac:dyDescent="0.2">
      <c r="A100" s="40">
        <v>35</v>
      </c>
      <c r="B100" s="40" t="s">
        <v>297</v>
      </c>
      <c r="C100" s="40">
        <v>220</v>
      </c>
      <c r="D100" s="40">
        <v>2015</v>
      </c>
      <c r="E100" s="40">
        <v>2100</v>
      </c>
      <c r="F100" s="40">
        <v>716288.78009999904</v>
      </c>
      <c r="G100" s="40">
        <v>231101.31889999899</v>
      </c>
      <c r="H100" s="40">
        <v>299</v>
      </c>
      <c r="I100" s="41">
        <f t="shared" si="4"/>
        <v>52.004772507867031</v>
      </c>
      <c r="J100" s="33">
        <v>165</v>
      </c>
      <c r="K100" s="33">
        <v>494542.5</v>
      </c>
      <c r="L100" s="33">
        <v>-4363.6363636363603</v>
      </c>
      <c r="M100" s="33">
        <v>890.59829059799904</v>
      </c>
      <c r="N100" s="33">
        <v>5.1708333333333298</v>
      </c>
      <c r="O100" s="33">
        <v>31.880239520958</v>
      </c>
      <c r="P100" s="33">
        <v>6.2734785875281904</v>
      </c>
      <c r="Q100" s="46">
        <v>5.1708333333333298</v>
      </c>
      <c r="R100" s="46">
        <v>1.102645254194861</v>
      </c>
      <c r="S100" s="46">
        <f t="shared" si="5"/>
        <v>6.2734785875281904</v>
      </c>
      <c r="T100" s="33">
        <v>83.433904300000108</v>
      </c>
      <c r="U100" s="42">
        <v>23.368128050048544</v>
      </c>
      <c r="V100" s="46">
        <v>1.9562524419660994</v>
      </c>
      <c r="W100" s="42">
        <f t="shared" si="6"/>
        <v>101.73446321240635</v>
      </c>
      <c r="X100" s="46">
        <v>2.916370842711892</v>
      </c>
      <c r="Y100" s="42">
        <f t="shared" si="7"/>
        <v>151.66520222380839</v>
      </c>
      <c r="Z100" s="33">
        <v>97.808418535452745</v>
      </c>
      <c r="AA100" s="33">
        <v>35.84763245543531</v>
      </c>
      <c r="AB100" s="33">
        <v>1.4788673190221859</v>
      </c>
      <c r="AC100" s="33">
        <v>0</v>
      </c>
      <c r="AD100" s="33">
        <v>0</v>
      </c>
      <c r="AE100" s="33">
        <v>0.96156082862165793</v>
      </c>
      <c r="AF100" s="33">
        <v>7.4258969590048105</v>
      </c>
      <c r="AG100" s="42">
        <v>45.713957562083969</v>
      </c>
    </row>
    <row r="101" spans="1:33" x14ac:dyDescent="0.2">
      <c r="A101" s="40">
        <v>36</v>
      </c>
      <c r="B101" s="40" t="s">
        <v>298</v>
      </c>
      <c r="C101" s="40">
        <v>220</v>
      </c>
      <c r="D101" s="40">
        <v>2015</v>
      </c>
      <c r="E101" s="40">
        <v>2100</v>
      </c>
      <c r="F101" s="40">
        <v>759306.69059999904</v>
      </c>
      <c r="G101" s="40">
        <v>241853.89110000001</v>
      </c>
      <c r="H101" s="40">
        <v>318</v>
      </c>
      <c r="I101" s="41">
        <f t="shared" si="4"/>
        <v>55.309423603684671</v>
      </c>
      <c r="J101" s="33">
        <v>170</v>
      </c>
      <c r="K101" s="33">
        <v>381824.59999999899</v>
      </c>
      <c r="L101" s="33">
        <v>-5325</v>
      </c>
      <c r="M101" s="33">
        <v>1594.0298507499899</v>
      </c>
      <c r="N101" s="33">
        <v>6.4473684210526301</v>
      </c>
      <c r="O101" s="33">
        <v>27.094594594594501</v>
      </c>
      <c r="P101" s="33">
        <v>7.3815461346633668</v>
      </c>
      <c r="Q101" s="46">
        <v>6.4473684210526301</v>
      </c>
      <c r="R101" s="46">
        <v>0.93417771361073676</v>
      </c>
      <c r="S101" s="46">
        <f t="shared" si="5"/>
        <v>7.3815461346633668</v>
      </c>
      <c r="T101" s="33">
        <v>86.237086700000148</v>
      </c>
      <c r="U101" s="42">
        <v>24.540891393497354</v>
      </c>
      <c r="V101" s="46">
        <v>1.9138802802883619</v>
      </c>
      <c r="W101" s="42">
        <f t="shared" si="6"/>
        <v>105.85561514920775</v>
      </c>
      <c r="X101" s="46">
        <v>2.8559656227502752</v>
      </c>
      <c r="Y101" s="42">
        <f t="shared" si="7"/>
        <v>157.96181242625607</v>
      </c>
      <c r="Z101" s="33">
        <v>93.311558449668709</v>
      </c>
      <c r="AA101" s="33">
        <v>37.304050933115732</v>
      </c>
      <c r="AB101" s="33">
        <v>1.4788673190221859</v>
      </c>
      <c r="AC101" s="33">
        <v>0</v>
      </c>
      <c r="AD101" s="33">
        <v>0</v>
      </c>
      <c r="AE101" s="33">
        <v>0.96156082862165793</v>
      </c>
      <c r="AF101" s="33">
        <v>7.2238490179533859</v>
      </c>
      <c r="AG101" s="42">
        <v>46.968328098712966</v>
      </c>
    </row>
    <row r="102" spans="1:33" x14ac:dyDescent="0.2">
      <c r="A102" s="40">
        <v>37</v>
      </c>
      <c r="B102" s="40" t="s">
        <v>299</v>
      </c>
      <c r="C102" s="40">
        <v>220</v>
      </c>
      <c r="D102" s="40">
        <v>2015</v>
      </c>
      <c r="E102" s="40">
        <v>2100</v>
      </c>
      <c r="F102" s="40">
        <v>663984.96990000003</v>
      </c>
      <c r="G102" s="40">
        <v>247987.40619999901</v>
      </c>
      <c r="H102" s="40">
        <v>204</v>
      </c>
      <c r="I102" s="41">
        <f t="shared" si="4"/>
        <v>35.481517028778846</v>
      </c>
      <c r="J102" s="33">
        <v>80</v>
      </c>
      <c r="K102" s="33">
        <v>917392.3</v>
      </c>
      <c r="L102" s="33">
        <v>-1550</v>
      </c>
      <c r="M102" s="33">
        <v>547.61904761899905</v>
      </c>
      <c r="N102" s="33">
        <v>1.9489795918367301</v>
      </c>
      <c r="O102" s="33">
        <v>39.204301075268802</v>
      </c>
      <c r="P102" s="33">
        <v>5.1014810751508524</v>
      </c>
      <c r="Q102" s="46">
        <v>1.9489795918367301</v>
      </c>
      <c r="R102" s="46">
        <v>3.1525014833141221</v>
      </c>
      <c r="S102" s="46">
        <f t="shared" si="5"/>
        <v>5.1014810751508524</v>
      </c>
      <c r="T102" s="33">
        <v>77.664912400000162</v>
      </c>
      <c r="U102" s="42">
        <v>22.219589534384784</v>
      </c>
      <c r="V102" s="46">
        <v>1.9890244078537833</v>
      </c>
      <c r="W102" s="42">
        <f t="shared" si="6"/>
        <v>70.573603397920778</v>
      </c>
      <c r="X102" s="46">
        <v>2.9017061332387244</v>
      </c>
      <c r="Y102" s="42">
        <f t="shared" si="7"/>
        <v>102.95693557902182</v>
      </c>
      <c r="Z102" s="33">
        <v>104.70813488032161</v>
      </c>
      <c r="AA102" s="33">
        <v>34.307185903025257</v>
      </c>
      <c r="AB102" s="33">
        <v>1.4788673190221859</v>
      </c>
      <c r="AC102" s="33">
        <v>0</v>
      </c>
      <c r="AD102" s="33">
        <v>0</v>
      </c>
      <c r="AE102" s="33">
        <v>0.96156082862165793</v>
      </c>
      <c r="AF102" s="33">
        <v>7.4476918657147166</v>
      </c>
      <c r="AG102" s="42">
        <v>44.195305916383816</v>
      </c>
    </row>
    <row r="103" spans="1:33" x14ac:dyDescent="0.2">
      <c r="A103" s="40">
        <v>38</v>
      </c>
      <c r="B103" s="40" t="s">
        <v>300</v>
      </c>
      <c r="C103" s="40">
        <v>220</v>
      </c>
      <c r="D103" s="40">
        <v>2025</v>
      </c>
      <c r="E103" s="40">
        <v>2100</v>
      </c>
      <c r="F103" s="40">
        <v>677560.11199999903</v>
      </c>
      <c r="G103" s="40">
        <v>246269.16200000001</v>
      </c>
      <c r="H103" s="40">
        <v>109</v>
      </c>
      <c r="I103" s="41">
        <f t="shared" si="4"/>
        <v>18.958261549690658</v>
      </c>
      <c r="J103" s="33">
        <v>90</v>
      </c>
      <c r="K103" s="33">
        <v>2491812.1</v>
      </c>
      <c r="L103" s="33">
        <v>-1900</v>
      </c>
      <c r="M103" s="33">
        <v>588.23529411799905</v>
      </c>
      <c r="N103" s="33">
        <v>2.4242424242424199</v>
      </c>
      <c r="O103" s="33">
        <v>37.65625</v>
      </c>
      <c r="P103" s="33">
        <v>5.3112033195020736</v>
      </c>
      <c r="Q103" s="46">
        <v>2.4242424242424199</v>
      </c>
      <c r="R103" s="46">
        <v>2.886960895259655</v>
      </c>
      <c r="S103" s="46">
        <f t="shared" si="5"/>
        <v>5.3112033195020754</v>
      </c>
      <c r="T103" s="33">
        <v>78.515074300000137</v>
      </c>
      <c r="U103" s="42">
        <v>22.435468750118233</v>
      </c>
      <c r="V103" s="46">
        <v>1.9829381830420989</v>
      </c>
      <c r="W103" s="42">
        <f t="shared" si="6"/>
        <v>37.593060710980481</v>
      </c>
      <c r="X103" s="46">
        <v>2.8989344186608328</v>
      </c>
      <c r="Y103" s="42">
        <f t="shared" si="7"/>
        <v>54.958756924372508</v>
      </c>
      <c r="Z103" s="33">
        <v>103.50954787366128</v>
      </c>
      <c r="AA103" s="33">
        <v>34.582839993467154</v>
      </c>
      <c r="AB103" s="33">
        <v>1.4788673190221859</v>
      </c>
      <c r="AC103" s="33">
        <v>0</v>
      </c>
      <c r="AD103" s="33">
        <v>0</v>
      </c>
      <c r="AE103" s="33">
        <v>0.96156082862165793</v>
      </c>
      <c r="AF103" s="33">
        <v>7.4648794979462494</v>
      </c>
      <c r="AG103" s="42">
        <v>44.488147639057239</v>
      </c>
    </row>
    <row r="104" spans="1:33" x14ac:dyDescent="0.2">
      <c r="A104" s="40">
        <v>39</v>
      </c>
      <c r="B104" s="40" t="s">
        <v>301</v>
      </c>
      <c r="C104" s="40">
        <v>220</v>
      </c>
      <c r="D104" s="40">
        <v>2015</v>
      </c>
      <c r="E104" s="40">
        <v>2100</v>
      </c>
      <c r="F104" s="40">
        <v>650438.57039999904</v>
      </c>
      <c r="G104" s="40">
        <v>251068.724599999</v>
      </c>
      <c r="H104" s="40">
        <v>184</v>
      </c>
      <c r="I104" s="41">
        <f t="shared" si="4"/>
        <v>32.002936927918171</v>
      </c>
      <c r="J104" s="33">
        <v>64</v>
      </c>
      <c r="K104" s="33">
        <v>909166.8</v>
      </c>
      <c r="L104" s="33">
        <v>-968.75</v>
      </c>
      <c r="M104" s="33">
        <v>596.15384615400001</v>
      </c>
      <c r="N104" s="33">
        <v>1.2527472527472501</v>
      </c>
      <c r="O104" s="33">
        <v>41.607344632768303</v>
      </c>
      <c r="P104" s="33">
        <v>4.8068436417951048</v>
      </c>
      <c r="Q104" s="46">
        <v>1.2527472527472501</v>
      </c>
      <c r="R104" s="46">
        <v>3.5540963890478552</v>
      </c>
      <c r="S104" s="46">
        <f t="shared" si="5"/>
        <v>4.8068436417951048</v>
      </c>
      <c r="T104" s="33">
        <v>76.527132400000141</v>
      </c>
      <c r="U104" s="42">
        <v>21.928623128389653</v>
      </c>
      <c r="V104" s="46">
        <v>1.9966887230041599</v>
      </c>
      <c r="W104" s="42">
        <f t="shared" si="6"/>
        <v>63.899903266987607</v>
      </c>
      <c r="X104" s="46">
        <v>2.9076746863361702</v>
      </c>
      <c r="Y104" s="42">
        <f t="shared" si="7"/>
        <v>93.054129593720702</v>
      </c>
      <c r="Z104" s="33">
        <v>106.41054926173115</v>
      </c>
      <c r="AA104" s="33">
        <v>33.919921242793038</v>
      </c>
      <c r="AB104" s="33">
        <v>1.4788673190221859</v>
      </c>
      <c r="AC104" s="33">
        <v>0</v>
      </c>
      <c r="AD104" s="33">
        <v>0</v>
      </c>
      <c r="AE104" s="33">
        <v>0.96156082862165793</v>
      </c>
      <c r="AF104" s="33">
        <v>7.4242851210269372</v>
      </c>
      <c r="AG104" s="42">
        <v>43.784634511463821</v>
      </c>
    </row>
    <row r="105" spans="1:33" x14ac:dyDescent="0.2">
      <c r="A105" s="40">
        <v>40</v>
      </c>
      <c r="B105" s="40" t="s">
        <v>302</v>
      </c>
      <c r="C105" s="40">
        <v>220</v>
      </c>
      <c r="D105" s="40">
        <v>2015</v>
      </c>
      <c r="E105" s="40">
        <v>2100</v>
      </c>
      <c r="F105" s="40">
        <v>689640.28960000002</v>
      </c>
      <c r="G105" s="40">
        <v>248388.980799999</v>
      </c>
      <c r="H105" s="40">
        <v>97</v>
      </c>
      <c r="I105" s="41">
        <f t="shared" si="4"/>
        <v>16.871113489174252</v>
      </c>
      <c r="J105" s="33">
        <v>100</v>
      </c>
      <c r="K105" s="33">
        <v>1306860.8</v>
      </c>
      <c r="L105" s="33">
        <v>-2450</v>
      </c>
      <c r="M105" s="33">
        <v>611.11111111100001</v>
      </c>
      <c r="N105" s="33">
        <v>2.8695652173913002</v>
      </c>
      <c r="O105" s="33">
        <v>35.655405405405403</v>
      </c>
      <c r="P105" s="33">
        <v>5.6092476786052687</v>
      </c>
      <c r="Q105" s="46">
        <v>2.8695652173913002</v>
      </c>
      <c r="R105" s="46">
        <v>2.739682461213969</v>
      </c>
      <c r="S105" s="46">
        <f t="shared" si="5"/>
        <v>5.6092476786052696</v>
      </c>
      <c r="T105" s="33">
        <v>79.621190500000139</v>
      </c>
      <c r="U105" s="42">
        <v>22.752396420150205</v>
      </c>
      <c r="V105" s="46">
        <v>1.9733934695079109</v>
      </c>
      <c r="W105" s="42">
        <f t="shared" si="6"/>
        <v>33.293345182863298</v>
      </c>
      <c r="X105" s="46">
        <v>2.8924094028832941</v>
      </c>
      <c r="Y105" s="42">
        <f t="shared" si="7"/>
        <v>48.798167293198787</v>
      </c>
      <c r="Z105" s="33">
        <v>101.91786230633463</v>
      </c>
      <c r="AA105" s="33">
        <v>34.974582638478807</v>
      </c>
      <c r="AB105" s="33">
        <v>1.4788673190221859</v>
      </c>
      <c r="AC105" s="33">
        <v>0</v>
      </c>
      <c r="AD105" s="33">
        <v>0</v>
      </c>
      <c r="AE105" s="33">
        <v>0.96156082862165793</v>
      </c>
      <c r="AF105" s="33">
        <v>7.4844197250569309</v>
      </c>
      <c r="AG105" s="42">
        <v>44.899430511179588</v>
      </c>
    </row>
    <row r="106" spans="1:33" x14ac:dyDescent="0.2">
      <c r="A106" s="40">
        <v>104</v>
      </c>
      <c r="B106" s="40" t="s">
        <v>303</v>
      </c>
      <c r="C106" s="40">
        <v>380</v>
      </c>
      <c r="D106" s="40">
        <v>2015</v>
      </c>
      <c r="E106" s="40">
        <v>2100</v>
      </c>
      <c r="F106" s="40">
        <v>586472.97100000002</v>
      </c>
      <c r="G106" s="40">
        <v>243167.143199999</v>
      </c>
      <c r="H106" s="40">
        <v>964</v>
      </c>
      <c r="I106" s="41">
        <f t="shared" si="4"/>
        <v>167.66756086148433</v>
      </c>
      <c r="J106" s="33">
        <v>0</v>
      </c>
      <c r="K106" s="33">
        <v>690407</v>
      </c>
      <c r="L106" s="33">
        <v>0</v>
      </c>
      <c r="M106" s="33">
        <v>744.48160535099896</v>
      </c>
      <c r="N106" s="33">
        <v>0</v>
      </c>
      <c r="O106" s="33">
        <v>25</v>
      </c>
      <c r="P106" s="33">
        <v>8</v>
      </c>
      <c r="Q106" s="46">
        <v>0</v>
      </c>
      <c r="R106" s="46">
        <v>8</v>
      </c>
      <c r="S106" s="46">
        <f t="shared" si="5"/>
        <v>8</v>
      </c>
      <c r="T106" s="33">
        <v>87.409132400000146</v>
      </c>
      <c r="U106" s="42">
        <v>25.274319168539908</v>
      </c>
      <c r="V106" s="46">
        <v>1.885782209063388</v>
      </c>
      <c r="W106" s="42">
        <f t="shared" si="6"/>
        <v>316.18450330963998</v>
      </c>
      <c r="X106" s="46">
        <v>2.8098899699570712</v>
      </c>
      <c r="Y106" s="42">
        <f t="shared" si="7"/>
        <v>471.12739755185163</v>
      </c>
      <c r="Z106" s="33">
        <v>91.097363866379993</v>
      </c>
      <c r="AA106" s="33">
        <v>38.116932457710448</v>
      </c>
      <c r="AB106" s="33">
        <v>1.4788673190221859</v>
      </c>
      <c r="AC106" s="33">
        <v>0</v>
      </c>
      <c r="AD106" s="33">
        <v>0</v>
      </c>
      <c r="AE106" s="33">
        <v>0.96156082862165793</v>
      </c>
      <c r="AF106" s="33">
        <v>7.1045008288680265</v>
      </c>
      <c r="AG106" s="42">
        <v>47.661861434222317</v>
      </c>
    </row>
    <row r="107" spans="1:33" x14ac:dyDescent="0.2">
      <c r="A107" s="40">
        <v>41</v>
      </c>
      <c r="B107" s="40" t="s">
        <v>304</v>
      </c>
      <c r="C107" s="40">
        <v>220</v>
      </c>
      <c r="D107" s="40">
        <v>2015</v>
      </c>
      <c r="E107" s="40">
        <v>2100</v>
      </c>
      <c r="F107" s="40">
        <v>740762.28240000003</v>
      </c>
      <c r="G107" s="40">
        <v>251464.70339999901</v>
      </c>
      <c r="H107" s="40">
        <v>552</v>
      </c>
      <c r="I107" s="41">
        <f t="shared" si="4"/>
        <v>96.008810783754512</v>
      </c>
      <c r="J107" s="33">
        <v>155</v>
      </c>
      <c r="K107" s="33">
        <v>1467847</v>
      </c>
      <c r="L107" s="33">
        <v>-4307.1428571428496</v>
      </c>
      <c r="M107" s="33">
        <v>1030.9178744000001</v>
      </c>
      <c r="N107" s="33">
        <v>5.1927966101694896</v>
      </c>
      <c r="O107" s="33">
        <v>30.475955610357499</v>
      </c>
      <c r="P107" s="33">
        <v>6.5625505745266404</v>
      </c>
      <c r="Q107" s="46">
        <v>5.1927966101694896</v>
      </c>
      <c r="R107" s="46">
        <v>1.369753964357151</v>
      </c>
      <c r="S107" s="46">
        <f t="shared" si="5"/>
        <v>6.5625505745266404</v>
      </c>
      <c r="T107" s="33">
        <v>84.261360500000166</v>
      </c>
      <c r="U107" s="42">
        <v>23.656366162484701</v>
      </c>
      <c r="V107" s="46">
        <v>1.9463174678757866</v>
      </c>
      <c r="W107" s="42">
        <f t="shared" si="6"/>
        <v>186.8636254984026</v>
      </c>
      <c r="X107" s="46">
        <v>2.903465962060547</v>
      </c>
      <c r="Y107" s="42">
        <f t="shared" si="7"/>
        <v>278.75831416854282</v>
      </c>
      <c r="Z107" s="33">
        <v>96.55610129122158</v>
      </c>
      <c r="AA107" s="33">
        <v>36.227582021084828</v>
      </c>
      <c r="AB107" s="33">
        <v>1.4788673190221859</v>
      </c>
      <c r="AC107" s="33">
        <v>0</v>
      </c>
      <c r="AD107" s="33">
        <v>0</v>
      </c>
      <c r="AE107" s="33">
        <v>0.96156082862165793</v>
      </c>
      <c r="AF107" s="33">
        <v>7.3747885197809886</v>
      </c>
      <c r="AG107" s="42">
        <v>46.042798688509663</v>
      </c>
    </row>
    <row r="108" spans="1:33" x14ac:dyDescent="0.2">
      <c r="A108" s="40">
        <v>42</v>
      </c>
      <c r="B108" s="40" t="s">
        <v>305</v>
      </c>
      <c r="C108" s="40">
        <v>220</v>
      </c>
      <c r="D108" s="40">
        <v>2015</v>
      </c>
      <c r="E108" s="40">
        <v>2100</v>
      </c>
      <c r="F108" s="40">
        <v>685585.06209999905</v>
      </c>
      <c r="G108" s="40">
        <v>252045.95699999901</v>
      </c>
      <c r="H108" s="40">
        <v>34</v>
      </c>
      <c r="I108" s="41">
        <f t="shared" si="4"/>
        <v>5.913586171463141</v>
      </c>
      <c r="J108" s="33">
        <v>85</v>
      </c>
      <c r="K108" s="33">
        <v>1911801.5</v>
      </c>
      <c r="L108" s="33">
        <v>-1871.42857142857</v>
      </c>
      <c r="M108" s="33">
        <v>550</v>
      </c>
      <c r="N108" s="33">
        <v>2.5</v>
      </c>
      <c r="O108" s="33">
        <v>36.446428571428498</v>
      </c>
      <c r="P108" s="33">
        <v>5.487506124448811</v>
      </c>
      <c r="Q108" s="46">
        <v>2.5</v>
      </c>
      <c r="R108" s="46">
        <v>2.987506124448811</v>
      </c>
      <c r="S108" s="46">
        <f t="shared" si="5"/>
        <v>5.487506124448811</v>
      </c>
      <c r="T108" s="33">
        <v>79.180190500000137</v>
      </c>
      <c r="U108" s="42">
        <v>22.621524394209903</v>
      </c>
      <c r="V108" s="46">
        <v>1.9774079388302461</v>
      </c>
      <c r="W108" s="42">
        <f t="shared" si="6"/>
        <v>11.693572242407976</v>
      </c>
      <c r="X108" s="46">
        <v>2.8953436983747194</v>
      </c>
      <c r="Y108" s="42">
        <f t="shared" si="7"/>
        <v>17.121864456341687</v>
      </c>
      <c r="Z108" s="33">
        <v>102.5552118779469</v>
      </c>
      <c r="AA108" s="33">
        <v>34.814568342027826</v>
      </c>
      <c r="AB108" s="33">
        <v>1.4788673190221859</v>
      </c>
      <c r="AC108" s="33">
        <v>0</v>
      </c>
      <c r="AD108" s="33">
        <v>0</v>
      </c>
      <c r="AE108" s="33">
        <v>0.96156082862165793</v>
      </c>
      <c r="AF108" s="33">
        <v>7.4769854358810699</v>
      </c>
      <c r="AG108" s="42">
        <v>44.731981925552738</v>
      </c>
    </row>
    <row r="109" spans="1:33" x14ac:dyDescent="0.2">
      <c r="A109" s="40">
        <v>43</v>
      </c>
      <c r="B109" s="40" t="s">
        <v>306</v>
      </c>
      <c r="C109" s="40">
        <v>220</v>
      </c>
      <c r="D109" s="40">
        <v>2015</v>
      </c>
      <c r="E109" s="40">
        <v>2100</v>
      </c>
      <c r="F109" s="40">
        <v>684240.44030000002</v>
      </c>
      <c r="G109" s="40">
        <v>253028.099099999</v>
      </c>
      <c r="H109" s="40">
        <v>54</v>
      </c>
      <c r="I109" s="41">
        <f t="shared" si="4"/>
        <v>9.3921662723238111</v>
      </c>
      <c r="J109" s="33">
        <v>70</v>
      </c>
      <c r="K109" s="33">
        <v>1665959.6</v>
      </c>
      <c r="L109" s="33">
        <v>-1500</v>
      </c>
      <c r="M109" s="33">
        <v>475</v>
      </c>
      <c r="N109" s="33">
        <v>2</v>
      </c>
      <c r="O109" s="33">
        <v>37.0555555555555</v>
      </c>
      <c r="P109" s="33">
        <v>5.3973013493253452</v>
      </c>
      <c r="Q109" s="46">
        <v>2</v>
      </c>
      <c r="R109" s="46">
        <v>3.3973013493253452</v>
      </c>
      <c r="S109" s="46">
        <f t="shared" si="5"/>
        <v>5.3973013493253452</v>
      </c>
      <c r="T109" s="33">
        <v>78.851248600000133</v>
      </c>
      <c r="U109" s="42">
        <v>22.525813735542975</v>
      </c>
      <c r="V109" s="46">
        <v>1.9802926355888937</v>
      </c>
      <c r="W109" s="42">
        <f t="shared" si="6"/>
        <v>18.599237701309235</v>
      </c>
      <c r="X109" s="46">
        <v>2.8974893119295313</v>
      </c>
      <c r="Y109" s="42">
        <f t="shared" si="7"/>
        <v>27.213701389923269</v>
      </c>
      <c r="Z109" s="33">
        <v>103.03418353779581</v>
      </c>
      <c r="AA109" s="33">
        <v>34.696005262002167</v>
      </c>
      <c r="AB109" s="33">
        <v>1.4788673190221859</v>
      </c>
      <c r="AC109" s="33">
        <v>0</v>
      </c>
      <c r="AD109" s="33">
        <v>0</v>
      </c>
      <c r="AE109" s="33">
        <v>0.96156082862165793</v>
      </c>
      <c r="AF109" s="33">
        <v>7.4712696414968844</v>
      </c>
      <c r="AG109" s="42">
        <v>44.607703051142899</v>
      </c>
    </row>
    <row r="110" spans="1:33" x14ac:dyDescent="0.2">
      <c r="A110" s="40">
        <v>44</v>
      </c>
      <c r="B110" s="40" t="s">
        <v>307</v>
      </c>
      <c r="C110" s="40">
        <v>220</v>
      </c>
      <c r="D110" s="40">
        <v>2015</v>
      </c>
      <c r="E110" s="40">
        <v>2100</v>
      </c>
      <c r="F110" s="40">
        <v>640766.50719999894</v>
      </c>
      <c r="G110" s="40">
        <v>246565.445199999</v>
      </c>
      <c r="H110" s="40">
        <v>136</v>
      </c>
      <c r="I110" s="41">
        <f t="shared" si="4"/>
        <v>23.654344685852564</v>
      </c>
      <c r="J110" s="33">
        <v>60</v>
      </c>
      <c r="K110" s="33">
        <v>523778.9</v>
      </c>
      <c r="L110" s="33">
        <v>-842.85714285714198</v>
      </c>
      <c r="M110" s="33">
        <v>683.67346938799903</v>
      </c>
      <c r="N110" s="33">
        <v>1.09770114942528</v>
      </c>
      <c r="O110" s="33">
        <v>43.720754716981098</v>
      </c>
      <c r="P110" s="33">
        <v>4.5744864491627864</v>
      </c>
      <c r="Q110" s="46">
        <v>1.09770114942528</v>
      </c>
      <c r="R110" s="46">
        <v>3.4767852997375059</v>
      </c>
      <c r="S110" s="46">
        <f t="shared" si="5"/>
        <v>4.5744864491627855</v>
      </c>
      <c r="T110" s="33">
        <v>75.584360500000173</v>
      </c>
      <c r="U110" s="42">
        <v>21.713559408189965</v>
      </c>
      <c r="V110" s="46">
        <v>2.0013908461762115</v>
      </c>
      <c r="W110" s="42">
        <f t="shared" si="6"/>
        <v>47.341588926562238</v>
      </c>
      <c r="X110" s="46">
        <v>2.9115656786013182</v>
      </c>
      <c r="Y110" s="42">
        <f t="shared" si="7"/>
        <v>68.871178137133811</v>
      </c>
      <c r="Z110" s="33">
        <v>107.83384512086714</v>
      </c>
      <c r="AA110" s="33">
        <v>33.614516297357547</v>
      </c>
      <c r="AB110" s="33">
        <v>1.4788673190221859</v>
      </c>
      <c r="AC110" s="33">
        <v>0</v>
      </c>
      <c r="AD110" s="33">
        <v>0</v>
      </c>
      <c r="AE110" s="33">
        <v>0.96156082862165793</v>
      </c>
      <c r="AF110" s="33">
        <v>7.4023745924533664</v>
      </c>
      <c r="AG110" s="42">
        <v>43.457319037454752</v>
      </c>
    </row>
    <row r="111" spans="1:33" x14ac:dyDescent="0.2">
      <c r="A111" s="40">
        <v>45</v>
      </c>
      <c r="B111" s="40" t="s">
        <v>308</v>
      </c>
      <c r="C111" s="40">
        <v>220</v>
      </c>
      <c r="D111" s="40">
        <v>2015</v>
      </c>
      <c r="E111" s="40">
        <v>2100</v>
      </c>
      <c r="F111" s="40">
        <v>676486.25300000003</v>
      </c>
      <c r="G111" s="40">
        <v>256421.06340000001</v>
      </c>
      <c r="H111" s="40">
        <v>159</v>
      </c>
      <c r="I111" s="41">
        <f t="shared" si="4"/>
        <v>27.654711801842335</v>
      </c>
      <c r="J111" s="33">
        <v>55</v>
      </c>
      <c r="K111" s="33">
        <v>1084550.1000000001</v>
      </c>
      <c r="L111" s="33">
        <v>-1082.35294117647</v>
      </c>
      <c r="M111" s="33">
        <v>558.33333333300004</v>
      </c>
      <c r="N111" s="33">
        <v>1.6666666666666601</v>
      </c>
      <c r="O111" s="33">
        <v>36.5729386892177</v>
      </c>
      <c r="P111" s="33">
        <v>5.468524192149844</v>
      </c>
      <c r="Q111" s="46">
        <v>1.6666666666666601</v>
      </c>
      <c r="R111" s="46">
        <v>3.8018575254831841</v>
      </c>
      <c r="S111" s="46">
        <f t="shared" si="5"/>
        <v>5.468524192149844</v>
      </c>
      <c r="T111" s="33">
        <v>79.107028600000149</v>
      </c>
      <c r="U111" s="42">
        <v>22.601294486820851</v>
      </c>
      <c r="V111" s="46">
        <v>1.9780146436886457</v>
      </c>
      <c r="W111" s="42">
        <f t="shared" si="6"/>
        <v>54.701424911033349</v>
      </c>
      <c r="X111" s="46">
        <v>2.8956803013755597</v>
      </c>
      <c r="Y111" s="42">
        <f t="shared" si="7"/>
        <v>80.079204204813067</v>
      </c>
      <c r="Z111" s="33">
        <v>102.65799361050932</v>
      </c>
      <c r="AA111" s="33">
        <v>34.789618927153462</v>
      </c>
      <c r="AB111" s="33">
        <v>1.4788673190221859</v>
      </c>
      <c r="AC111" s="33">
        <v>0</v>
      </c>
      <c r="AD111" s="33">
        <v>0</v>
      </c>
      <c r="AE111" s="33">
        <v>0.96156082862165793</v>
      </c>
      <c r="AF111" s="33">
        <v>7.4756443864537898</v>
      </c>
      <c r="AG111" s="42">
        <v>44.705691461251092</v>
      </c>
    </row>
    <row r="112" spans="1:33" x14ac:dyDescent="0.2">
      <c r="A112" s="40">
        <v>46</v>
      </c>
      <c r="B112" s="40" t="s">
        <v>309</v>
      </c>
      <c r="C112" s="40">
        <v>220</v>
      </c>
      <c r="D112" s="40">
        <v>2015</v>
      </c>
      <c r="E112" s="40">
        <v>2100</v>
      </c>
      <c r="F112" s="40">
        <v>691596.32519999903</v>
      </c>
      <c r="G112" s="40">
        <v>258207.731999999</v>
      </c>
      <c r="H112" s="40">
        <v>84</v>
      </c>
      <c r="I112" s="41">
        <f t="shared" si="4"/>
        <v>14.610036423614819</v>
      </c>
      <c r="J112" s="33">
        <v>80</v>
      </c>
      <c r="K112" s="33">
        <v>411726.4</v>
      </c>
      <c r="L112" s="33">
        <v>-1657.1428571428501</v>
      </c>
      <c r="M112" s="33">
        <v>514.28571428600003</v>
      </c>
      <c r="N112" s="33">
        <v>1.9310344827586201</v>
      </c>
      <c r="O112" s="33">
        <v>38.5833333333333</v>
      </c>
      <c r="P112" s="33">
        <v>5.1835853131749507</v>
      </c>
      <c r="Q112" s="46">
        <v>1.9310344827586201</v>
      </c>
      <c r="R112" s="46">
        <v>3.2525508304163311</v>
      </c>
      <c r="S112" s="46">
        <f t="shared" si="5"/>
        <v>5.1835853131749516</v>
      </c>
      <c r="T112" s="33">
        <v>78.000912400000146</v>
      </c>
      <c r="U112" s="42">
        <v>22.30338974003795</v>
      </c>
      <c r="V112" s="46">
        <v>1.9867001377974507</v>
      </c>
      <c r="W112" s="42">
        <f t="shared" si="6"/>
        <v>29.025761376021336</v>
      </c>
      <c r="X112" s="46">
        <v>2.9006849132639574</v>
      </c>
      <c r="Y112" s="42">
        <f t="shared" si="7"/>
        <v>42.379112236216407</v>
      </c>
      <c r="Z112" s="33">
        <v>104.23315205351655</v>
      </c>
      <c r="AA112" s="33">
        <v>34.415101823551332</v>
      </c>
      <c r="AB112" s="33">
        <v>1.4788673190221859</v>
      </c>
      <c r="AC112" s="33">
        <v>0</v>
      </c>
      <c r="AD112" s="33">
        <v>0</v>
      </c>
      <c r="AE112" s="33">
        <v>0.96156082862165793</v>
      </c>
      <c r="AF112" s="33">
        <v>7.4546174986884663</v>
      </c>
      <c r="AG112" s="42">
        <v>44.310147469883645</v>
      </c>
    </row>
    <row r="113" spans="1:33" x14ac:dyDescent="0.2">
      <c r="A113" s="40">
        <v>47</v>
      </c>
      <c r="B113" s="40" t="s">
        <v>310</v>
      </c>
      <c r="C113" s="40">
        <v>220</v>
      </c>
      <c r="D113" s="40">
        <v>2015</v>
      </c>
      <c r="E113" s="40">
        <v>2100</v>
      </c>
      <c r="F113" s="40">
        <v>695591.94620000001</v>
      </c>
      <c r="G113" s="40">
        <v>259780.95120000001</v>
      </c>
      <c r="H113" s="40">
        <v>112</v>
      </c>
      <c r="I113" s="41">
        <f t="shared" si="4"/>
        <v>19.480048564819757</v>
      </c>
      <c r="J113" s="33">
        <v>90</v>
      </c>
      <c r="K113" s="33">
        <v>968996.09999999905</v>
      </c>
      <c r="L113" s="33">
        <v>-1938.4615384615299</v>
      </c>
      <c r="M113" s="33">
        <v>555.55555555599904</v>
      </c>
      <c r="N113" s="33">
        <v>2.4375</v>
      </c>
      <c r="O113" s="33">
        <v>37.024193548386997</v>
      </c>
      <c r="P113" s="33">
        <v>5.401873230233079</v>
      </c>
      <c r="Q113" s="46">
        <v>2.4375</v>
      </c>
      <c r="R113" s="46">
        <v>2.964373230233079</v>
      </c>
      <c r="S113" s="46">
        <f t="shared" si="5"/>
        <v>5.401873230233079</v>
      </c>
      <c r="T113" s="33">
        <v>78.851248600000133</v>
      </c>
      <c r="U113" s="42">
        <v>22.530638783875879</v>
      </c>
      <c r="V113" s="46">
        <v>1.9801205533502722</v>
      </c>
      <c r="W113" s="42">
        <f t="shared" si="6"/>
        <v>38.572844543461073</v>
      </c>
      <c r="X113" s="46">
        <v>2.8969043294479722</v>
      </c>
      <c r="Y113" s="42">
        <f t="shared" si="7"/>
        <v>56.431837025283109</v>
      </c>
      <c r="Z113" s="33">
        <v>103.01996118688137</v>
      </c>
      <c r="AA113" s="33">
        <v>34.702014437028545</v>
      </c>
      <c r="AB113" s="33">
        <v>1.4788673190221859</v>
      </c>
      <c r="AC113" s="33">
        <v>0</v>
      </c>
      <c r="AD113" s="33">
        <v>0</v>
      </c>
      <c r="AE113" s="33">
        <v>0.96156082862165793</v>
      </c>
      <c r="AF113" s="33">
        <v>7.470938351391025</v>
      </c>
      <c r="AG113" s="42">
        <v>44.613380936063407</v>
      </c>
    </row>
    <row r="114" spans="1:33" x14ac:dyDescent="0.2">
      <c r="A114" s="40">
        <v>48</v>
      </c>
      <c r="B114" s="40" t="s">
        <v>311</v>
      </c>
      <c r="C114" s="40">
        <v>220</v>
      </c>
      <c r="D114" s="40">
        <v>2015</v>
      </c>
      <c r="E114" s="40">
        <v>2100</v>
      </c>
      <c r="F114" s="40">
        <v>761765.77269999904</v>
      </c>
      <c r="G114" s="40">
        <v>245460.7366</v>
      </c>
      <c r="H114" s="40">
        <v>141</v>
      </c>
      <c r="I114" s="41">
        <f t="shared" si="4"/>
        <v>24.523989711067731</v>
      </c>
      <c r="J114" s="33">
        <v>157.5</v>
      </c>
      <c r="K114" s="33">
        <v>518620.59999999899</v>
      </c>
      <c r="L114" s="33">
        <v>-5150</v>
      </c>
      <c r="M114" s="33">
        <v>831.81818181799895</v>
      </c>
      <c r="N114" s="33">
        <v>5.8181818181818103</v>
      </c>
      <c r="O114" s="33">
        <v>26.627737226277301</v>
      </c>
      <c r="P114" s="33">
        <v>7.5109649122807216</v>
      </c>
      <c r="Q114" s="46">
        <v>5.8181818181818103</v>
      </c>
      <c r="R114" s="46">
        <v>1.692783094098911</v>
      </c>
      <c r="S114" s="46">
        <f t="shared" si="5"/>
        <v>7.5109649122807216</v>
      </c>
      <c r="T114" s="33">
        <v>86.488236200000131</v>
      </c>
      <c r="U114" s="42">
        <v>24.689720479281263</v>
      </c>
      <c r="V114" s="46">
        <v>1.9082212599502071</v>
      </c>
      <c r="W114" s="42">
        <f t="shared" si="6"/>
        <v>46.79719854545958</v>
      </c>
      <c r="X114" s="46">
        <v>2.8466005969558159</v>
      </c>
      <c r="Y114" s="42">
        <f t="shared" si="7"/>
        <v>69.810003751263693</v>
      </c>
      <c r="Z114" s="33">
        <v>92.840779018599179</v>
      </c>
      <c r="AA114" s="33">
        <v>37.474155995364015</v>
      </c>
      <c r="AB114" s="33">
        <v>1.4788673190221859</v>
      </c>
      <c r="AC114" s="33">
        <v>0</v>
      </c>
      <c r="AD114" s="33">
        <v>0</v>
      </c>
      <c r="AE114" s="33">
        <v>0.96156082862165793</v>
      </c>
      <c r="AF114" s="33">
        <v>7.1988653777846636</v>
      </c>
      <c r="AG114" s="42">
        <v>47.113449520792521</v>
      </c>
    </row>
    <row r="115" spans="1:33" x14ac:dyDescent="0.2">
      <c r="A115" s="40">
        <v>49</v>
      </c>
      <c r="B115" s="40" t="s">
        <v>312</v>
      </c>
      <c r="C115" s="40">
        <v>220</v>
      </c>
      <c r="D115" s="40">
        <v>2015</v>
      </c>
      <c r="E115" s="40">
        <v>2100</v>
      </c>
      <c r="F115" s="40">
        <v>631991.57889999903</v>
      </c>
      <c r="G115" s="40">
        <v>258204.37369999901</v>
      </c>
      <c r="H115" s="40">
        <v>236</v>
      </c>
      <c r="I115" s="41">
        <f t="shared" si="4"/>
        <v>41.04724519015592</v>
      </c>
      <c r="K115" s="33">
        <v>405077.59999999899</v>
      </c>
      <c r="L115" s="33">
        <v>-57.142857142857103</v>
      </c>
      <c r="M115" s="33">
        <v>669.13580246900005</v>
      </c>
      <c r="N115" s="33">
        <v>0.765625</v>
      </c>
      <c r="O115" s="33">
        <v>26.63</v>
      </c>
      <c r="P115" s="33">
        <v>7.5103266992114159</v>
      </c>
      <c r="Q115" s="46">
        <v>0.765625</v>
      </c>
      <c r="R115" s="46">
        <v>6.7447016992114159</v>
      </c>
      <c r="S115" s="46">
        <f t="shared" si="5"/>
        <v>7.5103266992114159</v>
      </c>
      <c r="T115" s="33">
        <v>86.488236200000131</v>
      </c>
      <c r="U115" s="42">
        <v>24.688980440225262</v>
      </c>
      <c r="V115" s="46">
        <v>1.9082506603425118</v>
      </c>
      <c r="W115" s="42">
        <f t="shared" si="6"/>
        <v>78.328432739356018</v>
      </c>
      <c r="X115" s="46">
        <v>2.8466814544608079</v>
      </c>
      <c r="Y115" s="42">
        <f t="shared" si="7"/>
        <v>116.84843163952246</v>
      </c>
      <c r="Z115" s="33">
        <v>92.842505107020429</v>
      </c>
      <c r="AA115" s="33">
        <v>37.47331714279656</v>
      </c>
      <c r="AB115" s="33">
        <v>1.4788673190221859</v>
      </c>
      <c r="AC115" s="33">
        <v>0</v>
      </c>
      <c r="AD115" s="33">
        <v>0</v>
      </c>
      <c r="AE115" s="33">
        <v>0.96156082862165793</v>
      </c>
      <c r="AF115" s="33">
        <v>7.1990179378028039</v>
      </c>
      <c r="AG115" s="42">
        <v>47.11276322824321</v>
      </c>
    </row>
    <row r="116" spans="1:33" x14ac:dyDescent="0.2">
      <c r="A116" s="40">
        <v>114</v>
      </c>
      <c r="B116" s="40" t="s">
        <v>313</v>
      </c>
      <c r="C116" s="40">
        <v>220</v>
      </c>
      <c r="D116" s="40">
        <v>2015</v>
      </c>
      <c r="E116" s="40">
        <v>2100</v>
      </c>
      <c r="F116" s="40">
        <v>610441.10120000003</v>
      </c>
      <c r="G116" s="40">
        <v>261544.968499999</v>
      </c>
      <c r="H116" s="40">
        <v>296</v>
      </c>
      <c r="I116" s="41">
        <f t="shared" si="4"/>
        <v>51.482985492737932</v>
      </c>
      <c r="J116" s="33">
        <v>0</v>
      </c>
      <c r="K116" s="33">
        <v>3251684.6</v>
      </c>
      <c r="L116" s="33">
        <v>0</v>
      </c>
      <c r="M116" s="33">
        <v>635.18518518500002</v>
      </c>
      <c r="N116" s="33">
        <v>0</v>
      </c>
      <c r="O116" s="33">
        <v>25</v>
      </c>
      <c r="P116" s="33">
        <v>8</v>
      </c>
      <c r="Q116" s="46">
        <v>0</v>
      </c>
      <c r="R116" s="46">
        <v>8</v>
      </c>
      <c r="S116" s="46">
        <f t="shared" si="5"/>
        <v>8</v>
      </c>
      <c r="T116" s="33">
        <v>87.409132400000146</v>
      </c>
      <c r="U116" s="42">
        <v>25.274319168539908</v>
      </c>
      <c r="V116" s="46">
        <v>1.885782209063388</v>
      </c>
      <c r="W116" s="42">
        <f t="shared" si="6"/>
        <v>97.085698111673693</v>
      </c>
      <c r="X116" s="46">
        <v>2.8098899699570712</v>
      </c>
      <c r="Y116" s="42">
        <f t="shared" si="7"/>
        <v>144.66152455948972</v>
      </c>
      <c r="Z116" s="33">
        <v>91.097363866379993</v>
      </c>
      <c r="AA116" s="33">
        <v>38.116932457710448</v>
      </c>
      <c r="AB116" s="33">
        <v>1.4788673190221859</v>
      </c>
      <c r="AC116" s="33">
        <v>0</v>
      </c>
      <c r="AD116" s="33">
        <v>0</v>
      </c>
      <c r="AE116" s="33">
        <v>0.96156082862165793</v>
      </c>
      <c r="AF116" s="33">
        <v>7.1045008288680265</v>
      </c>
      <c r="AG116" s="42">
        <v>47.661861434222317</v>
      </c>
    </row>
    <row r="117" spans="1:33" x14ac:dyDescent="0.2">
      <c r="A117" s="40">
        <v>115</v>
      </c>
      <c r="B117" s="40" t="s">
        <v>314</v>
      </c>
      <c r="C117" s="40">
        <v>220</v>
      </c>
      <c r="D117" s="40">
        <v>2015</v>
      </c>
      <c r="E117" s="40">
        <v>2100</v>
      </c>
      <c r="F117" s="40">
        <v>617716.70510000002</v>
      </c>
      <c r="G117" s="40">
        <v>263463.51339999901</v>
      </c>
      <c r="H117" s="40">
        <v>132</v>
      </c>
      <c r="I117" s="41">
        <f t="shared" si="4"/>
        <v>22.958628665680429</v>
      </c>
      <c r="J117" s="33">
        <v>0</v>
      </c>
      <c r="K117" s="33">
        <v>1061450</v>
      </c>
      <c r="L117" s="33">
        <v>0</v>
      </c>
      <c r="M117" s="33">
        <v>558.33333333300004</v>
      </c>
      <c r="N117" s="33">
        <v>0</v>
      </c>
      <c r="O117" s="33">
        <v>25</v>
      </c>
      <c r="P117" s="33">
        <v>8</v>
      </c>
      <c r="Q117" s="46">
        <v>0</v>
      </c>
      <c r="R117" s="46">
        <v>8</v>
      </c>
      <c r="S117" s="46">
        <f t="shared" si="5"/>
        <v>8</v>
      </c>
      <c r="T117" s="33">
        <v>87.409132400000146</v>
      </c>
      <c r="U117" s="42">
        <v>25.274319168539908</v>
      </c>
      <c r="V117" s="46">
        <v>1.885782209063388</v>
      </c>
      <c r="W117" s="42">
        <f t="shared" si="6"/>
        <v>43.294973482232862</v>
      </c>
      <c r="X117" s="46">
        <v>2.8098899699570712</v>
      </c>
      <c r="Y117" s="42">
        <f t="shared" si="7"/>
        <v>64.51122041166434</v>
      </c>
      <c r="Z117" s="33">
        <v>91.097363866379993</v>
      </c>
      <c r="AA117" s="33">
        <v>38.116932457710448</v>
      </c>
      <c r="AB117" s="33">
        <v>1.4788673190221859</v>
      </c>
      <c r="AC117" s="33">
        <v>0</v>
      </c>
      <c r="AD117" s="33">
        <v>0</v>
      </c>
      <c r="AE117" s="33">
        <v>0.96156082862165793</v>
      </c>
      <c r="AF117" s="33">
        <v>7.1045008288680265</v>
      </c>
      <c r="AG117" s="42">
        <v>47.661861434222317</v>
      </c>
    </row>
    <row r="118" spans="1:33" x14ac:dyDescent="0.2">
      <c r="A118" s="40">
        <v>50</v>
      </c>
      <c r="B118" s="40" t="s">
        <v>315</v>
      </c>
      <c r="C118" s="40">
        <v>220</v>
      </c>
      <c r="D118" s="40">
        <v>2015</v>
      </c>
      <c r="E118" s="40">
        <v>2100</v>
      </c>
      <c r="F118" s="40">
        <v>712592.41359999904</v>
      </c>
      <c r="G118" s="40">
        <v>261994.69080000001</v>
      </c>
      <c r="H118" s="40">
        <v>393</v>
      </c>
      <c r="I118" s="41">
        <f t="shared" si="4"/>
        <v>68.354098981912188</v>
      </c>
      <c r="J118" s="33">
        <v>108.888888888888</v>
      </c>
      <c r="K118" s="33">
        <v>1099711.6999999899</v>
      </c>
      <c r="L118" s="33">
        <v>-2636</v>
      </c>
      <c r="M118" s="33">
        <v>710.43478260899894</v>
      </c>
      <c r="N118" s="33">
        <v>3.24152542372881</v>
      </c>
      <c r="O118" s="33">
        <v>34.767660910518003</v>
      </c>
      <c r="P118" s="33">
        <v>5.7524721181198437</v>
      </c>
      <c r="Q118" s="46">
        <v>3.24152542372881</v>
      </c>
      <c r="R118" s="46">
        <v>2.5109466943910341</v>
      </c>
      <c r="S118" s="46">
        <f t="shared" si="5"/>
        <v>5.7524721181198437</v>
      </c>
      <c r="T118" s="33">
        <v>81.760086700000144</v>
      </c>
      <c r="U118" s="42">
        <v>22.881347514841181</v>
      </c>
      <c r="V118" s="46">
        <v>1.9718393724002401</v>
      </c>
      <c r="W118" s="42">
        <f t="shared" si="6"/>
        <v>134.78330363747762</v>
      </c>
      <c r="X118" s="46">
        <v>2.9346118437986766</v>
      </c>
      <c r="Y118" s="42">
        <f t="shared" si="7"/>
        <v>200.59274844450655</v>
      </c>
      <c r="Z118" s="33">
        <v>100.23820823356341</v>
      </c>
      <c r="AA118" s="33">
        <v>35.162833544936412</v>
      </c>
      <c r="AB118" s="33">
        <v>1.4788673190221859</v>
      </c>
      <c r="AC118" s="33">
        <v>0</v>
      </c>
      <c r="AD118" s="33">
        <v>0</v>
      </c>
      <c r="AE118" s="33">
        <v>0.96156082862165793</v>
      </c>
      <c r="AF118" s="33">
        <v>7.5150802307559781</v>
      </c>
      <c r="AG118" s="42">
        <v>45.118341923336232</v>
      </c>
    </row>
    <row r="119" spans="1:33" x14ac:dyDescent="0.2">
      <c r="A119" s="40">
        <v>51</v>
      </c>
      <c r="B119" s="40" t="s">
        <v>316</v>
      </c>
      <c r="C119" s="40">
        <v>220</v>
      </c>
      <c r="D119" s="40">
        <v>2015</v>
      </c>
      <c r="E119" s="40">
        <v>2100</v>
      </c>
      <c r="F119" s="40">
        <v>658908.22580000001</v>
      </c>
      <c r="G119" s="40">
        <v>253304.60099999901</v>
      </c>
      <c r="H119" s="40">
        <v>131</v>
      </c>
      <c r="I119" s="41">
        <f t="shared" si="4"/>
        <v>22.784699660637393</v>
      </c>
      <c r="J119" s="33">
        <v>55</v>
      </c>
      <c r="K119" s="33">
        <v>1127038.8</v>
      </c>
      <c r="L119" s="33">
        <v>-750</v>
      </c>
      <c r="M119" s="33">
        <v>480.95238095199898</v>
      </c>
      <c r="N119" s="33">
        <v>1.3</v>
      </c>
      <c r="O119" s="33">
        <v>38.169811320754697</v>
      </c>
      <c r="P119" s="33">
        <v>5.2397429560059354</v>
      </c>
      <c r="Q119" s="46">
        <v>1.3</v>
      </c>
      <c r="R119" s="46">
        <v>3.9397429560059352</v>
      </c>
      <c r="S119" s="46">
        <f t="shared" si="5"/>
        <v>5.2397429560059354</v>
      </c>
      <c r="T119" s="33">
        <v>78.225028600000144</v>
      </c>
      <c r="U119" s="42">
        <v>22.361238743331548</v>
      </c>
      <c r="V119" s="46">
        <v>1.9850610761543648</v>
      </c>
      <c r="W119" s="42">
        <f t="shared" si="6"/>
        <v>45.229020428198851</v>
      </c>
      <c r="X119" s="46">
        <v>2.8998438431266034</v>
      </c>
      <c r="Y119" s="42">
        <f t="shared" si="7"/>
        <v>66.072071028388152</v>
      </c>
      <c r="Z119" s="33">
        <v>103.91466794113336</v>
      </c>
      <c r="AA119" s="33">
        <v>34.488914136612465</v>
      </c>
      <c r="AB119" s="33">
        <v>1.4788673190221859</v>
      </c>
      <c r="AC119" s="33">
        <v>0</v>
      </c>
      <c r="AD119" s="33">
        <v>0</v>
      </c>
      <c r="AE119" s="33">
        <v>0.96156082862165793</v>
      </c>
      <c r="AF119" s="33">
        <v>7.4590823597260831</v>
      </c>
      <c r="AG119" s="42">
        <v>44.388424643982397</v>
      </c>
    </row>
    <row r="120" spans="1:33" x14ac:dyDescent="0.2">
      <c r="A120" s="40">
        <v>52</v>
      </c>
      <c r="B120" s="40" t="s">
        <v>317</v>
      </c>
      <c r="C120" s="40">
        <v>220</v>
      </c>
      <c r="D120" s="40">
        <v>2015</v>
      </c>
      <c r="E120" s="40">
        <v>2100</v>
      </c>
      <c r="F120" s="40">
        <v>640173.5331</v>
      </c>
      <c r="G120" s="40">
        <v>266393.05560000002</v>
      </c>
      <c r="H120" s="40">
        <v>84</v>
      </c>
      <c r="I120" s="41">
        <f t="shared" si="4"/>
        <v>14.610036423614819</v>
      </c>
      <c r="K120" s="33">
        <v>191498.799999999</v>
      </c>
      <c r="L120" s="33">
        <v>100</v>
      </c>
      <c r="M120" s="33">
        <v>447.36842105300002</v>
      </c>
      <c r="N120" s="33">
        <v>0.43333333333333302</v>
      </c>
      <c r="O120" s="33">
        <v>25.5</v>
      </c>
      <c r="P120" s="33">
        <v>7.8431372549019596</v>
      </c>
      <c r="Q120" s="46">
        <v>0.43333333333333302</v>
      </c>
      <c r="R120" s="46">
        <v>7.4098039215686278</v>
      </c>
      <c r="S120" s="46">
        <f t="shared" si="5"/>
        <v>7.8431372549019605</v>
      </c>
      <c r="T120" s="33">
        <v>87.133904300000125</v>
      </c>
      <c r="U120" s="42">
        <v>25.082971331589867</v>
      </c>
      <c r="V120" s="46">
        <v>1.8931694986741461</v>
      </c>
      <c r="W120" s="42">
        <f t="shared" si="6"/>
        <v>27.659275331705881</v>
      </c>
      <c r="X120" s="46">
        <v>2.8223272185039221</v>
      </c>
      <c r="Y120" s="42">
        <f t="shared" si="7"/>
        <v>41.234303461701799</v>
      </c>
      <c r="Z120" s="33">
        <v>91.643580844017137</v>
      </c>
      <c r="AA120" s="33">
        <v>37.910755676329991</v>
      </c>
      <c r="AB120" s="33">
        <v>1.4788673190221859</v>
      </c>
      <c r="AC120" s="33">
        <v>0</v>
      </c>
      <c r="AD120" s="33">
        <v>0</v>
      </c>
      <c r="AE120" s="33">
        <v>0.96156082862165793</v>
      </c>
      <c r="AF120" s="33">
        <v>7.1351324371101343</v>
      </c>
      <c r="AG120" s="42">
        <v>47.486316261083971</v>
      </c>
    </row>
    <row r="121" spans="1:33" x14ac:dyDescent="0.2">
      <c r="A121" s="40">
        <v>53</v>
      </c>
      <c r="B121" s="40" t="s">
        <v>318</v>
      </c>
      <c r="C121" s="40">
        <v>220</v>
      </c>
      <c r="D121" s="40">
        <v>2015</v>
      </c>
      <c r="E121" s="40">
        <v>2100</v>
      </c>
      <c r="F121" s="40">
        <v>646018.20349999901</v>
      </c>
      <c r="G121" s="40">
        <v>266889.20850000001</v>
      </c>
      <c r="H121" s="40">
        <v>86</v>
      </c>
      <c r="I121" s="41">
        <f t="shared" si="4"/>
        <v>14.957894433700885</v>
      </c>
      <c r="K121" s="33">
        <v>146590.20000000001</v>
      </c>
      <c r="L121" s="33">
        <v>-10</v>
      </c>
      <c r="M121" s="33">
        <v>437.5</v>
      </c>
      <c r="N121" s="33">
        <v>0.5</v>
      </c>
      <c r="O121" s="33">
        <v>25.4</v>
      </c>
      <c r="P121" s="33">
        <v>7.8740157480314963</v>
      </c>
      <c r="Q121" s="46">
        <v>0.5</v>
      </c>
      <c r="R121" s="46">
        <v>7.3740157480314963</v>
      </c>
      <c r="S121" s="46">
        <f t="shared" si="5"/>
        <v>7.8740157480314963</v>
      </c>
      <c r="T121" s="33">
        <v>87.192248600000141</v>
      </c>
      <c r="U121" s="42">
        <v>25.1203516608991</v>
      </c>
      <c r="V121" s="46">
        <v>1.8917315784341464</v>
      </c>
      <c r="W121" s="42">
        <f t="shared" si="6"/>
        <v>28.296321247116307</v>
      </c>
      <c r="X121" s="46">
        <v>2.8200030827706728</v>
      </c>
      <c r="Y121" s="42">
        <f t="shared" si="7"/>
        <v>42.181308414794785</v>
      </c>
      <c r="Z121" s="33">
        <v>91.533893086644312</v>
      </c>
      <c r="AA121" s="33">
        <v>37.951341656916696</v>
      </c>
      <c r="AB121" s="33">
        <v>1.4788673190221859</v>
      </c>
      <c r="AC121" s="33">
        <v>0</v>
      </c>
      <c r="AD121" s="33">
        <v>0</v>
      </c>
      <c r="AE121" s="33">
        <v>0.96156082862165793</v>
      </c>
      <c r="AF121" s="33">
        <v>7.1291926937329508</v>
      </c>
      <c r="AG121" s="42">
        <v>47.520962498293493</v>
      </c>
    </row>
    <row r="122" spans="1:33" x14ac:dyDescent="0.2">
      <c r="A122" s="40">
        <v>54</v>
      </c>
      <c r="B122" s="40" t="s">
        <v>319</v>
      </c>
      <c r="C122" s="40">
        <v>220</v>
      </c>
      <c r="D122" s="40">
        <v>2015</v>
      </c>
      <c r="E122" s="40">
        <v>2100</v>
      </c>
      <c r="F122" s="40">
        <v>659737.82880000002</v>
      </c>
      <c r="G122" s="40">
        <v>267663.67210000003</v>
      </c>
      <c r="H122" s="40">
        <v>156</v>
      </c>
      <c r="I122" s="41">
        <f t="shared" si="4"/>
        <v>27.132924786713232</v>
      </c>
      <c r="J122" s="33">
        <v>40</v>
      </c>
      <c r="K122" s="33">
        <v>413782.5</v>
      </c>
      <c r="L122" s="33">
        <v>-381.81818181818102</v>
      </c>
      <c r="M122" s="33">
        <v>500</v>
      </c>
      <c r="N122" s="33">
        <v>0.65</v>
      </c>
      <c r="O122" s="33">
        <v>39.527093596059103</v>
      </c>
      <c r="P122" s="33">
        <v>5.0598205383848471</v>
      </c>
      <c r="Q122" s="46">
        <v>0.65</v>
      </c>
      <c r="R122" s="46">
        <v>4.4098205383848468</v>
      </c>
      <c r="S122" s="46">
        <f t="shared" si="5"/>
        <v>5.0598205383848471</v>
      </c>
      <c r="T122" s="33">
        <v>77.50174240000014</v>
      </c>
      <c r="U122" s="42">
        <v>22.177424868027551</v>
      </c>
      <c r="V122" s="46">
        <v>1.9901891491914574</v>
      </c>
      <c r="W122" s="42">
        <f t="shared" si="6"/>
        <v>53.999652496344616</v>
      </c>
      <c r="X122" s="46">
        <v>2.9024486453265763</v>
      </c>
      <c r="Y122" s="42">
        <f t="shared" si="7"/>
        <v>78.7519207909437</v>
      </c>
      <c r="Z122" s="33">
        <v>104.94638630541159</v>
      </c>
      <c r="AA122" s="33">
        <v>34.252428252471404</v>
      </c>
      <c r="AB122" s="33">
        <v>1.4788673190221859</v>
      </c>
      <c r="AC122" s="33">
        <v>0</v>
      </c>
      <c r="AD122" s="33">
        <v>0</v>
      </c>
      <c r="AE122" s="33">
        <v>0.96156082862165793</v>
      </c>
      <c r="AF122" s="33">
        <v>7.4444139292419758</v>
      </c>
      <c r="AG122" s="42">
        <v>44.137270329357221</v>
      </c>
    </row>
    <row r="123" spans="1:33" x14ac:dyDescent="0.2">
      <c r="A123" s="40">
        <v>55</v>
      </c>
      <c r="B123" s="40" t="s">
        <v>320</v>
      </c>
      <c r="C123" s="40">
        <v>220</v>
      </c>
      <c r="D123" s="40">
        <v>2015</v>
      </c>
      <c r="E123" s="40">
        <v>2100</v>
      </c>
      <c r="F123" s="40">
        <v>694863.73289999901</v>
      </c>
      <c r="G123" s="40">
        <v>265695.42479999899</v>
      </c>
      <c r="H123" s="40">
        <v>176</v>
      </c>
      <c r="I123" s="41">
        <f t="shared" si="4"/>
        <v>30.611504887573904</v>
      </c>
      <c r="J123" s="33">
        <v>65</v>
      </c>
      <c r="K123" s="33">
        <v>517942.09999999899</v>
      </c>
      <c r="L123" s="33">
        <v>-1209.0909090908999</v>
      </c>
      <c r="M123" s="33">
        <v>486.95652173899902</v>
      </c>
      <c r="N123" s="33">
        <v>1.5714285714285701</v>
      </c>
      <c r="O123" s="33">
        <v>41.816433566433503</v>
      </c>
      <c r="P123" s="33">
        <v>4.7828086458464059</v>
      </c>
      <c r="Q123" s="46">
        <v>1.5714285714285701</v>
      </c>
      <c r="R123" s="46">
        <v>3.211380074417836</v>
      </c>
      <c r="S123" s="46">
        <f t="shared" si="5"/>
        <v>4.7828086458464059</v>
      </c>
      <c r="T123" s="33">
        <v>76.415074300000143</v>
      </c>
      <c r="U123" s="42">
        <v>21.90574568520611</v>
      </c>
      <c r="V123" s="46">
        <v>1.9972068080838401</v>
      </c>
      <c r="W123" s="42">
        <f t="shared" si="6"/>
        <v>61.137505967154347</v>
      </c>
      <c r="X123" s="46">
        <v>2.9076370128382143</v>
      </c>
      <c r="Y123" s="42">
        <f t="shared" si="7"/>
        <v>89.007144629787788</v>
      </c>
      <c r="Z123" s="33">
        <v>106.56527770065942</v>
      </c>
      <c r="AA123" s="33">
        <v>33.888330197372419</v>
      </c>
      <c r="AB123" s="33">
        <v>1.4788673190221859</v>
      </c>
      <c r="AC123" s="33">
        <v>0</v>
      </c>
      <c r="AD123" s="33">
        <v>0</v>
      </c>
      <c r="AE123" s="33">
        <v>0.96156082862165793</v>
      </c>
      <c r="AF123" s="33">
        <v>7.4215460736305801</v>
      </c>
      <c r="AG123" s="42">
        <v>43.750304418646849</v>
      </c>
    </row>
    <row r="124" spans="1:33" x14ac:dyDescent="0.2">
      <c r="A124" s="40">
        <v>56</v>
      </c>
      <c r="B124" s="40" t="s">
        <v>321</v>
      </c>
      <c r="C124" s="40">
        <v>220</v>
      </c>
      <c r="D124" s="40">
        <v>2015</v>
      </c>
      <c r="E124" s="40">
        <v>2100</v>
      </c>
      <c r="F124" s="40">
        <v>677906.98439999903</v>
      </c>
      <c r="G124" s="40">
        <v>269726.49829999899</v>
      </c>
      <c r="H124" s="40">
        <v>282</v>
      </c>
      <c r="I124" s="41">
        <f t="shared" si="4"/>
        <v>49.047979422135462</v>
      </c>
      <c r="J124" s="33">
        <v>48</v>
      </c>
      <c r="K124" s="33">
        <v>517057.2</v>
      </c>
      <c r="L124" s="33">
        <v>-631.81818181818096</v>
      </c>
      <c r="M124" s="33">
        <v>531.81818181799895</v>
      </c>
      <c r="N124" s="33">
        <v>0.96052631578947401</v>
      </c>
      <c r="O124" s="33">
        <v>41.935370152761401</v>
      </c>
      <c r="P124" s="33">
        <v>4.7692437021884784</v>
      </c>
      <c r="Q124" s="46">
        <v>0.96052631578947401</v>
      </c>
      <c r="R124" s="46">
        <v>3.808717386399004</v>
      </c>
      <c r="S124" s="46">
        <f t="shared" si="5"/>
        <v>4.7692437021884784</v>
      </c>
      <c r="T124" s="33">
        <v>76.36136050000016</v>
      </c>
      <c r="U124" s="42">
        <v>21.892895848848539</v>
      </c>
      <c r="V124" s="46">
        <v>1.9975101672924065</v>
      </c>
      <c r="W124" s="42">
        <f t="shared" si="6"/>
        <v>97.973837580864313</v>
      </c>
      <c r="X124" s="46">
        <v>2.9078918062304671</v>
      </c>
      <c r="Y124" s="42">
        <f t="shared" si="7"/>
        <v>142.62621747378827</v>
      </c>
      <c r="Z124" s="33">
        <v>106.64646675760066</v>
      </c>
      <c r="AA124" s="33">
        <v>33.870500747675806</v>
      </c>
      <c r="AB124" s="33">
        <v>1.4788673190221859</v>
      </c>
      <c r="AC124" s="33">
        <v>0</v>
      </c>
      <c r="AD124" s="33">
        <v>0</v>
      </c>
      <c r="AE124" s="33">
        <v>0.96156082862165793</v>
      </c>
      <c r="AF124" s="33">
        <v>7.4203531542290291</v>
      </c>
      <c r="AG124" s="42">
        <v>43.731282049548675</v>
      </c>
    </row>
    <row r="125" spans="1:33" x14ac:dyDescent="0.2">
      <c r="A125" s="40">
        <v>123</v>
      </c>
      <c r="B125" s="40" t="s">
        <v>322</v>
      </c>
      <c r="C125" s="40">
        <v>380</v>
      </c>
      <c r="D125" s="40">
        <v>2015</v>
      </c>
      <c r="E125" s="40">
        <v>2100</v>
      </c>
      <c r="F125" s="40">
        <v>623714.09949999896</v>
      </c>
      <c r="G125" s="40">
        <v>265583.62060000002</v>
      </c>
      <c r="H125" s="40">
        <v>73</v>
      </c>
      <c r="I125" s="41">
        <f t="shared" si="4"/>
        <v>12.696817368141449</v>
      </c>
      <c r="J125" s="33">
        <v>0</v>
      </c>
      <c r="K125" s="33">
        <v>407781.2</v>
      </c>
      <c r="L125" s="33">
        <v>0</v>
      </c>
      <c r="M125" s="33">
        <v>458.33333333299902</v>
      </c>
      <c r="N125" s="33">
        <v>0</v>
      </c>
      <c r="O125" s="33">
        <v>25</v>
      </c>
      <c r="P125" s="33">
        <v>8</v>
      </c>
      <c r="Q125" s="46">
        <v>0</v>
      </c>
      <c r="R125" s="46">
        <v>8</v>
      </c>
      <c r="S125" s="46">
        <f t="shared" si="5"/>
        <v>8</v>
      </c>
      <c r="T125" s="33">
        <v>87.409132400000146</v>
      </c>
      <c r="U125" s="42">
        <v>25.274319168539908</v>
      </c>
      <c r="V125" s="46">
        <v>1.885782209063388</v>
      </c>
      <c r="W125" s="42">
        <f t="shared" si="6"/>
        <v>23.943432304568173</v>
      </c>
      <c r="X125" s="46">
        <v>2.8098899699570712</v>
      </c>
      <c r="Y125" s="42">
        <f t="shared" si="7"/>
        <v>35.676659773117393</v>
      </c>
      <c r="Z125" s="33">
        <v>91.097363866379993</v>
      </c>
      <c r="AA125" s="33">
        <v>38.116932457710448</v>
      </c>
      <c r="AB125" s="33">
        <v>1.4788673190221859</v>
      </c>
      <c r="AC125" s="33">
        <v>0</v>
      </c>
      <c r="AD125" s="33">
        <v>0</v>
      </c>
      <c r="AE125" s="33">
        <v>0.96156082862165793</v>
      </c>
      <c r="AF125" s="33">
        <v>7.1045008288680265</v>
      </c>
      <c r="AG125" s="42">
        <v>47.661861434222317</v>
      </c>
    </row>
    <row r="126" spans="1:33" x14ac:dyDescent="0.2">
      <c r="A126" s="40">
        <v>57</v>
      </c>
      <c r="B126" s="40" t="s">
        <v>323</v>
      </c>
      <c r="C126" s="40">
        <v>220</v>
      </c>
      <c r="D126" s="40">
        <v>2015</v>
      </c>
      <c r="E126" s="40">
        <v>2100</v>
      </c>
      <c r="F126" s="40">
        <v>724494.86129999894</v>
      </c>
      <c r="G126" s="40">
        <v>269165.3971</v>
      </c>
      <c r="H126" s="40">
        <v>496</v>
      </c>
      <c r="I126" s="41">
        <f t="shared" si="4"/>
        <v>86.268786501344636</v>
      </c>
      <c r="J126" s="33">
        <v>100</v>
      </c>
      <c r="K126" s="33">
        <v>1042475.6999999901</v>
      </c>
      <c r="L126" s="33">
        <v>-2270.8333333333298</v>
      </c>
      <c r="M126" s="33">
        <v>560.41666666699905</v>
      </c>
      <c r="N126" s="33">
        <v>3.11231884057971</v>
      </c>
      <c r="O126" s="33">
        <v>33.464163822525499</v>
      </c>
      <c r="P126" s="33">
        <v>5.9765425803161829</v>
      </c>
      <c r="Q126" s="46">
        <v>3.11231884057971</v>
      </c>
      <c r="R126" s="46">
        <v>2.8642237397364729</v>
      </c>
      <c r="S126" s="46">
        <f t="shared" si="5"/>
        <v>5.9765425803161829</v>
      </c>
      <c r="T126" s="33">
        <v>82.517638600000126</v>
      </c>
      <c r="U126" s="42">
        <v>23.085443101978782</v>
      </c>
      <c r="V126" s="46">
        <v>1.9655319038140364</v>
      </c>
      <c r="W126" s="42">
        <f t="shared" si="6"/>
        <v>169.56405217171456</v>
      </c>
      <c r="X126" s="46">
        <v>2.9277813894558564</v>
      </c>
      <c r="Y126" s="42">
        <f t="shared" si="7"/>
        <v>252.57614760957742</v>
      </c>
      <c r="Z126" s="33">
        <v>99.159192607406567</v>
      </c>
      <c r="AA126" s="33">
        <v>35.457346602636612</v>
      </c>
      <c r="AB126" s="33">
        <v>1.4788673190221859</v>
      </c>
      <c r="AC126" s="33">
        <v>0</v>
      </c>
      <c r="AD126" s="33">
        <v>0</v>
      </c>
      <c r="AE126" s="33">
        <v>0.96156082862165793</v>
      </c>
      <c r="AF126" s="33">
        <v>7.4774001803425101</v>
      </c>
      <c r="AG126" s="42">
        <v>45.375174930622975</v>
      </c>
    </row>
    <row r="127" spans="1:33" x14ac:dyDescent="0.2">
      <c r="A127" s="40">
        <v>58</v>
      </c>
      <c r="B127" s="40" t="s">
        <v>324</v>
      </c>
      <c r="C127" s="40">
        <v>220</v>
      </c>
      <c r="D127" s="40">
        <v>2015</v>
      </c>
      <c r="E127" s="40">
        <v>2100</v>
      </c>
      <c r="F127" s="40">
        <v>750377.40879999904</v>
      </c>
      <c r="G127" s="40">
        <v>261080.08329999901</v>
      </c>
      <c r="H127" s="40">
        <v>391</v>
      </c>
      <c r="I127" s="41">
        <f t="shared" si="4"/>
        <v>68.006240971826116</v>
      </c>
      <c r="J127" s="33">
        <v>125</v>
      </c>
      <c r="K127" s="33">
        <v>1346144.8</v>
      </c>
      <c r="L127" s="33">
        <v>-3705.2631578947298</v>
      </c>
      <c r="M127" s="33">
        <v>712.72727272700001</v>
      </c>
      <c r="N127" s="33">
        <v>4.4152542372881296</v>
      </c>
      <c r="O127" s="33">
        <v>29.476608187134499</v>
      </c>
      <c r="P127" s="33">
        <v>6.785041166550938</v>
      </c>
      <c r="Q127" s="46">
        <v>4.4152542372881296</v>
      </c>
      <c r="R127" s="46">
        <v>2.369786929262808</v>
      </c>
      <c r="S127" s="46">
        <f t="shared" si="5"/>
        <v>6.785041166550938</v>
      </c>
      <c r="T127" s="33">
        <v>84.848684300000144</v>
      </c>
      <c r="U127" s="42">
        <v>23.886807241744144</v>
      </c>
      <c r="V127" s="46">
        <v>1.9381018129039631</v>
      </c>
      <c r="W127" s="42">
        <f t="shared" si="6"/>
        <v>131.80301891627997</v>
      </c>
      <c r="X127" s="46">
        <v>2.8921019824513485</v>
      </c>
      <c r="Y127" s="42">
        <f t="shared" si="7"/>
        <v>196.68098433368243</v>
      </c>
      <c r="Z127" s="33">
        <v>95.634155709403757</v>
      </c>
      <c r="AA127" s="33">
        <v>36.520018533797455</v>
      </c>
      <c r="AB127" s="33">
        <v>1.4788673190221859</v>
      </c>
      <c r="AC127" s="33">
        <v>0</v>
      </c>
      <c r="AD127" s="33">
        <v>0</v>
      </c>
      <c r="AE127" s="33">
        <v>0.96156082862165793</v>
      </c>
      <c r="AF127" s="33">
        <v>7.3346177382705369</v>
      </c>
      <c r="AG127" s="42">
        <v>46.295064419711835</v>
      </c>
    </row>
    <row r="128" spans="1:33" x14ac:dyDescent="0.2">
      <c r="A128" s="40">
        <v>59</v>
      </c>
      <c r="B128" s="40" t="s">
        <v>325</v>
      </c>
      <c r="C128" s="40">
        <v>220</v>
      </c>
      <c r="D128" s="40">
        <v>2015</v>
      </c>
      <c r="E128" s="40">
        <v>2100</v>
      </c>
      <c r="F128" s="40">
        <v>700491.85470000003</v>
      </c>
      <c r="G128" s="40">
        <v>279572.38280000002</v>
      </c>
      <c r="H128" s="40">
        <v>378</v>
      </c>
      <c r="I128" s="41">
        <f t="shared" si="4"/>
        <v>65.745163906266683</v>
      </c>
      <c r="J128" s="33">
        <v>63.3333333333333</v>
      </c>
      <c r="K128" s="33">
        <v>862057.59999999905</v>
      </c>
      <c r="L128" s="33">
        <v>-1021.21212121212</v>
      </c>
      <c r="M128" s="33">
        <v>538.37209302300005</v>
      </c>
      <c r="N128" s="33">
        <v>1.5632911392405</v>
      </c>
      <c r="O128" s="33">
        <v>42.344262295081897</v>
      </c>
      <c r="P128" s="33">
        <v>4.7231900890437553</v>
      </c>
      <c r="Q128" s="46">
        <v>1.5632911392405</v>
      </c>
      <c r="R128" s="46">
        <v>3.1598989498032548</v>
      </c>
      <c r="S128" s="46">
        <f t="shared" si="5"/>
        <v>4.7231900890437544</v>
      </c>
      <c r="T128" s="33">
        <v>76.193560000000105</v>
      </c>
      <c r="U128" s="42">
        <v>21.849607978928947</v>
      </c>
      <c r="V128" s="46">
        <v>1.9985352031957218</v>
      </c>
      <c r="W128" s="42">
        <f t="shared" si="6"/>
        <v>131.39402450654671</v>
      </c>
      <c r="X128" s="46">
        <v>2.9091876459502393</v>
      </c>
      <c r="Y128" s="42">
        <f t="shared" si="7"/>
        <v>191.26501861708462</v>
      </c>
      <c r="Z128" s="33">
        <v>106.91344204114598</v>
      </c>
      <c r="AA128" s="33">
        <v>33.809968938652673</v>
      </c>
      <c r="AB128" s="33">
        <v>1.4788673190221859</v>
      </c>
      <c r="AC128" s="33">
        <v>0</v>
      </c>
      <c r="AD128" s="33">
        <v>0</v>
      </c>
      <c r="AE128" s="33">
        <v>0.96156082862165793</v>
      </c>
      <c r="AF128" s="33">
        <v>7.4168136356191159</v>
      </c>
      <c r="AG128" s="42">
        <v>43.66721072191563</v>
      </c>
    </row>
    <row r="129" spans="1:33" x14ac:dyDescent="0.2">
      <c r="A129" s="40">
        <v>127</v>
      </c>
      <c r="B129" s="40" t="s">
        <v>326</v>
      </c>
      <c r="C129" s="40">
        <v>380</v>
      </c>
      <c r="D129" s="40">
        <v>2015</v>
      </c>
      <c r="E129" s="40">
        <v>2100</v>
      </c>
      <c r="F129" s="40">
        <v>656080.21649999905</v>
      </c>
      <c r="G129" s="40">
        <v>272450.51760000002</v>
      </c>
      <c r="H129" s="40">
        <v>38</v>
      </c>
      <c r="I129" s="41">
        <f t="shared" si="4"/>
        <v>6.6093021916352752</v>
      </c>
      <c r="J129" s="33">
        <v>0</v>
      </c>
      <c r="K129" s="33">
        <v>53803</v>
      </c>
      <c r="L129" s="33">
        <v>0</v>
      </c>
      <c r="M129" s="33">
        <v>440</v>
      </c>
      <c r="N129" s="33">
        <v>0</v>
      </c>
      <c r="O129" s="33">
        <v>25</v>
      </c>
      <c r="P129" s="33">
        <v>8</v>
      </c>
      <c r="Q129" s="46">
        <v>0</v>
      </c>
      <c r="R129" s="46">
        <v>8</v>
      </c>
      <c r="S129" s="46">
        <f t="shared" si="5"/>
        <v>8</v>
      </c>
      <c r="T129" s="33">
        <v>87.409132400000146</v>
      </c>
      <c r="U129" s="42">
        <v>25.274319168539908</v>
      </c>
      <c r="V129" s="46">
        <v>1.885782209063388</v>
      </c>
      <c r="W129" s="42">
        <f t="shared" si="6"/>
        <v>12.46370448730946</v>
      </c>
      <c r="X129" s="46">
        <v>2.8098899699570712</v>
      </c>
      <c r="Y129" s="42">
        <f t="shared" si="7"/>
        <v>18.571411936691248</v>
      </c>
      <c r="Z129" s="33">
        <v>91.097363866379993</v>
      </c>
      <c r="AA129" s="33">
        <v>38.116932457710448</v>
      </c>
      <c r="AB129" s="33">
        <v>1.4788673190221859</v>
      </c>
      <c r="AC129" s="33">
        <v>0</v>
      </c>
      <c r="AD129" s="33">
        <v>0</v>
      </c>
      <c r="AE129" s="33">
        <v>0.96156082862165793</v>
      </c>
      <c r="AF129" s="33">
        <v>7.1045008288680265</v>
      </c>
      <c r="AG129" s="42">
        <v>47.661861434222317</v>
      </c>
    </row>
    <row r="130" spans="1:33" x14ac:dyDescent="0.2">
      <c r="O130" s="310">
        <f>MIN(O2:O129)</f>
        <v>25</v>
      </c>
      <c r="P130" s="33">
        <f>MIN(P2:P129)</f>
        <v>4.3850964672928798</v>
      </c>
      <c r="S130" s="46"/>
    </row>
    <row r="131" spans="1:33" x14ac:dyDescent="0.2">
      <c r="O131" s="310">
        <f>MAX(O2:O129)</f>
        <v>45.609030837004397</v>
      </c>
      <c r="P131" s="33">
        <f>MAX(P2:P129)</f>
        <v>8</v>
      </c>
      <c r="S131" s="46">
        <f>COUNTIF(S2:S129,8)</f>
        <v>69</v>
      </c>
      <c r="W131" s="42">
        <f>SUM(W2:W129)</f>
        <v>13509.970664891858</v>
      </c>
    </row>
    <row r="132" spans="1:33" x14ac:dyDescent="0.2">
      <c r="O132" s="310">
        <f>AVERAGE(O2:O129)</f>
        <v>29.339089040373736</v>
      </c>
      <c r="S132" s="46">
        <f>S131/128</f>
        <v>0.5390625</v>
      </c>
      <c r="T132" s="33">
        <f>MIN(T2:T129)</f>
        <v>68.792904300000117</v>
      </c>
      <c r="U132" s="42" t="s">
        <v>855</v>
      </c>
      <c r="V132" s="33">
        <f>MIN(V2:V129)</f>
        <v>1.5276580344678383</v>
      </c>
    </row>
    <row r="133" spans="1:33" x14ac:dyDescent="0.2">
      <c r="S133" s="46"/>
      <c r="U133" s="42" t="s">
        <v>1408</v>
      </c>
      <c r="V133" s="33">
        <f>MAX(V2:V129)</f>
        <v>2.0041788000984</v>
      </c>
    </row>
    <row r="134" spans="1:33" x14ac:dyDescent="0.2">
      <c r="T134" s="33">
        <f>AVERAGE(T2:T129)</f>
        <v>84.033185633593902</v>
      </c>
      <c r="U134" s="42" t="s">
        <v>1409</v>
      </c>
      <c r="V134" s="33">
        <f>AVERAGE(V2:V129)</f>
        <v>1.901740721937113</v>
      </c>
      <c r="X134" s="33">
        <f>AVERAGE(X2:X129)</f>
        <v>2.8257191074242591</v>
      </c>
    </row>
    <row r="137" spans="1:33" x14ac:dyDescent="0.2">
      <c r="I137" s="41">
        <f>SUM(I2:I129)</f>
        <v>7182.2243342470283</v>
      </c>
      <c r="O137" s="33" t="s">
        <v>1407</v>
      </c>
      <c r="W137" s="42">
        <f>SUM(W2:W129)</f>
        <v>13509.970664891858</v>
      </c>
      <c r="X137" s="42">
        <f>SUM(X2:X129)</f>
        <v>361.69204575030517</v>
      </c>
      <c r="Y137" s="42">
        <f>SUM(Y2:Y129)</f>
        <v>20120.447931952396</v>
      </c>
    </row>
    <row r="138" spans="1:33" x14ac:dyDescent="0.2">
      <c r="F138" s="40" t="s">
        <v>1415</v>
      </c>
      <c r="I138" s="41">
        <v>3611.6357897185922</v>
      </c>
      <c r="J138" s="33">
        <f>I138/I137</f>
        <v>0.50285755799874077</v>
      </c>
    </row>
    <row r="139" spans="1:33" x14ac:dyDescent="0.2">
      <c r="F139" s="40" t="s">
        <v>1420</v>
      </c>
      <c r="I139" s="41">
        <v>429.25678444620684</v>
      </c>
    </row>
    <row r="140" spans="1:33" x14ac:dyDescent="0.2">
      <c r="F140" s="40" t="s">
        <v>1421</v>
      </c>
      <c r="I140" s="41">
        <v>2794.691253031463</v>
      </c>
      <c r="M140" s="33" t="s">
        <v>1418</v>
      </c>
      <c r="N140" s="33">
        <v>23</v>
      </c>
    </row>
    <row r="141" spans="1:33" x14ac:dyDescent="0.2">
      <c r="F141" s="40" t="s">
        <v>1422</v>
      </c>
      <c r="I141" s="41">
        <v>3958.2762967693579</v>
      </c>
      <c r="N141" s="33">
        <v>28</v>
      </c>
    </row>
    <row r="142" spans="1:33" x14ac:dyDescent="0.2">
      <c r="F142" s="40" t="s">
        <v>1419</v>
      </c>
      <c r="I142" s="41">
        <f>SUM(I139:I141)</f>
        <v>7182.2243342470283</v>
      </c>
      <c r="N142" s="33">
        <v>77</v>
      </c>
    </row>
    <row r="143" spans="1:33" x14ac:dyDescent="0.2">
      <c r="M143" s="33" t="s">
        <v>1175</v>
      </c>
      <c r="N143" s="33">
        <f>SUM(N140:N142)</f>
        <v>128</v>
      </c>
    </row>
  </sheetData>
  <autoFilter ref="A1:AK134" xr:uid="{7A63E72A-4439-4CF6-9148-D1C6346DDF8A}"/>
  <pageMargins left="0.7" right="0.7" top="0.75" bottom="0.75" header="0.3" footer="0.3"/>
  <pageSetup paperSize="9" orientation="portrait"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62C3A-FD1D-4865-B06A-E48170ECF7DE}">
  <sheetPr>
    <tabColor theme="7" tint="-0.249977111117893"/>
  </sheetPr>
  <dimension ref="B2:X55"/>
  <sheetViews>
    <sheetView workbookViewId="0"/>
  </sheetViews>
  <sheetFormatPr defaultRowHeight="15" x14ac:dyDescent="0.25"/>
  <cols>
    <col min="13" max="13" width="23.140625" customWidth="1"/>
    <col min="14" max="14" width="11" bestFit="1" customWidth="1"/>
    <col min="16" max="16" width="12" bestFit="1" customWidth="1"/>
    <col min="20" max="20" width="12.7109375" customWidth="1"/>
    <col min="21" max="21" width="18.5703125" bestFit="1" customWidth="1"/>
    <col min="22" max="22" width="18.5703125" customWidth="1"/>
    <col min="28" max="28" width="23.140625" customWidth="1"/>
    <col min="31" max="31" width="12" bestFit="1" customWidth="1"/>
    <col min="32" max="33" width="11" bestFit="1" customWidth="1"/>
  </cols>
  <sheetData>
    <row r="2" spans="2:2" x14ac:dyDescent="0.25">
      <c r="B2" s="9" t="s">
        <v>1483</v>
      </c>
    </row>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24" x14ac:dyDescent="0.25">
      <c r="B17" s="25" t="s">
        <v>114</v>
      </c>
      <c r="V17" s="311" t="s">
        <v>852</v>
      </c>
      <c r="W17" s="312" t="s">
        <v>393</v>
      </c>
      <c r="X17" s="312"/>
    </row>
    <row r="18" spans="2:24" x14ac:dyDescent="0.25">
      <c r="B18" s="25" t="s">
        <v>115</v>
      </c>
      <c r="V18" s="312" t="s">
        <v>853</v>
      </c>
      <c r="W18" s="312" t="s">
        <v>854</v>
      </c>
      <c r="X18" s="312" t="s">
        <v>855</v>
      </c>
    </row>
    <row r="19" spans="2:24" x14ac:dyDescent="0.25">
      <c r="B19" s="26"/>
      <c r="V19" s="312" t="s">
        <v>856</v>
      </c>
      <c r="W19" s="312" t="s">
        <v>857</v>
      </c>
      <c r="X19" s="312">
        <v>1800</v>
      </c>
    </row>
    <row r="20" spans="2:24" x14ac:dyDescent="0.25">
      <c r="B20" s="26"/>
      <c r="V20" s="312"/>
      <c r="W20" s="312" t="s">
        <v>858</v>
      </c>
      <c r="X20" s="312">
        <v>2300</v>
      </c>
    </row>
    <row r="21" spans="2:24" x14ac:dyDescent="0.25">
      <c r="B21" s="25" t="s">
        <v>116</v>
      </c>
      <c r="V21" s="312"/>
      <c r="W21" s="312" t="s">
        <v>859</v>
      </c>
      <c r="X21" s="312">
        <v>2600</v>
      </c>
    </row>
    <row r="22" spans="2:24" x14ac:dyDescent="0.25">
      <c r="B22" s="25" t="s">
        <v>117</v>
      </c>
      <c r="V22" s="312"/>
      <c r="W22" s="312" t="s">
        <v>860</v>
      </c>
      <c r="X22" s="312">
        <v>2400</v>
      </c>
    </row>
    <row r="23" spans="2:24" x14ac:dyDescent="0.25">
      <c r="B23" s="25" t="s">
        <v>118</v>
      </c>
      <c r="V23" s="312"/>
      <c r="W23" s="312" t="s">
        <v>861</v>
      </c>
      <c r="X23" s="312">
        <v>1200</v>
      </c>
    </row>
    <row r="24" spans="2:24" x14ac:dyDescent="0.25">
      <c r="B24" s="25" t="s">
        <v>119</v>
      </c>
      <c r="M24" s="350" t="s">
        <v>144</v>
      </c>
      <c r="V24" s="312"/>
      <c r="W24" s="312"/>
      <c r="X24" s="312"/>
    </row>
    <row r="25" spans="2:24" x14ac:dyDescent="0.25">
      <c r="B25" s="25" t="s">
        <v>120</v>
      </c>
      <c r="M25" s="350" t="s">
        <v>145</v>
      </c>
      <c r="V25" s="312" t="s">
        <v>862</v>
      </c>
      <c r="W25" s="312" t="s">
        <v>863</v>
      </c>
      <c r="X25" s="312">
        <v>2620</v>
      </c>
    </row>
    <row r="26" spans="2:24" x14ac:dyDescent="0.25">
      <c r="B26" s="25" t="s">
        <v>121</v>
      </c>
      <c r="M26" s="350" t="s">
        <v>146</v>
      </c>
      <c r="V26" s="312"/>
      <c r="W26" s="312" t="s">
        <v>864</v>
      </c>
      <c r="X26" s="312">
        <v>3300</v>
      </c>
    </row>
    <row r="27" spans="2:24" x14ac:dyDescent="0.25">
      <c r="B27" s="25" t="s">
        <v>122</v>
      </c>
      <c r="V27" s="312"/>
      <c r="W27" s="312" t="s">
        <v>865</v>
      </c>
      <c r="X27" s="312">
        <v>2720</v>
      </c>
    </row>
    <row r="28" spans="2:24" x14ac:dyDescent="0.25">
      <c r="B28" s="25" t="s">
        <v>123</v>
      </c>
      <c r="V28" s="312"/>
      <c r="W28" s="312"/>
      <c r="X28" s="312"/>
    </row>
    <row r="29" spans="2:24" x14ac:dyDescent="0.25">
      <c r="B29" s="25" t="s">
        <v>124</v>
      </c>
      <c r="M29" s="32" t="s">
        <v>147</v>
      </c>
      <c r="V29" s="312" t="s">
        <v>866</v>
      </c>
      <c r="W29" s="312">
        <v>2700</v>
      </c>
      <c r="X29" s="312" t="s">
        <v>393</v>
      </c>
    </row>
    <row r="30" spans="2:24" x14ac:dyDescent="0.25">
      <c r="B30" s="29" t="s">
        <v>125</v>
      </c>
      <c r="M30" t="s">
        <v>143</v>
      </c>
      <c r="N30" t="s">
        <v>148</v>
      </c>
      <c r="O30" s="31">
        <v>1.5</v>
      </c>
      <c r="P30" t="s">
        <v>344</v>
      </c>
      <c r="V30" s="312" t="s">
        <v>867</v>
      </c>
      <c r="W30" s="312">
        <v>2350</v>
      </c>
      <c r="X30" s="312" t="s">
        <v>393</v>
      </c>
    </row>
    <row r="31" spans="2:24" x14ac:dyDescent="0.25">
      <c r="B31" s="29" t="s">
        <v>126</v>
      </c>
      <c r="M31" t="s">
        <v>149</v>
      </c>
      <c r="N31" t="s">
        <v>150</v>
      </c>
      <c r="O31" s="31">
        <v>6</v>
      </c>
      <c r="P31" t="s">
        <v>344</v>
      </c>
      <c r="Q31" t="s">
        <v>151</v>
      </c>
      <c r="V31" s="312" t="s">
        <v>868</v>
      </c>
      <c r="W31" s="312"/>
      <c r="X31" s="312"/>
    </row>
    <row r="32" spans="2:24" x14ac:dyDescent="0.25">
      <c r="B32" s="29" t="s">
        <v>127</v>
      </c>
      <c r="V32" s="312" t="s">
        <v>869</v>
      </c>
      <c r="W32" s="312"/>
      <c r="X32" s="312"/>
    </row>
    <row r="33" spans="2:2" x14ac:dyDescent="0.25">
      <c r="B33" s="26"/>
    </row>
    <row r="34" spans="2:2" x14ac:dyDescent="0.25">
      <c r="B34" s="29" t="s">
        <v>128</v>
      </c>
    </row>
    <row r="35" spans="2:2" x14ac:dyDescent="0.25">
      <c r="B35" s="29" t="s">
        <v>129</v>
      </c>
    </row>
    <row r="36" spans="2:2" x14ac:dyDescent="0.25">
      <c r="B36" s="26"/>
    </row>
    <row r="37" spans="2:2" x14ac:dyDescent="0.25">
      <c r="B37" s="29" t="s">
        <v>130</v>
      </c>
    </row>
    <row r="38" spans="2:2" x14ac:dyDescent="0.25">
      <c r="B38" s="26"/>
    </row>
    <row r="39" spans="2:2" x14ac:dyDescent="0.25">
      <c r="B39" s="29" t="s">
        <v>131</v>
      </c>
    </row>
    <row r="40" spans="2:2" x14ac:dyDescent="0.25">
      <c r="B40" s="26"/>
    </row>
    <row r="41" spans="2:2" x14ac:dyDescent="0.25">
      <c r="B41" s="29" t="s">
        <v>132</v>
      </c>
    </row>
    <row r="42" spans="2:2" x14ac:dyDescent="0.25">
      <c r="B42" s="29" t="s">
        <v>133</v>
      </c>
    </row>
    <row r="43" spans="2:2" x14ac:dyDescent="0.25">
      <c r="B43" s="29" t="s">
        <v>134</v>
      </c>
    </row>
    <row r="44" spans="2:2" x14ac:dyDescent="0.25">
      <c r="B44" s="29" t="s">
        <v>135</v>
      </c>
    </row>
    <row r="45" spans="2:2" x14ac:dyDescent="0.25">
      <c r="B45" s="26"/>
    </row>
    <row r="46" spans="2:2" x14ac:dyDescent="0.25">
      <c r="B46" s="29" t="s">
        <v>136</v>
      </c>
    </row>
    <row r="47" spans="2:2" x14ac:dyDescent="0.25">
      <c r="B47" s="26"/>
    </row>
    <row r="48" spans="2:2" x14ac:dyDescent="0.25">
      <c r="B48" s="26"/>
    </row>
    <row r="49" spans="2:2" x14ac:dyDescent="0.25">
      <c r="B49" s="29" t="s">
        <v>137</v>
      </c>
    </row>
    <row r="50" spans="2:2" x14ac:dyDescent="0.25">
      <c r="B50" s="26"/>
    </row>
    <row r="51" spans="2:2" x14ac:dyDescent="0.25">
      <c r="B51" s="30" t="s">
        <v>138</v>
      </c>
    </row>
    <row r="52" spans="2:2" x14ac:dyDescent="0.25">
      <c r="B52" s="30" t="s">
        <v>139</v>
      </c>
    </row>
    <row r="53" spans="2:2" x14ac:dyDescent="0.25">
      <c r="B53" s="30" t="s">
        <v>140</v>
      </c>
    </row>
    <row r="54" spans="2:2" x14ac:dyDescent="0.25">
      <c r="B54" s="30" t="s">
        <v>141</v>
      </c>
    </row>
    <row r="55" spans="2:2" x14ac:dyDescent="0.25">
      <c r="B55" s="30" t="s">
        <v>142</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6189C-6E8F-4EDC-AF20-568B2DAB6EE0}">
  <sheetPr>
    <tabColor theme="9" tint="0.59999389629810485"/>
  </sheetPr>
  <dimension ref="A1:XEV492"/>
  <sheetViews>
    <sheetView workbookViewId="0"/>
  </sheetViews>
  <sheetFormatPr defaultColWidth="9" defaultRowHeight="10.5" x14ac:dyDescent="0.15"/>
  <cols>
    <col min="1" max="1" width="71.7109375" style="133" customWidth="1"/>
    <col min="2" max="4" width="6" style="133" customWidth="1"/>
    <col min="5" max="5" width="6.85546875" style="133" customWidth="1"/>
    <col min="6" max="6" width="9.140625" style="133" customWidth="1"/>
    <col min="7" max="9" width="6.7109375" style="133" customWidth="1"/>
    <col min="10" max="10" width="9.42578125" style="133" customWidth="1"/>
    <col min="11" max="12" width="6" style="133" customWidth="1"/>
    <col min="13" max="13" width="8.7109375" style="133" bestFit="1" customWidth="1"/>
    <col min="14" max="14" width="9.140625" style="133" customWidth="1"/>
    <col min="15" max="17" width="6.7109375" style="133" customWidth="1"/>
    <col min="18" max="18" width="9.42578125" style="133" customWidth="1"/>
    <col min="19" max="21" width="6.7109375" style="133" customWidth="1"/>
    <col min="22" max="22" width="9.42578125" style="133" customWidth="1"/>
    <col min="23" max="25" width="6.7109375" style="133" customWidth="1"/>
    <col min="26" max="26" width="9.42578125" style="133" customWidth="1"/>
    <col min="27" max="29" width="6.7109375" style="133" customWidth="1"/>
    <col min="30" max="30" width="9.42578125" style="133" customWidth="1"/>
    <col min="31" max="33" width="6.7109375" style="133" customWidth="1"/>
    <col min="34" max="34" width="9.42578125" style="133" customWidth="1"/>
    <col min="35" max="16384" width="9" style="133"/>
  </cols>
  <sheetData>
    <row r="1" spans="1:34" x14ac:dyDescent="0.15">
      <c r="A1" s="131"/>
      <c r="B1" s="132" t="s">
        <v>1460</v>
      </c>
      <c r="C1" s="521" t="s">
        <v>650</v>
      </c>
      <c r="D1" s="521"/>
      <c r="E1" s="521"/>
      <c r="F1" s="522"/>
      <c r="G1" s="523" t="s">
        <v>651</v>
      </c>
      <c r="H1" s="524"/>
      <c r="I1" s="524"/>
      <c r="J1" s="525"/>
      <c r="K1" s="521" t="s">
        <v>652</v>
      </c>
      <c r="L1" s="521"/>
      <c r="M1" s="521"/>
      <c r="N1" s="522"/>
      <c r="O1" s="523" t="s">
        <v>653</v>
      </c>
      <c r="P1" s="524"/>
      <c r="Q1" s="524"/>
      <c r="R1" s="525"/>
      <c r="S1" s="526" t="s">
        <v>654</v>
      </c>
      <c r="T1" s="521"/>
      <c r="U1" s="521"/>
      <c r="V1" s="522"/>
      <c r="W1" s="523" t="s">
        <v>655</v>
      </c>
      <c r="X1" s="524"/>
      <c r="Y1" s="524"/>
      <c r="Z1" s="525"/>
      <c r="AA1" s="526" t="s">
        <v>656</v>
      </c>
      <c r="AB1" s="521"/>
      <c r="AC1" s="521"/>
      <c r="AD1" s="522"/>
      <c r="AE1" s="527" t="s">
        <v>657</v>
      </c>
      <c r="AF1" s="528"/>
      <c r="AG1" s="528"/>
      <c r="AH1" s="529"/>
    </row>
    <row r="2" spans="1:34" x14ac:dyDescent="0.15">
      <c r="A2" s="134"/>
      <c r="B2" s="135">
        <v>2019</v>
      </c>
      <c r="C2" s="136">
        <v>2030</v>
      </c>
      <c r="D2" s="137">
        <v>2040</v>
      </c>
      <c r="E2" s="138">
        <v>2050</v>
      </c>
      <c r="F2" s="139" t="s">
        <v>658</v>
      </c>
      <c r="G2" s="140">
        <v>2030</v>
      </c>
      <c r="H2" s="141">
        <v>2040</v>
      </c>
      <c r="I2" s="142">
        <v>2050</v>
      </c>
      <c r="J2" s="143" t="s">
        <v>658</v>
      </c>
      <c r="K2" s="136">
        <v>2030</v>
      </c>
      <c r="L2" s="137">
        <v>2040</v>
      </c>
      <c r="M2" s="138">
        <v>2050</v>
      </c>
      <c r="N2" s="139" t="s">
        <v>658</v>
      </c>
      <c r="O2" s="140">
        <v>2030</v>
      </c>
      <c r="P2" s="141">
        <v>2040</v>
      </c>
      <c r="Q2" s="142">
        <v>2050</v>
      </c>
      <c r="R2" s="143" t="s">
        <v>658</v>
      </c>
      <c r="S2" s="136">
        <v>2030</v>
      </c>
      <c r="T2" s="137">
        <v>2040</v>
      </c>
      <c r="U2" s="138">
        <v>2050</v>
      </c>
      <c r="V2" s="139" t="s">
        <v>658</v>
      </c>
      <c r="W2" s="140">
        <v>2030</v>
      </c>
      <c r="X2" s="141">
        <v>2040</v>
      </c>
      <c r="Y2" s="142">
        <v>2050</v>
      </c>
      <c r="Z2" s="143" t="s">
        <v>658</v>
      </c>
      <c r="AA2" s="136">
        <v>2030</v>
      </c>
      <c r="AB2" s="137">
        <v>2040</v>
      </c>
      <c r="AC2" s="138">
        <v>2050</v>
      </c>
      <c r="AD2" s="139" t="s">
        <v>658</v>
      </c>
      <c r="AE2" s="144">
        <v>2030</v>
      </c>
      <c r="AF2" s="145">
        <v>2040</v>
      </c>
      <c r="AG2" s="146">
        <v>2050</v>
      </c>
      <c r="AH2" s="147" t="s">
        <v>658</v>
      </c>
    </row>
    <row r="3" spans="1:34" hidden="1" x14ac:dyDescent="0.15">
      <c r="A3" s="148" t="s">
        <v>659</v>
      </c>
      <c r="B3" s="149"/>
      <c r="C3" s="150"/>
      <c r="D3" s="151"/>
      <c r="E3" s="151"/>
      <c r="F3" s="152"/>
      <c r="G3" s="153"/>
      <c r="H3" s="154"/>
      <c r="I3" s="154"/>
      <c r="J3" s="155"/>
      <c r="K3" s="150"/>
      <c r="L3" s="151"/>
      <c r="M3" s="151"/>
      <c r="N3" s="152"/>
      <c r="O3" s="153"/>
      <c r="P3" s="154"/>
      <c r="Q3" s="154"/>
      <c r="R3" s="155"/>
      <c r="S3" s="150"/>
      <c r="T3" s="151"/>
      <c r="U3" s="151"/>
      <c r="V3" s="152"/>
      <c r="W3" s="153"/>
      <c r="X3" s="154"/>
      <c r="Y3" s="154"/>
      <c r="Z3" s="155"/>
      <c r="AA3" s="150"/>
      <c r="AB3" s="151"/>
      <c r="AC3" s="151"/>
      <c r="AD3" s="152"/>
      <c r="AE3" s="156"/>
      <c r="AF3" s="157"/>
      <c r="AG3" s="157"/>
      <c r="AH3" s="158"/>
    </row>
    <row r="4" spans="1:34" hidden="1" x14ac:dyDescent="0.15">
      <c r="A4" s="131" t="s">
        <v>660</v>
      </c>
      <c r="B4" s="159">
        <v>8.6038999999999994</v>
      </c>
      <c r="C4" s="160">
        <v>9.4189069434456627</v>
      </c>
      <c r="D4" s="161">
        <v>10.002779575721021</v>
      </c>
      <c r="E4" s="161">
        <v>10.427452260240917</v>
      </c>
      <c r="F4" s="162">
        <v>6.2201160430261915E-3</v>
      </c>
      <c r="G4" s="163">
        <v>9.4189069434456627</v>
      </c>
      <c r="H4" s="164">
        <v>10.002779575721021</v>
      </c>
      <c r="I4" s="164">
        <v>10.427452260240917</v>
      </c>
      <c r="J4" s="165">
        <v>6.2201160430261915E-3</v>
      </c>
      <c r="K4" s="160">
        <v>9.4189069434456627</v>
      </c>
      <c r="L4" s="161">
        <v>10.002779575721021</v>
      </c>
      <c r="M4" s="161">
        <v>10.427452260240917</v>
      </c>
      <c r="N4" s="162">
        <v>6.2201160430261915E-3</v>
      </c>
      <c r="O4" s="163">
        <v>9.4189069434456627</v>
      </c>
      <c r="P4" s="164">
        <v>10.002779575721021</v>
      </c>
      <c r="Q4" s="164">
        <v>10.427452260240917</v>
      </c>
      <c r="R4" s="165">
        <v>6.2201160430261915E-3</v>
      </c>
      <c r="S4" s="160">
        <v>9.4189069434456627</v>
      </c>
      <c r="T4" s="161">
        <v>10.002779575721021</v>
      </c>
      <c r="U4" s="161">
        <v>10.427452260240917</v>
      </c>
      <c r="V4" s="162">
        <v>6.2201160430261915E-3</v>
      </c>
      <c r="W4" s="163">
        <v>9.4189069434456627</v>
      </c>
      <c r="X4" s="164">
        <v>10.002779575721021</v>
      </c>
      <c r="Y4" s="164">
        <v>10.427452260240917</v>
      </c>
      <c r="Z4" s="165">
        <v>6.2201160430261915E-3</v>
      </c>
      <c r="AA4" s="160">
        <v>9.4189069434456627</v>
      </c>
      <c r="AB4" s="161">
        <v>10.002779575721021</v>
      </c>
      <c r="AC4" s="161">
        <v>10.427452260240917</v>
      </c>
      <c r="AD4" s="162">
        <v>6.2201160430261915E-3</v>
      </c>
      <c r="AE4" s="166">
        <v>9.4189069434456627</v>
      </c>
      <c r="AF4" s="167">
        <v>10.002779575721021</v>
      </c>
      <c r="AG4" s="167">
        <v>10.427452260240917</v>
      </c>
      <c r="AH4" s="168">
        <v>6.2201160430261915E-3</v>
      </c>
    </row>
    <row r="5" spans="1:34" ht="12" hidden="1" x14ac:dyDescent="0.15">
      <c r="A5" s="131" t="s">
        <v>661</v>
      </c>
      <c r="B5" s="169">
        <v>709.91029041642821</v>
      </c>
      <c r="C5" s="170">
        <v>820.32232701444548</v>
      </c>
      <c r="D5" s="171">
        <v>922.11373805353514</v>
      </c>
      <c r="E5" s="171">
        <v>1022.8663987860555</v>
      </c>
      <c r="F5" s="162">
        <v>1.1851144201387331E-2</v>
      </c>
      <c r="G5" s="172">
        <v>820.32232701444548</v>
      </c>
      <c r="H5" s="173">
        <v>922.11373805353514</v>
      </c>
      <c r="I5" s="173">
        <v>1022.8663987860555</v>
      </c>
      <c r="J5" s="165">
        <v>1.1851144201387331E-2</v>
      </c>
      <c r="K5" s="170">
        <v>820.32232701444548</v>
      </c>
      <c r="L5" s="171">
        <v>922.11373805353514</v>
      </c>
      <c r="M5" s="171">
        <v>1022.8663987860555</v>
      </c>
      <c r="N5" s="162">
        <v>1.1851144201387331E-2</v>
      </c>
      <c r="O5" s="172">
        <v>820.32232701444548</v>
      </c>
      <c r="P5" s="173">
        <v>922.11373805353514</v>
      </c>
      <c r="Q5" s="173">
        <v>1022.8663987860555</v>
      </c>
      <c r="R5" s="165">
        <v>1.1851144201387331E-2</v>
      </c>
      <c r="S5" s="170">
        <v>820.32232701444548</v>
      </c>
      <c r="T5" s="171">
        <v>922.11373805353514</v>
      </c>
      <c r="U5" s="171">
        <v>1022.8663987860555</v>
      </c>
      <c r="V5" s="162">
        <v>1.1851144201387331E-2</v>
      </c>
      <c r="W5" s="172">
        <v>820.32232701444548</v>
      </c>
      <c r="X5" s="173">
        <v>922.11373805353514</v>
      </c>
      <c r="Y5" s="173">
        <v>1022.8663987860555</v>
      </c>
      <c r="Z5" s="165">
        <v>1.1851144201387331E-2</v>
      </c>
      <c r="AA5" s="170">
        <v>820.32232701444548</v>
      </c>
      <c r="AB5" s="171">
        <v>922.11373805353514</v>
      </c>
      <c r="AC5" s="171">
        <v>1022.8663987860555</v>
      </c>
      <c r="AD5" s="162">
        <v>1.1851144201387331E-2</v>
      </c>
      <c r="AE5" s="174">
        <v>820.32232701444548</v>
      </c>
      <c r="AF5" s="175">
        <v>922.11373805353514</v>
      </c>
      <c r="AG5" s="175">
        <v>1022.8663987860555</v>
      </c>
      <c r="AH5" s="168">
        <v>1.1851144201387331E-2</v>
      </c>
    </row>
    <row r="6" spans="1:34" ht="12" hidden="1" x14ac:dyDescent="0.15">
      <c r="A6" s="131" t="s">
        <v>662</v>
      </c>
      <c r="B6" s="176">
        <v>176.92331999999999</v>
      </c>
      <c r="C6" s="170">
        <v>202.48593067290929</v>
      </c>
      <c r="D6" s="171">
        <v>224.05805391326945</v>
      </c>
      <c r="E6" s="171">
        <v>246.59284788819278</v>
      </c>
      <c r="F6" s="162">
        <v>1.0767954123261925E-2</v>
      </c>
      <c r="G6" s="172">
        <v>202.48593067290929</v>
      </c>
      <c r="H6" s="173">
        <v>224.05805391326945</v>
      </c>
      <c r="I6" s="173">
        <v>246.59284788819278</v>
      </c>
      <c r="J6" s="165">
        <v>1.0767954123261925E-2</v>
      </c>
      <c r="K6" s="170">
        <v>202.48593067290929</v>
      </c>
      <c r="L6" s="171">
        <v>224.05805391326945</v>
      </c>
      <c r="M6" s="171">
        <v>246.59284788819278</v>
      </c>
      <c r="N6" s="162">
        <v>1.0767954123261925E-2</v>
      </c>
      <c r="O6" s="172">
        <v>202.48593067290929</v>
      </c>
      <c r="P6" s="173">
        <v>224.05805391326945</v>
      </c>
      <c r="Q6" s="173">
        <v>246.59284788819278</v>
      </c>
      <c r="R6" s="165">
        <v>1.0767954123261925E-2</v>
      </c>
      <c r="S6" s="170">
        <v>202.48593067290929</v>
      </c>
      <c r="T6" s="171">
        <v>224.05805391326945</v>
      </c>
      <c r="U6" s="171">
        <v>246.59284788819278</v>
      </c>
      <c r="V6" s="162">
        <v>1.0767954123261925E-2</v>
      </c>
      <c r="W6" s="172">
        <v>202.48593067290929</v>
      </c>
      <c r="X6" s="173">
        <v>224.05805391326945</v>
      </c>
      <c r="Y6" s="173">
        <v>246.59284788819278</v>
      </c>
      <c r="Z6" s="165">
        <v>1.0767954123261925E-2</v>
      </c>
      <c r="AA6" s="170">
        <v>202.48593067290929</v>
      </c>
      <c r="AB6" s="171">
        <v>224.05805391326945</v>
      </c>
      <c r="AC6" s="171">
        <v>246.59284788819278</v>
      </c>
      <c r="AD6" s="162">
        <v>1.0767954123261925E-2</v>
      </c>
      <c r="AE6" s="174">
        <v>202.48593067290929</v>
      </c>
      <c r="AF6" s="175">
        <v>224.05805391326945</v>
      </c>
      <c r="AG6" s="175">
        <v>246.59284788819278</v>
      </c>
      <c r="AH6" s="168">
        <v>1.0767954123261925E-2</v>
      </c>
    </row>
    <row r="7" spans="1:34" ht="12" hidden="1" x14ac:dyDescent="0.15">
      <c r="A7" s="131" t="s">
        <v>663</v>
      </c>
      <c r="B7" s="169">
        <v>515.68481999999995</v>
      </c>
      <c r="C7" s="170">
        <v>574.13627455490973</v>
      </c>
      <c r="D7" s="171">
        <v>646.39542143575727</v>
      </c>
      <c r="E7" s="171">
        <v>712.72146352573259</v>
      </c>
      <c r="F7" s="162">
        <v>1.0493217652195685E-2</v>
      </c>
      <c r="G7" s="172">
        <v>574.13627455490973</v>
      </c>
      <c r="H7" s="173">
        <v>646.39542143575727</v>
      </c>
      <c r="I7" s="173">
        <v>712.72146352573259</v>
      </c>
      <c r="J7" s="165">
        <v>1.0493217652195685E-2</v>
      </c>
      <c r="K7" s="170">
        <v>574.13627455490973</v>
      </c>
      <c r="L7" s="171">
        <v>646.39542143575727</v>
      </c>
      <c r="M7" s="171">
        <v>712.72146352573259</v>
      </c>
      <c r="N7" s="162">
        <v>1.0493217652195685E-2</v>
      </c>
      <c r="O7" s="172">
        <v>574.13627455490973</v>
      </c>
      <c r="P7" s="173">
        <v>646.39542143575727</v>
      </c>
      <c r="Q7" s="173">
        <v>712.72146352573259</v>
      </c>
      <c r="R7" s="165">
        <v>1.0493217652195685E-2</v>
      </c>
      <c r="S7" s="170">
        <v>574.13627455490973</v>
      </c>
      <c r="T7" s="171">
        <v>646.39542143575727</v>
      </c>
      <c r="U7" s="171">
        <v>712.72146352573259</v>
      </c>
      <c r="V7" s="162">
        <v>1.0493217652195685E-2</v>
      </c>
      <c r="W7" s="172">
        <v>574.13627455490973</v>
      </c>
      <c r="X7" s="173">
        <v>646.39542143575727</v>
      </c>
      <c r="Y7" s="173">
        <v>712.72146352573259</v>
      </c>
      <c r="Z7" s="165">
        <v>1.0493217652195685E-2</v>
      </c>
      <c r="AA7" s="170">
        <v>574.13627455490973</v>
      </c>
      <c r="AB7" s="171">
        <v>646.39542143575727</v>
      </c>
      <c r="AC7" s="171">
        <v>712.72146352573259</v>
      </c>
      <c r="AD7" s="162">
        <v>1.0493217652195685E-2</v>
      </c>
      <c r="AE7" s="174">
        <v>574.13627455490973</v>
      </c>
      <c r="AF7" s="175">
        <v>646.39542143575727</v>
      </c>
      <c r="AG7" s="175">
        <v>712.72146352573259</v>
      </c>
      <c r="AH7" s="168">
        <v>1.0493217652195685E-2</v>
      </c>
    </row>
    <row r="8" spans="1:34" ht="12" hidden="1" x14ac:dyDescent="0.15">
      <c r="A8" s="131" t="s">
        <v>664</v>
      </c>
      <c r="B8" s="169">
        <v>76.961232757548686</v>
      </c>
      <c r="C8" s="170">
        <v>81.438593062398624</v>
      </c>
      <c r="D8" s="171">
        <v>84.382921839895175</v>
      </c>
      <c r="E8" s="171">
        <v>86.939660548310371</v>
      </c>
      <c r="F8" s="162">
        <v>3.9404042437254372E-3</v>
      </c>
      <c r="G8" s="172">
        <v>81.438593062398624</v>
      </c>
      <c r="H8" s="173">
        <v>84.382921839895175</v>
      </c>
      <c r="I8" s="173">
        <v>86.939660548310371</v>
      </c>
      <c r="J8" s="165">
        <v>3.9404042437254372E-3</v>
      </c>
      <c r="K8" s="170">
        <v>81.438593062398624</v>
      </c>
      <c r="L8" s="171">
        <v>84.382921839895175</v>
      </c>
      <c r="M8" s="171">
        <v>86.939660548310371</v>
      </c>
      <c r="N8" s="162">
        <v>3.9404042437254372E-3</v>
      </c>
      <c r="O8" s="172">
        <v>81.438593062398624</v>
      </c>
      <c r="P8" s="173">
        <v>84.382921839895175</v>
      </c>
      <c r="Q8" s="173">
        <v>86.939660548310371</v>
      </c>
      <c r="R8" s="165">
        <v>3.9404042437254372E-3</v>
      </c>
      <c r="S8" s="170">
        <v>81.438593062398624</v>
      </c>
      <c r="T8" s="171">
        <v>84.382921839895175</v>
      </c>
      <c r="U8" s="171">
        <v>86.939660548310371</v>
      </c>
      <c r="V8" s="162">
        <v>3.9404042437254372E-3</v>
      </c>
      <c r="W8" s="172">
        <v>81.438593062398624</v>
      </c>
      <c r="X8" s="173">
        <v>84.382921839895175</v>
      </c>
      <c r="Y8" s="173">
        <v>86.939660548310371</v>
      </c>
      <c r="Z8" s="165">
        <v>3.9404042437254372E-3</v>
      </c>
      <c r="AA8" s="170">
        <v>81.438593062398624</v>
      </c>
      <c r="AB8" s="171">
        <v>84.382921839895175</v>
      </c>
      <c r="AC8" s="171">
        <v>86.939660548310371</v>
      </c>
      <c r="AD8" s="162">
        <v>3.9404042437254372E-3</v>
      </c>
      <c r="AE8" s="174">
        <v>81.438593062398624</v>
      </c>
      <c r="AF8" s="175">
        <v>84.382921839895175</v>
      </c>
      <c r="AG8" s="175">
        <v>86.939660548310371</v>
      </c>
      <c r="AH8" s="168">
        <v>3.9404042437254372E-3</v>
      </c>
    </row>
    <row r="9" spans="1:34" hidden="1" x14ac:dyDescent="0.15">
      <c r="A9" s="131" t="s">
        <v>665</v>
      </c>
      <c r="B9" s="169">
        <v>166.322</v>
      </c>
      <c r="C9" s="170">
        <v>182.0930426689111</v>
      </c>
      <c r="D9" s="171">
        <v>193.17972399541569</v>
      </c>
      <c r="E9" s="171">
        <v>201.59094787151466</v>
      </c>
      <c r="F9" s="162">
        <v>6.2229914114302343E-3</v>
      </c>
      <c r="G9" s="172">
        <v>182.0930426689111</v>
      </c>
      <c r="H9" s="173">
        <v>193.17972399541569</v>
      </c>
      <c r="I9" s="173">
        <v>201.59094787151466</v>
      </c>
      <c r="J9" s="165">
        <v>6.2229914114302343E-3</v>
      </c>
      <c r="K9" s="170">
        <v>182.0930426689111</v>
      </c>
      <c r="L9" s="171">
        <v>193.17972399541569</v>
      </c>
      <c r="M9" s="171">
        <v>201.59094787151466</v>
      </c>
      <c r="N9" s="162">
        <v>6.2229914114302343E-3</v>
      </c>
      <c r="O9" s="172">
        <v>182.0930426689111</v>
      </c>
      <c r="P9" s="173">
        <v>193.17972399541569</v>
      </c>
      <c r="Q9" s="173">
        <v>201.59094787151466</v>
      </c>
      <c r="R9" s="165">
        <v>6.2229914114302343E-3</v>
      </c>
      <c r="S9" s="170">
        <v>182.0930426689111</v>
      </c>
      <c r="T9" s="171">
        <v>193.17972399541569</v>
      </c>
      <c r="U9" s="171">
        <v>201.59094787151466</v>
      </c>
      <c r="V9" s="162">
        <v>6.2229914114302343E-3</v>
      </c>
      <c r="W9" s="172">
        <v>182.0930426689111</v>
      </c>
      <c r="X9" s="173">
        <v>193.17972399541569</v>
      </c>
      <c r="Y9" s="173">
        <v>201.59094787151466</v>
      </c>
      <c r="Z9" s="165">
        <v>6.2229914114302343E-3</v>
      </c>
      <c r="AA9" s="170">
        <v>182.0930426689111</v>
      </c>
      <c r="AB9" s="171">
        <v>193.17972399541569</v>
      </c>
      <c r="AC9" s="171">
        <v>201.59094787151466</v>
      </c>
      <c r="AD9" s="162">
        <v>6.2229914114302343E-3</v>
      </c>
      <c r="AE9" s="174">
        <v>182.0930426689111</v>
      </c>
      <c r="AF9" s="175">
        <v>193.17972399541569</v>
      </c>
      <c r="AG9" s="175">
        <v>201.59094787151466</v>
      </c>
      <c r="AH9" s="168">
        <v>6.2229914114302343E-3</v>
      </c>
    </row>
    <row r="10" spans="1:34" ht="12" hidden="1" x14ac:dyDescent="0.15">
      <c r="A10" s="131" t="s">
        <v>666</v>
      </c>
      <c r="B10" s="176">
        <v>506.72001147259999</v>
      </c>
      <c r="C10" s="170">
        <v>561.13969323480001</v>
      </c>
      <c r="D10" s="171">
        <v>601.44076069920004</v>
      </c>
      <c r="E10" s="171">
        <v>632.19729744999995</v>
      </c>
      <c r="F10" s="162">
        <v>7.1623965104623544E-3</v>
      </c>
      <c r="G10" s="172">
        <v>561.13969323480001</v>
      </c>
      <c r="H10" s="173">
        <v>601.44076069920004</v>
      </c>
      <c r="I10" s="173">
        <v>632.19729744999995</v>
      </c>
      <c r="J10" s="165">
        <v>7.1623965104623544E-3</v>
      </c>
      <c r="K10" s="170">
        <v>561.13969323480001</v>
      </c>
      <c r="L10" s="171">
        <v>601.44076069920004</v>
      </c>
      <c r="M10" s="171">
        <v>632.19729744999995</v>
      </c>
      <c r="N10" s="162">
        <v>7.1623965104623544E-3</v>
      </c>
      <c r="O10" s="172">
        <v>561.13969323480001</v>
      </c>
      <c r="P10" s="173">
        <v>601.44076069920004</v>
      </c>
      <c r="Q10" s="173">
        <v>632.19729744999995</v>
      </c>
      <c r="R10" s="165">
        <v>7.1623965104623544E-3</v>
      </c>
      <c r="S10" s="170">
        <v>561.13969323480001</v>
      </c>
      <c r="T10" s="171">
        <v>601.44076069920004</v>
      </c>
      <c r="U10" s="171">
        <v>632.19729744999995</v>
      </c>
      <c r="V10" s="162">
        <v>7.1623965104623544E-3</v>
      </c>
      <c r="W10" s="172">
        <v>561.13969323480001</v>
      </c>
      <c r="X10" s="173">
        <v>601.44076069920004</v>
      </c>
      <c r="Y10" s="173">
        <v>632.19729744999995</v>
      </c>
      <c r="Z10" s="165">
        <v>7.1623965104623544E-3</v>
      </c>
      <c r="AA10" s="170">
        <v>561.13969323480001</v>
      </c>
      <c r="AB10" s="171">
        <v>601.44076069920004</v>
      </c>
      <c r="AC10" s="171">
        <v>632.19729744999995</v>
      </c>
      <c r="AD10" s="162">
        <v>7.1623965104623544E-3</v>
      </c>
      <c r="AE10" s="174">
        <v>561.13969323480001</v>
      </c>
      <c r="AF10" s="175">
        <v>601.44076069920004</v>
      </c>
      <c r="AG10" s="175">
        <v>632.19729744999995</v>
      </c>
      <c r="AH10" s="168">
        <v>7.1623965104623544E-3</v>
      </c>
    </row>
    <row r="11" spans="1:34" hidden="1" x14ac:dyDescent="0.15">
      <c r="A11" s="148" t="s">
        <v>667</v>
      </c>
      <c r="B11" s="149"/>
      <c r="C11" s="150"/>
      <c r="D11" s="151"/>
      <c r="E11" s="151"/>
      <c r="F11" s="152"/>
      <c r="G11" s="153"/>
      <c r="H11" s="154"/>
      <c r="I11" s="154"/>
      <c r="J11" s="155"/>
      <c r="K11" s="150"/>
      <c r="L11" s="151"/>
      <c r="M11" s="151"/>
      <c r="N11" s="152"/>
      <c r="O11" s="153"/>
      <c r="P11" s="154"/>
      <c r="Q11" s="154"/>
      <c r="R11" s="155"/>
      <c r="S11" s="150"/>
      <c r="T11" s="151"/>
      <c r="U11" s="151"/>
      <c r="V11" s="152"/>
      <c r="W11" s="153"/>
      <c r="X11" s="154"/>
      <c r="Y11" s="154"/>
      <c r="Z11" s="155"/>
      <c r="AA11" s="150"/>
      <c r="AB11" s="151"/>
      <c r="AC11" s="151"/>
      <c r="AD11" s="152"/>
      <c r="AE11" s="156"/>
      <c r="AF11" s="157"/>
      <c r="AG11" s="157"/>
      <c r="AH11" s="158"/>
    </row>
    <row r="12" spans="1:34" hidden="1" x14ac:dyDescent="0.15">
      <c r="A12" s="146" t="s">
        <v>668</v>
      </c>
      <c r="B12" s="177">
        <v>285.68484377262865</v>
      </c>
      <c r="C12" s="178">
        <v>321.5783006502229</v>
      </c>
      <c r="D12" s="179">
        <v>347.29776570082606</v>
      </c>
      <c r="E12" s="180">
        <v>375.67537096713033</v>
      </c>
      <c r="F12" s="181">
        <v>8.8725535938207756E-3</v>
      </c>
      <c r="G12" s="182">
        <v>384.51735378513933</v>
      </c>
      <c r="H12" s="183">
        <v>458.24088683681725</v>
      </c>
      <c r="I12" s="184">
        <v>544.82699916418437</v>
      </c>
      <c r="J12" s="185">
        <v>2.1365961054737648E-2</v>
      </c>
      <c r="K12" s="178">
        <v>339.69445831190899</v>
      </c>
      <c r="L12" s="179">
        <v>410.06096795258378</v>
      </c>
      <c r="M12" s="180">
        <v>456.4588323983134</v>
      </c>
      <c r="N12" s="181">
        <v>1.5231258708062745E-2</v>
      </c>
      <c r="O12" s="182">
        <v>417.68348048675352</v>
      </c>
      <c r="P12" s="183">
        <v>513.88577031638386</v>
      </c>
      <c r="Q12" s="184">
        <v>734.96258674524802</v>
      </c>
      <c r="R12" s="185">
        <v>3.1698626170312716E-2</v>
      </c>
      <c r="S12" s="178">
        <v>399.82863927399376</v>
      </c>
      <c r="T12" s="179">
        <v>473.83750482358425</v>
      </c>
      <c r="U12" s="180">
        <v>541.89664479104545</v>
      </c>
      <c r="V12" s="181">
        <v>2.1189714664841652E-2</v>
      </c>
      <c r="W12" s="182">
        <v>383.15954727948281</v>
      </c>
      <c r="X12" s="183">
        <v>449.86924174834712</v>
      </c>
      <c r="Y12" s="184">
        <v>523.85161357566767</v>
      </c>
      <c r="Z12" s="185">
        <v>2.0090746124985737E-2</v>
      </c>
      <c r="AA12" s="178">
        <v>377.5471172725446</v>
      </c>
      <c r="AB12" s="179">
        <v>443.02451587725511</v>
      </c>
      <c r="AC12" s="180">
        <v>532.54252510615902</v>
      </c>
      <c r="AD12" s="181">
        <v>2.0581367370194892E-2</v>
      </c>
      <c r="AE12" s="186">
        <v>392.7589219803865</v>
      </c>
      <c r="AF12" s="187">
        <v>472.44584319257046</v>
      </c>
      <c r="AG12" s="188">
        <v>547.86050274046966</v>
      </c>
      <c r="AH12" s="189">
        <v>2.1543496277453889E-2</v>
      </c>
    </row>
    <row r="13" spans="1:34" hidden="1" x14ac:dyDescent="0.15">
      <c r="A13" s="131" t="s">
        <v>669</v>
      </c>
      <c r="B13" s="190">
        <v>42.33</v>
      </c>
      <c r="C13" s="191">
        <v>42.478601201754337</v>
      </c>
      <c r="D13" s="192">
        <v>42.47860122235425</v>
      </c>
      <c r="E13" s="192">
        <v>42.478601232346399</v>
      </c>
      <c r="F13" s="162">
        <v>1.13051363477501E-4</v>
      </c>
      <c r="G13" s="193">
        <v>49.304901478823112</v>
      </c>
      <c r="H13" s="194">
        <v>54.948034023654415</v>
      </c>
      <c r="I13" s="194">
        <v>61.940565519625601</v>
      </c>
      <c r="J13" s="165">
        <v>1.2355684294373726E-2</v>
      </c>
      <c r="K13" s="191">
        <v>42.676200043064213</v>
      </c>
      <c r="L13" s="192">
        <v>44.511791089548787</v>
      </c>
      <c r="M13" s="192">
        <v>48.23335129455716</v>
      </c>
      <c r="N13" s="162">
        <v>4.2203213149147878E-3</v>
      </c>
      <c r="O13" s="193">
        <v>49.936453350522214</v>
      </c>
      <c r="P13" s="194">
        <v>56.033826862862</v>
      </c>
      <c r="Q13" s="194">
        <v>63.354862618255424</v>
      </c>
      <c r="R13" s="165">
        <v>1.3093220680032269E-2</v>
      </c>
      <c r="S13" s="191">
        <v>49.936453349403308</v>
      </c>
      <c r="T13" s="192">
        <v>56.033826831401726</v>
      </c>
      <c r="U13" s="192">
        <v>63.354862572333552</v>
      </c>
      <c r="V13" s="162">
        <v>1.3093220656344329E-2</v>
      </c>
      <c r="W13" s="193">
        <v>49.936453357491715</v>
      </c>
      <c r="X13" s="194">
        <v>56.033826937704411</v>
      </c>
      <c r="Y13" s="194">
        <v>63.354862745361608</v>
      </c>
      <c r="Z13" s="165">
        <v>1.30932207455976E-2</v>
      </c>
      <c r="AA13" s="191">
        <v>49.304902113727508</v>
      </c>
      <c r="AB13" s="192">
        <v>54.948033345774981</v>
      </c>
      <c r="AC13" s="192">
        <v>61.940583466741899</v>
      </c>
      <c r="AD13" s="162">
        <v>1.2355693756546549E-2</v>
      </c>
      <c r="AE13" s="195">
        <v>49.304900719480784</v>
      </c>
      <c r="AF13" s="196">
        <v>54.948023347577866</v>
      </c>
      <c r="AG13" s="196">
        <v>61.940548924165903</v>
      </c>
      <c r="AH13" s="168">
        <v>1.235567554482575E-2</v>
      </c>
    </row>
    <row r="14" spans="1:34" ht="12" hidden="1" x14ac:dyDescent="0.15">
      <c r="A14" s="131" t="s">
        <v>670</v>
      </c>
      <c r="B14" s="190">
        <v>68.330843772628739</v>
      </c>
      <c r="C14" s="191">
        <v>68.547416873584979</v>
      </c>
      <c r="D14" s="192">
        <v>69.444252001462814</v>
      </c>
      <c r="E14" s="192">
        <v>70.534836008873469</v>
      </c>
      <c r="F14" s="162">
        <v>1.0245715588073079E-3</v>
      </c>
      <c r="G14" s="193">
        <v>71.372414117950512</v>
      </c>
      <c r="H14" s="194">
        <v>75.068225641090308</v>
      </c>
      <c r="I14" s="194">
        <v>78.628967035213819</v>
      </c>
      <c r="J14" s="165">
        <v>5.8869133901637838E-3</v>
      </c>
      <c r="K14" s="191">
        <v>66.197911600133509</v>
      </c>
      <c r="L14" s="192">
        <v>68.940691468015572</v>
      </c>
      <c r="M14" s="192">
        <v>70.830627354340564</v>
      </c>
      <c r="N14" s="162">
        <v>1.7223717049201781E-3</v>
      </c>
      <c r="O14" s="193">
        <v>72.851712356542578</v>
      </c>
      <c r="P14" s="194">
        <v>76.706078986199657</v>
      </c>
      <c r="Q14" s="194">
        <v>78.628933404111365</v>
      </c>
      <c r="R14" s="165">
        <v>5.863883912663459E-3</v>
      </c>
      <c r="S14" s="191">
        <v>71.309610591975115</v>
      </c>
      <c r="T14" s="192">
        <v>75.068155356491786</v>
      </c>
      <c r="U14" s="192">
        <v>78.628933350902855</v>
      </c>
      <c r="V14" s="162">
        <v>5.8929519104666817E-3</v>
      </c>
      <c r="W14" s="193">
        <v>68.547419745968</v>
      </c>
      <c r="X14" s="194">
        <v>72.537326728963549</v>
      </c>
      <c r="Y14" s="194">
        <v>78.628933550036621</v>
      </c>
      <c r="Z14" s="165">
        <v>5.9613264294449131E-3</v>
      </c>
      <c r="AA14" s="191">
        <v>68.547421455087033</v>
      </c>
      <c r="AB14" s="192">
        <v>69.444392344080569</v>
      </c>
      <c r="AC14" s="192">
        <v>78.62898741000383</v>
      </c>
      <c r="AD14" s="162">
        <v>5.7447190748485255E-3</v>
      </c>
      <c r="AE14" s="195">
        <v>71.614695676616435</v>
      </c>
      <c r="AF14" s="196">
        <v>75.068185556998884</v>
      </c>
      <c r="AG14" s="196">
        <v>78.628948275038027</v>
      </c>
      <c r="AH14" s="168">
        <v>5.8638900662477678E-3</v>
      </c>
    </row>
    <row r="15" spans="1:34" hidden="1" x14ac:dyDescent="0.15">
      <c r="A15" s="131" t="s">
        <v>671</v>
      </c>
      <c r="B15" s="190">
        <v>0</v>
      </c>
      <c r="C15" s="191">
        <v>2.8495315557750325</v>
      </c>
      <c r="D15" s="192">
        <v>5.7839799739736097</v>
      </c>
      <c r="E15" s="192">
        <v>8.2973560264628379</v>
      </c>
      <c r="F15" s="162" t="s">
        <v>672</v>
      </c>
      <c r="G15" s="193">
        <v>17.106704244976321</v>
      </c>
      <c r="H15" s="194">
        <v>21.582243847290865</v>
      </c>
      <c r="I15" s="194">
        <v>27.000000880120787</v>
      </c>
      <c r="J15" s="165" t="s">
        <v>672</v>
      </c>
      <c r="K15" s="191">
        <v>6.5661779206515085</v>
      </c>
      <c r="L15" s="192">
        <v>21.583045892730617</v>
      </c>
      <c r="M15" s="192">
        <v>27.001428373283826</v>
      </c>
      <c r="N15" s="162" t="s">
        <v>672</v>
      </c>
      <c r="O15" s="193">
        <v>17.106705083691999</v>
      </c>
      <c r="P15" s="194">
        <v>21.582243260858839</v>
      </c>
      <c r="Q15" s="194">
        <v>26.999998763578848</v>
      </c>
      <c r="R15" s="165" t="s">
        <v>672</v>
      </c>
      <c r="S15" s="191">
        <v>17.106705087144526</v>
      </c>
      <c r="T15" s="192">
        <v>21.582243239668912</v>
      </c>
      <c r="U15" s="192">
        <v>27.00000000053225</v>
      </c>
      <c r="V15" s="162" t="s">
        <v>672</v>
      </c>
      <c r="W15" s="193">
        <v>13.849192539182436</v>
      </c>
      <c r="X15" s="194">
        <v>14.388162179080062</v>
      </c>
      <c r="Y15" s="194">
        <v>27.000000006022105</v>
      </c>
      <c r="Z15" s="165" t="s">
        <v>672</v>
      </c>
      <c r="AA15" s="191">
        <v>11.405059267309099</v>
      </c>
      <c r="AB15" s="192">
        <v>14.036226421624894</v>
      </c>
      <c r="AC15" s="192">
        <v>27.000001119587182</v>
      </c>
      <c r="AD15" s="162" t="s">
        <v>672</v>
      </c>
      <c r="AE15" s="195">
        <v>17.106705207996299</v>
      </c>
      <c r="AF15" s="196">
        <v>21.582243483984769</v>
      </c>
      <c r="AG15" s="196">
        <v>27.000000373181653</v>
      </c>
      <c r="AH15" s="168" t="s">
        <v>672</v>
      </c>
    </row>
    <row r="16" spans="1:34" hidden="1" x14ac:dyDescent="0.15">
      <c r="A16" s="131" t="s">
        <v>673</v>
      </c>
      <c r="B16" s="190">
        <v>146</v>
      </c>
      <c r="C16" s="191">
        <v>147.55607441458625</v>
      </c>
      <c r="D16" s="192">
        <v>147.80757976432716</v>
      </c>
      <c r="E16" s="192">
        <v>151.11781505142383</v>
      </c>
      <c r="F16" s="162">
        <v>1.1120095347034731E-3</v>
      </c>
      <c r="G16" s="193">
        <v>150.24548984186771</v>
      </c>
      <c r="H16" s="194">
        <v>151.38942866634062</v>
      </c>
      <c r="I16" s="194">
        <v>151.9917101398554</v>
      </c>
      <c r="J16" s="165">
        <v>1.2982406663100132E-3</v>
      </c>
      <c r="K16" s="191">
        <v>149.25971879869815</v>
      </c>
      <c r="L16" s="192">
        <v>151.19108955726875</v>
      </c>
      <c r="M16" s="192">
        <v>151.60929194018524</v>
      </c>
      <c r="N16" s="162">
        <v>1.2168734065782782E-3</v>
      </c>
      <c r="O16" s="193">
        <v>150.4605940619258</v>
      </c>
      <c r="P16" s="194">
        <v>153.39367814195876</v>
      </c>
      <c r="Q16" s="194">
        <v>157.4859086224179</v>
      </c>
      <c r="R16" s="165">
        <v>2.4458689623829688E-3</v>
      </c>
      <c r="S16" s="191">
        <v>150.35263044492979</v>
      </c>
      <c r="T16" s="192">
        <v>152.28706662324279</v>
      </c>
      <c r="U16" s="192">
        <v>152.80258873239859</v>
      </c>
      <c r="V16" s="162">
        <v>1.4701181737448721E-3</v>
      </c>
      <c r="W16" s="193">
        <v>150.22397470602718</v>
      </c>
      <c r="X16" s="194">
        <v>151.28856818430091</v>
      </c>
      <c r="Y16" s="194">
        <v>151.76010375934936</v>
      </c>
      <c r="Z16" s="165">
        <v>1.2489853858173028E-3</v>
      </c>
      <c r="AA16" s="191">
        <v>150.24603334356033</v>
      </c>
      <c r="AB16" s="192">
        <v>151.38249839956168</v>
      </c>
      <c r="AC16" s="192">
        <v>151.98041980968279</v>
      </c>
      <c r="AD16" s="162">
        <v>1.2958412582648737E-3</v>
      </c>
      <c r="AE16" s="195">
        <v>150.34629213029345</v>
      </c>
      <c r="AF16" s="196">
        <v>151.44801762092698</v>
      </c>
      <c r="AG16" s="196">
        <v>152.02606239618069</v>
      </c>
      <c r="AH16" s="168">
        <v>1.3055401078496676E-3</v>
      </c>
    </row>
    <row r="17" spans="1:34" hidden="1" x14ac:dyDescent="0.15">
      <c r="A17" s="131" t="s">
        <v>674</v>
      </c>
      <c r="B17" s="190">
        <v>10.481999999999999</v>
      </c>
      <c r="C17" s="191">
        <v>19.648815560888458</v>
      </c>
      <c r="D17" s="192">
        <v>31.517122719472408</v>
      </c>
      <c r="E17" s="192">
        <v>49.209424240564204</v>
      </c>
      <c r="F17" s="162">
        <v>5.1149890259302833E-2</v>
      </c>
      <c r="G17" s="193">
        <v>36.226486897765398</v>
      </c>
      <c r="H17" s="194">
        <v>66.005418921521098</v>
      </c>
      <c r="I17" s="194">
        <v>106.06189322365388</v>
      </c>
      <c r="J17" s="165">
        <v>7.7514372166147094E-2</v>
      </c>
      <c r="K17" s="191">
        <v>30.674394343256086</v>
      </c>
      <c r="L17" s="192">
        <v>57.249438964456388</v>
      </c>
      <c r="M17" s="192">
        <v>82.679626265842458</v>
      </c>
      <c r="N17" s="162">
        <v>6.8892454383760127E-2</v>
      </c>
      <c r="O17" s="193">
        <v>69.677097684575372</v>
      </c>
      <c r="P17" s="194">
        <v>124.63861838033652</v>
      </c>
      <c r="Q17" s="194">
        <v>186.40166107573012</v>
      </c>
      <c r="R17" s="165">
        <v>9.7293387397364484E-2</v>
      </c>
      <c r="S17" s="191">
        <v>50.996088940303906</v>
      </c>
      <c r="T17" s="192">
        <v>87.085687925818576</v>
      </c>
      <c r="U17" s="192">
        <v>123.79334360763593</v>
      </c>
      <c r="V17" s="162">
        <v>8.2901139976481852E-2</v>
      </c>
      <c r="W17" s="193">
        <v>38.300088183098779</v>
      </c>
      <c r="X17" s="194">
        <v>73.046808493327873</v>
      </c>
      <c r="Y17" s="194">
        <v>106.59409980564821</v>
      </c>
      <c r="Z17" s="165">
        <v>7.7688364437138002E-2</v>
      </c>
      <c r="AA17" s="191">
        <v>34.233917496700229</v>
      </c>
      <c r="AB17" s="192">
        <v>63.894726550225087</v>
      </c>
      <c r="AC17" s="192">
        <v>101.63546338158147</v>
      </c>
      <c r="AD17" s="162">
        <v>7.6033624101036645E-2</v>
      </c>
      <c r="AE17" s="195">
        <v>45.260402496512519</v>
      </c>
      <c r="AF17" s="196">
        <v>76.550248685137319</v>
      </c>
      <c r="AG17" s="196">
        <v>111.12238537097771</v>
      </c>
      <c r="AH17" s="168">
        <v>7.9135662840754906E-2</v>
      </c>
    </row>
    <row r="18" spans="1:34" hidden="1" x14ac:dyDescent="0.15">
      <c r="A18" s="131" t="s">
        <v>675</v>
      </c>
      <c r="B18" s="190">
        <v>0.52500000000000002</v>
      </c>
      <c r="C18" s="191">
        <v>0.26071093249848243</v>
      </c>
      <c r="D18" s="192">
        <v>0.42467324329842776</v>
      </c>
      <c r="E18" s="192">
        <v>0.69174794888043145</v>
      </c>
      <c r="F18" s="162">
        <v>8.9372294078886583E-3</v>
      </c>
      <c r="G18" s="193">
        <v>1.7723742546355463</v>
      </c>
      <c r="H18" s="194">
        <v>7.1702371786550954</v>
      </c>
      <c r="I18" s="194">
        <v>15.48000154021136</v>
      </c>
      <c r="J18" s="165">
        <v>0.11533884716843645</v>
      </c>
      <c r="K18" s="191">
        <v>1.6362015639536103</v>
      </c>
      <c r="L18" s="192">
        <v>3.7593669524463373</v>
      </c>
      <c r="M18" s="192">
        <v>6.1222320848222829</v>
      </c>
      <c r="N18" s="162">
        <v>8.245862688755845E-2</v>
      </c>
      <c r="O18" s="193">
        <v>2.2811269686596849</v>
      </c>
      <c r="P18" s="194">
        <v>9.2284376621831576</v>
      </c>
      <c r="Q18" s="194">
        <v>15.480000033327984</v>
      </c>
      <c r="R18" s="165">
        <v>0.1153388436661329</v>
      </c>
      <c r="S18" s="191">
        <v>0.2607087305856553</v>
      </c>
      <c r="T18" s="192">
        <v>0.42466712771594062</v>
      </c>
      <c r="U18" s="192">
        <v>0.69173859726855857</v>
      </c>
      <c r="V18" s="162">
        <v>8.9367894167922124E-3</v>
      </c>
      <c r="W18" s="193">
        <v>0.26501145489728667</v>
      </c>
      <c r="X18" s="194">
        <v>0.4316765050789767</v>
      </c>
      <c r="Y18" s="194">
        <v>0.70315695134298317</v>
      </c>
      <c r="Z18" s="165">
        <v>9.469778685674779E-3</v>
      </c>
      <c r="AA18" s="191">
        <v>1.7723763033430646</v>
      </c>
      <c r="AB18" s="192">
        <v>7.1702411152676104</v>
      </c>
      <c r="AC18" s="192">
        <v>15.480002183804633</v>
      </c>
      <c r="AD18" s="162">
        <v>0.11533884866427813</v>
      </c>
      <c r="AE18" s="195">
        <v>2.2811296086952209</v>
      </c>
      <c r="AF18" s="196">
        <v>9.2284395486891384</v>
      </c>
      <c r="AG18" s="196">
        <v>15.480000610781367</v>
      </c>
      <c r="AH18" s="168">
        <v>0.1153388450082522</v>
      </c>
    </row>
    <row r="19" spans="1:34" hidden="1" x14ac:dyDescent="0.15">
      <c r="A19" s="131" t="s">
        <v>676</v>
      </c>
      <c r="B19" s="190">
        <v>0</v>
      </c>
      <c r="C19" s="191">
        <v>0</v>
      </c>
      <c r="D19" s="192">
        <v>8.6207856765199324E-5</v>
      </c>
      <c r="E19" s="192">
        <v>8.7306804982844211E-5</v>
      </c>
      <c r="F19" s="162" t="s">
        <v>672</v>
      </c>
      <c r="G19" s="193">
        <v>0</v>
      </c>
      <c r="H19" s="194">
        <v>3.2407008367205613E-3</v>
      </c>
      <c r="I19" s="194">
        <v>5.4772103881474736</v>
      </c>
      <c r="J19" s="165" t="s">
        <v>672</v>
      </c>
      <c r="K19" s="191">
        <v>0</v>
      </c>
      <c r="L19" s="192">
        <v>0</v>
      </c>
      <c r="M19" s="192">
        <v>0</v>
      </c>
      <c r="N19" s="162" t="s">
        <v>672</v>
      </c>
      <c r="O19" s="193">
        <v>0</v>
      </c>
      <c r="P19" s="194">
        <v>1.4784982270347089</v>
      </c>
      <c r="Q19" s="194">
        <v>120.65104461443414</v>
      </c>
      <c r="R19" s="165" t="s">
        <v>672</v>
      </c>
      <c r="S19" s="191">
        <v>0</v>
      </c>
      <c r="T19" s="192">
        <v>0</v>
      </c>
      <c r="U19" s="192">
        <v>0</v>
      </c>
      <c r="V19" s="162" t="s">
        <v>672</v>
      </c>
      <c r="W19" s="193">
        <v>0</v>
      </c>
      <c r="X19" s="194">
        <v>1.0757204109508604E-6</v>
      </c>
      <c r="Y19" s="194">
        <v>1.0845483505822159E-6</v>
      </c>
      <c r="Z19" s="165" t="s">
        <v>672</v>
      </c>
      <c r="AA19" s="191">
        <v>0</v>
      </c>
      <c r="AB19" s="192">
        <v>5.5260565494074715E-3</v>
      </c>
      <c r="AC19" s="192">
        <v>6.6612061398856365E-2</v>
      </c>
      <c r="AD19" s="162" t="s">
        <v>672</v>
      </c>
      <c r="AE19" s="195">
        <v>0</v>
      </c>
      <c r="AF19" s="196">
        <v>3.2070949301837008</v>
      </c>
      <c r="AG19" s="196">
        <v>3.2070979842081888</v>
      </c>
      <c r="AH19" s="168" t="s">
        <v>672</v>
      </c>
    </row>
    <row r="20" spans="1:34" hidden="1" x14ac:dyDescent="0.15">
      <c r="A20" s="134" t="s">
        <v>677</v>
      </c>
      <c r="B20" s="197">
        <v>18.016999999999999</v>
      </c>
      <c r="C20" s="198">
        <v>40.237150111135378</v>
      </c>
      <c r="D20" s="199">
        <v>49.841470568080666</v>
      </c>
      <c r="E20" s="192">
        <v>53.345503151774238</v>
      </c>
      <c r="F20" s="162">
        <v>3.5635541474685617E-2</v>
      </c>
      <c r="G20" s="200">
        <v>58.488982949120683</v>
      </c>
      <c r="H20" s="201">
        <v>82.074057857428102</v>
      </c>
      <c r="I20" s="194">
        <v>98.246650437356067</v>
      </c>
      <c r="J20" s="165">
        <v>5.623955717797835E-2</v>
      </c>
      <c r="K20" s="198">
        <v>42.68385404215195</v>
      </c>
      <c r="L20" s="199">
        <v>62.82554402811737</v>
      </c>
      <c r="M20" s="192">
        <v>69.982275085281913</v>
      </c>
      <c r="N20" s="162">
        <v>4.4743931960055328E-2</v>
      </c>
      <c r="O20" s="200">
        <v>55.369790980835887</v>
      </c>
      <c r="P20" s="201">
        <v>70.824388794950252</v>
      </c>
      <c r="Q20" s="194">
        <v>85.960177613392318</v>
      </c>
      <c r="R20" s="165">
        <v>5.9316496641339755E-2</v>
      </c>
      <c r="S20" s="198">
        <v>59.866442129651446</v>
      </c>
      <c r="T20" s="199">
        <v>81.355857719244483</v>
      </c>
      <c r="U20" s="192">
        <v>95.625177929973745</v>
      </c>
      <c r="V20" s="162">
        <v>5.5318475015414981E-2</v>
      </c>
      <c r="W20" s="200">
        <v>62.037407292817392</v>
      </c>
      <c r="X20" s="201">
        <v>82.142871644170867</v>
      </c>
      <c r="Y20" s="194">
        <v>95.810455673358376</v>
      </c>
      <c r="Z20" s="165">
        <v>5.5384372071033194E-2</v>
      </c>
      <c r="AA20" s="198">
        <v>62.037407292817392</v>
      </c>
      <c r="AB20" s="199">
        <v>82.142871644170867</v>
      </c>
      <c r="AC20" s="192">
        <v>95.810455673358376</v>
      </c>
      <c r="AD20" s="162">
        <v>5.5384372071033194E-2</v>
      </c>
      <c r="AE20" s="202">
        <v>56.844796140791765</v>
      </c>
      <c r="AF20" s="203">
        <v>80.413590019071748</v>
      </c>
      <c r="AG20" s="196">
        <v>98.455458805936118</v>
      </c>
      <c r="AH20" s="168">
        <v>5.6311898201369726E-2</v>
      </c>
    </row>
    <row r="21" spans="1:34" hidden="1" x14ac:dyDescent="0.15">
      <c r="A21" s="146" t="s">
        <v>678</v>
      </c>
      <c r="B21" s="204">
        <v>753.1</v>
      </c>
      <c r="C21" s="205">
        <v>613.55881575348315</v>
      </c>
      <c r="D21" s="206">
        <v>472.892459987655</v>
      </c>
      <c r="E21" s="207">
        <v>363.17696427194664</v>
      </c>
      <c r="F21" s="181">
        <v>-2.3251477862507031E-2</v>
      </c>
      <c r="G21" s="208">
        <v>506.35804227549312</v>
      </c>
      <c r="H21" s="209">
        <v>289.00253595184932</v>
      </c>
      <c r="I21" s="210">
        <v>112.7516244284425</v>
      </c>
      <c r="J21" s="185">
        <v>-5.9419844686995793E-2</v>
      </c>
      <c r="K21" s="205">
        <v>497.33079940645632</v>
      </c>
      <c r="L21" s="206">
        <v>287.30475412436175</v>
      </c>
      <c r="M21" s="207">
        <v>120.28424660283517</v>
      </c>
      <c r="N21" s="181">
        <v>-5.7455616574506041E-2</v>
      </c>
      <c r="O21" s="208">
        <v>410.20524551910177</v>
      </c>
      <c r="P21" s="209">
        <v>195.28387203626852</v>
      </c>
      <c r="Q21" s="210">
        <v>4.1576425670243786</v>
      </c>
      <c r="R21" s="185">
        <v>-0.15440751819273291</v>
      </c>
      <c r="S21" s="205">
        <v>493.60745021914886</v>
      </c>
      <c r="T21" s="206">
        <v>283.33976961592776</v>
      </c>
      <c r="U21" s="207">
        <v>130.75670774230861</v>
      </c>
      <c r="V21" s="181">
        <v>-5.4913992590283511E-2</v>
      </c>
      <c r="W21" s="208">
        <v>506.09770322738922</v>
      </c>
      <c r="X21" s="209">
        <v>285.80673969617646</v>
      </c>
      <c r="Y21" s="210">
        <v>128.40177582445187</v>
      </c>
      <c r="Z21" s="185">
        <v>-5.5467900051703989E-2</v>
      </c>
      <c r="AA21" s="205">
        <v>507.25032956633589</v>
      </c>
      <c r="AB21" s="206">
        <v>290.76391459538723</v>
      </c>
      <c r="AC21" s="207">
        <v>113.09994439556435</v>
      </c>
      <c r="AD21" s="181">
        <v>-5.9326252127708923E-2</v>
      </c>
      <c r="AE21" s="211">
        <v>419.24230348064708</v>
      </c>
      <c r="AF21" s="212">
        <v>208.82258190409252</v>
      </c>
      <c r="AG21" s="213">
        <v>112.63422661725392</v>
      </c>
      <c r="AH21" s="189">
        <v>-5.9451452191342069E-2</v>
      </c>
    </row>
    <row r="22" spans="1:34" hidden="1" x14ac:dyDescent="0.15">
      <c r="A22" s="131" t="s">
        <v>679</v>
      </c>
      <c r="B22" s="214">
        <v>3.35</v>
      </c>
      <c r="C22" s="191">
        <v>3.4071911388632503</v>
      </c>
      <c r="D22" s="192">
        <v>2.8906623354426593</v>
      </c>
      <c r="E22" s="192">
        <v>2.355004635401833</v>
      </c>
      <c r="F22" s="162">
        <v>-1.1303936217250121E-2</v>
      </c>
      <c r="G22" s="193">
        <v>1.9070158352284103</v>
      </c>
      <c r="H22" s="194">
        <v>1.0240723545891148</v>
      </c>
      <c r="I22" s="194">
        <v>0.20177511740799425</v>
      </c>
      <c r="J22" s="165">
        <v>-8.6645347786606375E-2</v>
      </c>
      <c r="K22" s="191">
        <v>1.9430569724175122</v>
      </c>
      <c r="L22" s="192">
        <v>0.97950007094468861</v>
      </c>
      <c r="M22" s="192">
        <v>0.1895853606095966</v>
      </c>
      <c r="N22" s="162">
        <v>-8.8479476881529573E-2</v>
      </c>
      <c r="O22" s="193">
        <v>1.9070098706200225</v>
      </c>
      <c r="P22" s="194">
        <v>0.97879893376108806</v>
      </c>
      <c r="Q22" s="194">
        <v>0.19079423460044526</v>
      </c>
      <c r="R22" s="165">
        <v>-8.8292561706705852E-2</v>
      </c>
      <c r="S22" s="191">
        <v>1.9070068862438081</v>
      </c>
      <c r="T22" s="192">
        <v>1.0247661826254861</v>
      </c>
      <c r="U22" s="192">
        <v>0.20179685085314797</v>
      </c>
      <c r="V22" s="162">
        <v>-8.664217445041722E-2</v>
      </c>
      <c r="W22" s="193">
        <v>1.9069980179701216</v>
      </c>
      <c r="X22" s="194">
        <v>1.0246113284100609</v>
      </c>
      <c r="Y22" s="194">
        <v>0.20146669979462978</v>
      </c>
      <c r="Z22" s="165">
        <v>-8.6690416039806872E-2</v>
      </c>
      <c r="AA22" s="191">
        <v>1.9070191039419502</v>
      </c>
      <c r="AB22" s="192">
        <v>0.9841494921529873</v>
      </c>
      <c r="AC22" s="192">
        <v>0.18960567908847611</v>
      </c>
      <c r="AD22" s="162">
        <v>-8.8476325734773376E-2</v>
      </c>
      <c r="AE22" s="195">
        <v>1.9070121087159038</v>
      </c>
      <c r="AF22" s="196">
        <v>1.0242096197759598</v>
      </c>
      <c r="AG22" s="196">
        <v>0.20180237858974281</v>
      </c>
      <c r="AH22" s="168">
        <v>-8.6641367389234558E-2</v>
      </c>
    </row>
    <row r="23" spans="1:34" ht="12" hidden="1" x14ac:dyDescent="0.15">
      <c r="A23" s="131" t="s">
        <v>680</v>
      </c>
      <c r="B23" s="214">
        <v>366.52</v>
      </c>
      <c r="C23" s="191">
        <v>243.00732608894842</v>
      </c>
      <c r="D23" s="192">
        <v>173.45859857233449</v>
      </c>
      <c r="E23" s="192">
        <v>122.84601086416822</v>
      </c>
      <c r="F23" s="162">
        <v>-3.4647522508428508E-2</v>
      </c>
      <c r="G23" s="193">
        <v>185.22682660584729</v>
      </c>
      <c r="H23" s="194">
        <v>84.17126332972046</v>
      </c>
      <c r="I23" s="194">
        <v>0</v>
      </c>
      <c r="J23" s="165">
        <v>-1</v>
      </c>
      <c r="K23" s="191">
        <v>179.6916889588239</v>
      </c>
      <c r="L23" s="192">
        <v>52.418008286490505</v>
      </c>
      <c r="M23" s="192">
        <v>8.8335189854825708E-3</v>
      </c>
      <c r="N23" s="162">
        <v>-0.29036762365066771</v>
      </c>
      <c r="O23" s="193">
        <v>143.74666629086033</v>
      </c>
      <c r="P23" s="194">
        <v>57.54125186288497</v>
      </c>
      <c r="Q23" s="194">
        <v>0</v>
      </c>
      <c r="R23" s="165">
        <v>-1</v>
      </c>
      <c r="S23" s="191">
        <v>185.69682120188622</v>
      </c>
      <c r="T23" s="192">
        <v>86.630919046209058</v>
      </c>
      <c r="U23" s="192">
        <v>0</v>
      </c>
      <c r="V23" s="162">
        <v>-1</v>
      </c>
      <c r="W23" s="193">
        <v>185.32553913625281</v>
      </c>
      <c r="X23" s="194">
        <v>85.96905406208208</v>
      </c>
      <c r="Y23" s="194">
        <v>0</v>
      </c>
      <c r="Z23" s="165">
        <v>-1</v>
      </c>
      <c r="AA23" s="191">
        <v>183.20199766716942</v>
      </c>
      <c r="AB23" s="192">
        <v>81.212801709417022</v>
      </c>
      <c r="AC23" s="192">
        <v>2.0151621730188838</v>
      </c>
      <c r="AD23" s="162">
        <v>-0.15451944587000699</v>
      </c>
      <c r="AE23" s="195">
        <v>186.48763761698899</v>
      </c>
      <c r="AF23" s="196">
        <v>80.684700175416367</v>
      </c>
      <c r="AG23" s="196">
        <v>0</v>
      </c>
      <c r="AH23" s="168">
        <v>-1</v>
      </c>
    </row>
    <row r="24" spans="1:34" hidden="1" x14ac:dyDescent="0.15">
      <c r="A24" s="131" t="s">
        <v>681</v>
      </c>
      <c r="B24" s="214">
        <v>122.61</v>
      </c>
      <c r="C24" s="191">
        <v>150.68900939115503</v>
      </c>
      <c r="D24" s="192">
        <v>175.39897764640475</v>
      </c>
      <c r="E24" s="192">
        <v>201.25377252154149</v>
      </c>
      <c r="F24" s="162">
        <v>1.6114199950096886E-2</v>
      </c>
      <c r="G24" s="193">
        <v>94.172631060842477</v>
      </c>
      <c r="H24" s="194">
        <v>78.441289733792331</v>
      </c>
      <c r="I24" s="194">
        <v>58.739177137395714</v>
      </c>
      <c r="J24" s="165">
        <v>-2.3459215484097351E-2</v>
      </c>
      <c r="K24" s="191">
        <v>104.29781164221565</v>
      </c>
      <c r="L24" s="192">
        <v>95.99626087964991</v>
      </c>
      <c r="M24" s="192">
        <v>61.55725108222606</v>
      </c>
      <c r="N24" s="162">
        <v>-2.1981924348266402E-2</v>
      </c>
      <c r="O24" s="193">
        <v>57.592518729475621</v>
      </c>
      <c r="P24" s="194">
        <v>51.246525812425823</v>
      </c>
      <c r="Q24" s="194">
        <v>0</v>
      </c>
      <c r="R24" s="165">
        <v>-1</v>
      </c>
      <c r="S24" s="191">
        <v>93.558216430772688</v>
      </c>
      <c r="T24" s="192">
        <v>75.248206376165683</v>
      </c>
      <c r="U24" s="192">
        <v>46.228453541773334</v>
      </c>
      <c r="V24" s="162">
        <v>-3.0975068883791423E-2</v>
      </c>
      <c r="W24" s="193">
        <v>94.01976065062351</v>
      </c>
      <c r="X24" s="194">
        <v>76.087743507704729</v>
      </c>
      <c r="Y24" s="194">
        <v>44.61052875971486</v>
      </c>
      <c r="Z24" s="165">
        <v>-3.2088044693663664E-2</v>
      </c>
      <c r="AA24" s="191">
        <v>96.769074660750803</v>
      </c>
      <c r="AB24" s="192">
        <v>82.296210801606946</v>
      </c>
      <c r="AC24" s="192">
        <v>56.122187830728699</v>
      </c>
      <c r="AD24" s="162">
        <v>-2.4893854445284913E-2</v>
      </c>
      <c r="AE24" s="195">
        <v>92.518914434438315</v>
      </c>
      <c r="AF24" s="196">
        <v>83.00140366784224</v>
      </c>
      <c r="AG24" s="196">
        <v>58.739102387169247</v>
      </c>
      <c r="AH24" s="168">
        <v>-2.3459255572025772E-2</v>
      </c>
    </row>
    <row r="25" spans="1:34" hidden="1" x14ac:dyDescent="0.15">
      <c r="A25" s="131" t="s">
        <v>682</v>
      </c>
      <c r="B25" s="214">
        <v>275.77999999999997</v>
      </c>
      <c r="C25" s="191">
        <v>205.3603281868771</v>
      </c>
      <c r="D25" s="192">
        <v>84.422043800654734</v>
      </c>
      <c r="E25" s="192">
        <v>0</v>
      </c>
      <c r="F25" s="162">
        <v>-1</v>
      </c>
      <c r="G25" s="193">
        <v>205.36032692997193</v>
      </c>
      <c r="H25" s="194">
        <v>84.422043929263594</v>
      </c>
      <c r="I25" s="194">
        <v>0</v>
      </c>
      <c r="J25" s="165">
        <v>-1</v>
      </c>
      <c r="K25" s="191">
        <v>205.32740842556848</v>
      </c>
      <c r="L25" s="192">
        <v>84.422187028153459</v>
      </c>
      <c r="M25" s="192">
        <v>0</v>
      </c>
      <c r="N25" s="162">
        <v>-1</v>
      </c>
      <c r="O25" s="193">
        <v>205.28739634171569</v>
      </c>
      <c r="P25" s="194">
        <v>84.422043795870621</v>
      </c>
      <c r="Q25" s="194">
        <v>0</v>
      </c>
      <c r="R25" s="165">
        <v>-1</v>
      </c>
      <c r="S25" s="191">
        <v>205.36033115653296</v>
      </c>
      <c r="T25" s="192">
        <v>84.422043795352451</v>
      </c>
      <c r="U25" s="192">
        <v>0</v>
      </c>
      <c r="V25" s="162">
        <v>-1</v>
      </c>
      <c r="W25" s="193">
        <v>205.36032995908158</v>
      </c>
      <c r="X25" s="194">
        <v>84.422043795956455</v>
      </c>
      <c r="Y25" s="194">
        <v>0</v>
      </c>
      <c r="Z25" s="165">
        <v>-1</v>
      </c>
      <c r="AA25" s="191">
        <v>205.36032212596737</v>
      </c>
      <c r="AB25" s="192">
        <v>84.422043980795706</v>
      </c>
      <c r="AC25" s="192">
        <v>0</v>
      </c>
      <c r="AD25" s="162">
        <v>-1</v>
      </c>
      <c r="AE25" s="195">
        <v>98.803232956516553</v>
      </c>
      <c r="AF25" s="196">
        <v>0</v>
      </c>
      <c r="AG25" s="196">
        <v>0</v>
      </c>
      <c r="AH25" s="168">
        <v>-1</v>
      </c>
    </row>
    <row r="26" spans="1:34" hidden="1" x14ac:dyDescent="0.15">
      <c r="A26" s="131" t="s">
        <v>683</v>
      </c>
      <c r="B26" s="214">
        <v>7.37</v>
      </c>
      <c r="C26" s="191">
        <v>4.2732016306719842</v>
      </c>
      <c r="D26" s="192">
        <v>4.2732022656160407</v>
      </c>
      <c r="E26" s="192">
        <v>4.2732016691911117</v>
      </c>
      <c r="F26" s="162">
        <v>-1.742873010087409E-2</v>
      </c>
      <c r="G26" s="193">
        <v>12.067580149289215</v>
      </c>
      <c r="H26" s="194">
        <v>18.049269575497345</v>
      </c>
      <c r="I26" s="194">
        <v>37.397303844237044</v>
      </c>
      <c r="J26" s="165">
        <v>5.378972935185522E-2</v>
      </c>
      <c r="K26" s="191">
        <v>10.961239456743014</v>
      </c>
      <c r="L26" s="192">
        <v>52.034361483485668</v>
      </c>
      <c r="M26" s="192">
        <v>58.182184132464222</v>
      </c>
      <c r="N26" s="162">
        <v>6.892168633490936E-2</v>
      </c>
      <c r="O26" s="193">
        <v>6.7671122781443813</v>
      </c>
      <c r="P26" s="194">
        <v>6.8893077317812015</v>
      </c>
      <c r="Q26" s="194">
        <v>10.613153699058508</v>
      </c>
      <c r="R26" s="165">
        <v>1.1833221251455583E-2</v>
      </c>
      <c r="S26" s="191">
        <v>12.098120984127799</v>
      </c>
      <c r="T26" s="192">
        <v>21.620726289436274</v>
      </c>
      <c r="U26" s="192">
        <v>51.814317773335873</v>
      </c>
      <c r="V26" s="162">
        <v>6.4932324346560044E-2</v>
      </c>
      <c r="W26" s="193">
        <v>12.008529316067143</v>
      </c>
      <c r="X26" s="194">
        <v>19.374329451381449</v>
      </c>
      <c r="Y26" s="194">
        <v>49.042002366770923</v>
      </c>
      <c r="Z26" s="165">
        <v>6.3044967076448133E-2</v>
      </c>
      <c r="AA26" s="191">
        <v>12.169477571130727</v>
      </c>
      <c r="AB26" s="192">
        <v>21.085463126615267</v>
      </c>
      <c r="AC26" s="192">
        <v>38.499774391120063</v>
      </c>
      <c r="AD26" s="162">
        <v>5.4777823393097114E-2</v>
      </c>
      <c r="AE26" s="195">
        <v>10.214795119071574</v>
      </c>
      <c r="AF26" s="196">
        <v>18.413510826315736</v>
      </c>
      <c r="AG26" s="196">
        <v>37.397297716674238</v>
      </c>
      <c r="AH26" s="168">
        <v>5.3789723782053045E-2</v>
      </c>
    </row>
    <row r="27" spans="1:34" hidden="1" x14ac:dyDescent="0.15">
      <c r="A27" s="131" t="s">
        <v>354</v>
      </c>
      <c r="B27" s="214">
        <v>-22.53</v>
      </c>
      <c r="C27" s="191">
        <v>6.8217593169673236</v>
      </c>
      <c r="D27" s="192">
        <v>32.448975367202294</v>
      </c>
      <c r="E27" s="192">
        <v>32.448974535717696</v>
      </c>
      <c r="F27" s="162">
        <v>-2.0118379424834076</v>
      </c>
      <c r="G27" s="193">
        <v>7.6236616943138173</v>
      </c>
      <c r="H27" s="194">
        <v>22.071785874108798</v>
      </c>
      <c r="I27" s="194">
        <v>15.590558447223156</v>
      </c>
      <c r="J27" s="165">
        <v>-1.9881934045370888</v>
      </c>
      <c r="K27" s="191">
        <v>-4.8904060493121904</v>
      </c>
      <c r="L27" s="192">
        <v>1.4544363756374921</v>
      </c>
      <c r="M27" s="192">
        <v>0.34639250854979764</v>
      </c>
      <c r="N27" s="162">
        <v>-1.8739969415569422</v>
      </c>
      <c r="O27" s="193">
        <v>-5.0954579917142979</v>
      </c>
      <c r="P27" s="194">
        <v>-5.7975443827187974</v>
      </c>
      <c r="Q27" s="194">
        <v>-6.6497936588310296</v>
      </c>
      <c r="R27" s="165">
        <v>-3.8598619919060773E-2</v>
      </c>
      <c r="S27" s="191">
        <v>-5.0130464404145911</v>
      </c>
      <c r="T27" s="192">
        <v>12.45085541107067</v>
      </c>
      <c r="U27" s="192">
        <v>30.569887045056689</v>
      </c>
      <c r="V27" s="162">
        <v>-2.0098927316432538</v>
      </c>
      <c r="W27" s="193">
        <v>7.4765461473940826</v>
      </c>
      <c r="X27" s="194">
        <v>18.555280279226452</v>
      </c>
      <c r="Y27" s="194">
        <v>34.174100675642144</v>
      </c>
      <c r="Z27" s="165">
        <v>-2.0135300791105228</v>
      </c>
      <c r="AA27" s="191">
        <v>7.8424384373756126</v>
      </c>
      <c r="AB27" s="192">
        <v>18.82099157980165</v>
      </c>
      <c r="AC27" s="192">
        <v>14.330961844460738</v>
      </c>
      <c r="AD27" s="162">
        <v>-1.985511614034952</v>
      </c>
      <c r="AE27" s="195">
        <v>29.310711244915669</v>
      </c>
      <c r="AF27" s="196">
        <v>25.199543073564861</v>
      </c>
      <c r="AG27" s="196">
        <v>15.796810213028676</v>
      </c>
      <c r="AH27" s="168">
        <v>-1.9886124405359575</v>
      </c>
    </row>
    <row r="28" spans="1:34" hidden="1" x14ac:dyDescent="0.15">
      <c r="A28" s="134" t="s">
        <v>684</v>
      </c>
      <c r="B28" s="215">
        <v>0</v>
      </c>
      <c r="C28" s="198">
        <v>0</v>
      </c>
      <c r="D28" s="199">
        <v>0</v>
      </c>
      <c r="E28" s="199">
        <v>4.59262906886732E-8</v>
      </c>
      <c r="F28" s="216" t="s">
        <v>672</v>
      </c>
      <c r="G28" s="200">
        <v>0</v>
      </c>
      <c r="H28" s="201">
        <v>0.82281115487770773</v>
      </c>
      <c r="I28" s="201">
        <v>0.82280988217857032</v>
      </c>
      <c r="J28" s="217" t="s">
        <v>672</v>
      </c>
      <c r="K28" s="198">
        <v>0</v>
      </c>
      <c r="L28" s="199">
        <v>0</v>
      </c>
      <c r="M28" s="199">
        <v>0</v>
      </c>
      <c r="N28" s="216" t="s">
        <v>672</v>
      </c>
      <c r="O28" s="200">
        <v>0</v>
      </c>
      <c r="P28" s="201">
        <v>3.4882822636251899E-3</v>
      </c>
      <c r="Q28" s="201">
        <v>3.4882921964544899E-3</v>
      </c>
      <c r="R28" s="217" t="s">
        <v>672</v>
      </c>
      <c r="S28" s="198">
        <v>0</v>
      </c>
      <c r="T28" s="199">
        <v>1.9422525150680925</v>
      </c>
      <c r="U28" s="199">
        <v>1.9422525312895798</v>
      </c>
      <c r="V28" s="216" t="s">
        <v>672</v>
      </c>
      <c r="W28" s="200">
        <v>0</v>
      </c>
      <c r="X28" s="201">
        <v>0.37367727141524032</v>
      </c>
      <c r="Y28" s="201">
        <v>0.37367732252932251</v>
      </c>
      <c r="Z28" s="217" t="s">
        <v>672</v>
      </c>
      <c r="AA28" s="198">
        <v>0</v>
      </c>
      <c r="AB28" s="199">
        <v>1.9422539049976617</v>
      </c>
      <c r="AC28" s="199">
        <v>1.9422524771474752</v>
      </c>
      <c r="AD28" s="216" t="s">
        <v>672</v>
      </c>
      <c r="AE28" s="202">
        <v>0</v>
      </c>
      <c r="AF28" s="203">
        <v>0.4992145411773603</v>
      </c>
      <c r="AG28" s="203">
        <v>0.49921392179202301</v>
      </c>
      <c r="AH28" s="218" t="s">
        <v>672</v>
      </c>
    </row>
    <row r="29" spans="1:34" hidden="1" x14ac:dyDescent="0.15">
      <c r="A29" s="146" t="s">
        <v>685</v>
      </c>
      <c r="B29" s="204">
        <v>1038.7848437726288</v>
      </c>
      <c r="C29" s="205">
        <v>935.13711640370605</v>
      </c>
      <c r="D29" s="206">
        <v>820.19022568848118</v>
      </c>
      <c r="E29" s="207">
        <v>738.85233523907709</v>
      </c>
      <c r="F29" s="181">
        <v>-1.0930430573022676E-2</v>
      </c>
      <c r="G29" s="208">
        <v>890.87539606063251</v>
      </c>
      <c r="H29" s="209">
        <v>747.24342278866663</v>
      </c>
      <c r="I29" s="210">
        <v>657.57862359262685</v>
      </c>
      <c r="J29" s="185">
        <v>-1.4556241202412945E-2</v>
      </c>
      <c r="K29" s="205">
        <v>837.0252577183652</v>
      </c>
      <c r="L29" s="206">
        <v>697.36572207694576</v>
      </c>
      <c r="M29" s="207">
        <v>576.74307900114854</v>
      </c>
      <c r="N29" s="181">
        <v>-1.8765992791004771E-2</v>
      </c>
      <c r="O29" s="208">
        <v>827.88872600585523</v>
      </c>
      <c r="P29" s="209">
        <v>709.16964235265243</v>
      </c>
      <c r="Q29" s="210">
        <v>739.12022931227239</v>
      </c>
      <c r="R29" s="185">
        <v>-1.0723242568632663E-2</v>
      </c>
      <c r="S29" s="205">
        <v>893.43608949314273</v>
      </c>
      <c r="T29" s="206">
        <v>757.17727443951173</v>
      </c>
      <c r="U29" s="207">
        <v>672.65335253335411</v>
      </c>
      <c r="V29" s="181">
        <v>-1.383509092540347E-2</v>
      </c>
      <c r="W29" s="208">
        <v>889.25725050687197</v>
      </c>
      <c r="X29" s="209">
        <v>735.67598144452347</v>
      </c>
      <c r="Y29" s="210">
        <v>652.25338940011966</v>
      </c>
      <c r="Z29" s="185">
        <v>-1.4810079568493451E-2</v>
      </c>
      <c r="AA29" s="205">
        <v>884.79744683888043</v>
      </c>
      <c r="AB29" s="206">
        <v>733.7884304726424</v>
      </c>
      <c r="AC29" s="207">
        <v>645.64246950172321</v>
      </c>
      <c r="AD29" s="181">
        <v>-1.5147212829920709E-2</v>
      </c>
      <c r="AE29" s="211">
        <v>812.00122546103353</v>
      </c>
      <c r="AF29" s="212">
        <v>681.26842509666312</v>
      </c>
      <c r="AG29" s="213">
        <v>660.49472935772371</v>
      </c>
      <c r="AH29" s="189">
        <v>-1.441700042366445E-2</v>
      </c>
    </row>
    <row r="30" spans="1:34" hidden="1" x14ac:dyDescent="0.15">
      <c r="A30" s="131" t="s">
        <v>679</v>
      </c>
      <c r="B30" s="214">
        <v>3.35</v>
      </c>
      <c r="C30" s="219">
        <v>3.4071911388632503</v>
      </c>
      <c r="D30" s="220">
        <v>2.8906623354426593</v>
      </c>
      <c r="E30" s="220">
        <v>2.355004635401833</v>
      </c>
      <c r="F30" s="162">
        <v>-1.1303936217250121E-2</v>
      </c>
      <c r="G30" s="221">
        <v>1.9070158352284103</v>
      </c>
      <c r="H30" s="222">
        <v>1.0240723545891148</v>
      </c>
      <c r="I30" s="222">
        <v>0.20177511740799425</v>
      </c>
      <c r="J30" s="165">
        <v>-8.6645347786606375E-2</v>
      </c>
      <c r="K30" s="219">
        <v>1.9430569724175122</v>
      </c>
      <c r="L30" s="220">
        <v>0.97950007094468861</v>
      </c>
      <c r="M30" s="220">
        <v>0.1895853606095966</v>
      </c>
      <c r="N30" s="162">
        <v>-8.8479476881529573E-2</v>
      </c>
      <c r="O30" s="221">
        <v>1.9070098706200225</v>
      </c>
      <c r="P30" s="222">
        <v>0.97879893376108806</v>
      </c>
      <c r="Q30" s="222">
        <v>0.19079423460044526</v>
      </c>
      <c r="R30" s="165">
        <v>-8.8292561706705852E-2</v>
      </c>
      <c r="S30" s="219">
        <v>1.9070068862438081</v>
      </c>
      <c r="T30" s="220">
        <v>1.0247661826254861</v>
      </c>
      <c r="U30" s="220">
        <v>0.20179685085314797</v>
      </c>
      <c r="V30" s="162">
        <v>-8.664217445041722E-2</v>
      </c>
      <c r="W30" s="221">
        <v>1.9069980179701216</v>
      </c>
      <c r="X30" s="222">
        <v>1.0246113284100609</v>
      </c>
      <c r="Y30" s="222">
        <v>0.20146669979462978</v>
      </c>
      <c r="Z30" s="165">
        <v>-8.6690416039806872E-2</v>
      </c>
      <c r="AA30" s="219">
        <v>1.9070191039419502</v>
      </c>
      <c r="AB30" s="220">
        <v>0.9841494921529873</v>
      </c>
      <c r="AC30" s="220">
        <v>0.18960567908847611</v>
      </c>
      <c r="AD30" s="162">
        <v>-8.8476325734773376E-2</v>
      </c>
      <c r="AE30" s="223">
        <v>1.9070121087159038</v>
      </c>
      <c r="AF30" s="224">
        <v>1.0242096197759598</v>
      </c>
      <c r="AG30" s="224">
        <v>0.20180237858974281</v>
      </c>
      <c r="AH30" s="168">
        <v>-8.6641367389234558E-2</v>
      </c>
    </row>
    <row r="31" spans="1:34" ht="12" hidden="1" x14ac:dyDescent="0.15">
      <c r="A31" s="131" t="s">
        <v>680</v>
      </c>
      <c r="B31" s="214">
        <v>366.52</v>
      </c>
      <c r="C31" s="219">
        <v>243.00732608894842</v>
      </c>
      <c r="D31" s="220">
        <v>173.45859857233449</v>
      </c>
      <c r="E31" s="220">
        <v>122.84601086416822</v>
      </c>
      <c r="F31" s="162">
        <v>-3.4647522508428508E-2</v>
      </c>
      <c r="G31" s="221">
        <v>185.22682660584729</v>
      </c>
      <c r="H31" s="222">
        <v>84.17126332972046</v>
      </c>
      <c r="I31" s="222">
        <v>0</v>
      </c>
      <c r="J31" s="165">
        <v>-1</v>
      </c>
      <c r="K31" s="219">
        <v>179.6916889588239</v>
      </c>
      <c r="L31" s="220">
        <v>52.418008286490505</v>
      </c>
      <c r="M31" s="220">
        <v>8.8335189854825708E-3</v>
      </c>
      <c r="N31" s="162">
        <v>-0.29036762365066771</v>
      </c>
      <c r="O31" s="221">
        <v>143.74666629086033</v>
      </c>
      <c r="P31" s="222">
        <v>57.54125186288497</v>
      </c>
      <c r="Q31" s="222">
        <v>0</v>
      </c>
      <c r="R31" s="165">
        <v>-1</v>
      </c>
      <c r="S31" s="219">
        <v>185.69682120188622</v>
      </c>
      <c r="T31" s="220">
        <v>86.630919046209058</v>
      </c>
      <c r="U31" s="220">
        <v>0</v>
      </c>
      <c r="V31" s="162">
        <v>-1</v>
      </c>
      <c r="W31" s="221">
        <v>185.32553913625281</v>
      </c>
      <c r="X31" s="222">
        <v>85.96905406208208</v>
      </c>
      <c r="Y31" s="222">
        <v>0</v>
      </c>
      <c r="Z31" s="165">
        <v>-1</v>
      </c>
      <c r="AA31" s="219">
        <v>183.20199766716942</v>
      </c>
      <c r="AB31" s="220">
        <v>81.212801709417022</v>
      </c>
      <c r="AC31" s="220">
        <v>2.0151621730188838</v>
      </c>
      <c r="AD31" s="162">
        <v>-0.15451944587000699</v>
      </c>
      <c r="AE31" s="223">
        <v>186.48763761698899</v>
      </c>
      <c r="AF31" s="224">
        <v>80.684700175416367</v>
      </c>
      <c r="AG31" s="224">
        <v>0</v>
      </c>
      <c r="AH31" s="168">
        <v>-1</v>
      </c>
    </row>
    <row r="32" spans="1:34" hidden="1" x14ac:dyDescent="0.15">
      <c r="A32" s="131" t="s">
        <v>681</v>
      </c>
      <c r="B32" s="214">
        <v>122.61</v>
      </c>
      <c r="C32" s="219">
        <v>150.68900939115503</v>
      </c>
      <c r="D32" s="220">
        <v>175.39897764640475</v>
      </c>
      <c r="E32" s="220">
        <v>201.25377252154149</v>
      </c>
      <c r="F32" s="162">
        <v>1.6114199950096886E-2</v>
      </c>
      <c r="G32" s="221">
        <v>94.172631060842477</v>
      </c>
      <c r="H32" s="222">
        <v>78.441289733792331</v>
      </c>
      <c r="I32" s="222">
        <v>58.739177137395714</v>
      </c>
      <c r="J32" s="165">
        <v>-2.3459215484097351E-2</v>
      </c>
      <c r="K32" s="219">
        <v>104.29781164221565</v>
      </c>
      <c r="L32" s="220">
        <v>95.99626087964991</v>
      </c>
      <c r="M32" s="220">
        <v>61.55725108222606</v>
      </c>
      <c r="N32" s="162">
        <v>-2.1981924348266402E-2</v>
      </c>
      <c r="O32" s="221">
        <v>57.592518729475621</v>
      </c>
      <c r="P32" s="222">
        <v>51.246525812425823</v>
      </c>
      <c r="Q32" s="222">
        <v>0</v>
      </c>
      <c r="R32" s="165">
        <v>-1</v>
      </c>
      <c r="S32" s="219">
        <v>93.558216430772688</v>
      </c>
      <c r="T32" s="220">
        <v>75.248206376165683</v>
      </c>
      <c r="U32" s="220">
        <v>46.228453541773334</v>
      </c>
      <c r="V32" s="162">
        <v>-3.0975068883791423E-2</v>
      </c>
      <c r="W32" s="221">
        <v>94.01976065062351</v>
      </c>
      <c r="X32" s="222">
        <v>76.087743507704729</v>
      </c>
      <c r="Y32" s="222">
        <v>44.61052875971486</v>
      </c>
      <c r="Z32" s="165">
        <v>-3.2088044693663664E-2</v>
      </c>
      <c r="AA32" s="219">
        <v>96.769074660750803</v>
      </c>
      <c r="AB32" s="220">
        <v>82.296210801606946</v>
      </c>
      <c r="AC32" s="220">
        <v>56.122187830728699</v>
      </c>
      <c r="AD32" s="162">
        <v>-2.4893854445284913E-2</v>
      </c>
      <c r="AE32" s="223">
        <v>92.518914434438315</v>
      </c>
      <c r="AF32" s="224">
        <v>83.00140366784224</v>
      </c>
      <c r="AG32" s="224">
        <v>58.739102387169247</v>
      </c>
      <c r="AH32" s="168">
        <v>-2.3459255572025772E-2</v>
      </c>
    </row>
    <row r="33" spans="1:34" hidden="1" x14ac:dyDescent="0.15">
      <c r="A33" s="131" t="s">
        <v>682</v>
      </c>
      <c r="B33" s="214">
        <v>275.77999999999997</v>
      </c>
      <c r="C33" s="219">
        <v>205.3603281868771</v>
      </c>
      <c r="D33" s="220">
        <v>84.422043800654734</v>
      </c>
      <c r="E33" s="220">
        <v>0</v>
      </c>
      <c r="F33" s="162">
        <v>-1</v>
      </c>
      <c r="G33" s="221">
        <v>205.36032692997193</v>
      </c>
      <c r="H33" s="222">
        <v>84.422043929263594</v>
      </c>
      <c r="I33" s="222">
        <v>0</v>
      </c>
      <c r="J33" s="165">
        <v>-1</v>
      </c>
      <c r="K33" s="219">
        <v>205.32740842556848</v>
      </c>
      <c r="L33" s="220">
        <v>84.422187028153459</v>
      </c>
      <c r="M33" s="220">
        <v>0</v>
      </c>
      <c r="N33" s="162">
        <v>-1</v>
      </c>
      <c r="O33" s="221">
        <v>205.28739634171569</v>
      </c>
      <c r="P33" s="222">
        <v>84.422043795870621</v>
      </c>
      <c r="Q33" s="222">
        <v>0</v>
      </c>
      <c r="R33" s="165">
        <v>-1</v>
      </c>
      <c r="S33" s="219">
        <v>205.36033115653296</v>
      </c>
      <c r="T33" s="220">
        <v>84.422043795352451</v>
      </c>
      <c r="U33" s="220">
        <v>0</v>
      </c>
      <c r="V33" s="162">
        <v>-1</v>
      </c>
      <c r="W33" s="221">
        <v>205.36032995908158</v>
      </c>
      <c r="X33" s="222">
        <v>84.422043795956455</v>
      </c>
      <c r="Y33" s="222">
        <v>0</v>
      </c>
      <c r="Z33" s="165">
        <v>-1</v>
      </c>
      <c r="AA33" s="219">
        <v>205.36032212596737</v>
      </c>
      <c r="AB33" s="220">
        <v>84.422043980795706</v>
      </c>
      <c r="AC33" s="220">
        <v>0</v>
      </c>
      <c r="AD33" s="162">
        <v>-1</v>
      </c>
      <c r="AE33" s="223">
        <v>98.803232956516553</v>
      </c>
      <c r="AF33" s="224">
        <v>0</v>
      </c>
      <c r="AG33" s="224">
        <v>0</v>
      </c>
      <c r="AH33" s="168">
        <v>-1</v>
      </c>
    </row>
    <row r="34" spans="1:34" hidden="1" x14ac:dyDescent="0.15">
      <c r="A34" s="131" t="s">
        <v>669</v>
      </c>
      <c r="B34" s="190">
        <v>42.33</v>
      </c>
      <c r="C34" s="191">
        <v>42.478601201754337</v>
      </c>
      <c r="D34" s="192">
        <v>42.47860122235425</v>
      </c>
      <c r="E34" s="192">
        <v>42.478601232346399</v>
      </c>
      <c r="F34" s="162">
        <v>1.13051363477501E-4</v>
      </c>
      <c r="G34" s="193">
        <v>49.304901478823112</v>
      </c>
      <c r="H34" s="194">
        <v>54.948034023654415</v>
      </c>
      <c r="I34" s="194">
        <v>61.940565519625601</v>
      </c>
      <c r="J34" s="165">
        <v>1.2355684294373726E-2</v>
      </c>
      <c r="K34" s="191">
        <v>42.676200043064213</v>
      </c>
      <c r="L34" s="192">
        <v>44.511791089548787</v>
      </c>
      <c r="M34" s="192">
        <v>48.23335129455716</v>
      </c>
      <c r="N34" s="162">
        <v>4.2203213149147878E-3</v>
      </c>
      <c r="O34" s="193">
        <v>49.936453350522214</v>
      </c>
      <c r="P34" s="194">
        <v>56.033826862862</v>
      </c>
      <c r="Q34" s="194">
        <v>63.354862618255424</v>
      </c>
      <c r="R34" s="165">
        <v>1.3093220680032269E-2</v>
      </c>
      <c r="S34" s="191">
        <v>49.936453349403308</v>
      </c>
      <c r="T34" s="192">
        <v>56.033826831401726</v>
      </c>
      <c r="U34" s="192">
        <v>63.354862572333552</v>
      </c>
      <c r="V34" s="162">
        <v>1.3093220656344329E-2</v>
      </c>
      <c r="W34" s="193">
        <v>49.936453357491715</v>
      </c>
      <c r="X34" s="194">
        <v>56.033826937704411</v>
      </c>
      <c r="Y34" s="194">
        <v>63.354862745361608</v>
      </c>
      <c r="Z34" s="165">
        <v>1.30932207455976E-2</v>
      </c>
      <c r="AA34" s="191">
        <v>49.304902113727508</v>
      </c>
      <c r="AB34" s="192">
        <v>54.948033345774981</v>
      </c>
      <c r="AC34" s="192">
        <v>61.940583466741899</v>
      </c>
      <c r="AD34" s="162">
        <v>1.2355693756546549E-2</v>
      </c>
      <c r="AE34" s="195">
        <v>49.304900719480784</v>
      </c>
      <c r="AF34" s="196">
        <v>54.948023347577866</v>
      </c>
      <c r="AG34" s="196">
        <v>61.940548924165903</v>
      </c>
      <c r="AH34" s="168">
        <v>1.235567554482575E-2</v>
      </c>
    </row>
    <row r="35" spans="1:34" hidden="1" x14ac:dyDescent="0.15">
      <c r="A35" s="131" t="s">
        <v>686</v>
      </c>
      <c r="B35" s="190">
        <v>68.330843772628739</v>
      </c>
      <c r="C35" s="191">
        <v>68.547416873584979</v>
      </c>
      <c r="D35" s="192">
        <v>69.444252001462814</v>
      </c>
      <c r="E35" s="192">
        <v>70.534836008873469</v>
      </c>
      <c r="F35" s="162">
        <v>1.0245715588073079E-3</v>
      </c>
      <c r="G35" s="193">
        <v>71.372414117950512</v>
      </c>
      <c r="H35" s="194">
        <v>75.068225641090308</v>
      </c>
      <c r="I35" s="194">
        <v>78.628967035213819</v>
      </c>
      <c r="J35" s="165">
        <v>5.8869133901637838E-3</v>
      </c>
      <c r="K35" s="191">
        <v>66.197911600133509</v>
      </c>
      <c r="L35" s="192">
        <v>68.940691468015572</v>
      </c>
      <c r="M35" s="192">
        <v>70.830627354340564</v>
      </c>
      <c r="N35" s="162">
        <v>1.7223717049201781E-3</v>
      </c>
      <c r="O35" s="193">
        <v>72.851712356542578</v>
      </c>
      <c r="P35" s="194">
        <v>76.706078986199657</v>
      </c>
      <c r="Q35" s="194">
        <v>78.628933404111365</v>
      </c>
      <c r="R35" s="165">
        <v>5.863883912663459E-3</v>
      </c>
      <c r="S35" s="191">
        <v>71.309610591975115</v>
      </c>
      <c r="T35" s="192">
        <v>75.068155356491786</v>
      </c>
      <c r="U35" s="192">
        <v>78.628933350902855</v>
      </c>
      <c r="V35" s="162">
        <v>5.8929519104666817E-3</v>
      </c>
      <c r="W35" s="193">
        <v>68.547419745968</v>
      </c>
      <c r="X35" s="194">
        <v>72.537326728963549</v>
      </c>
      <c r="Y35" s="194">
        <v>78.628933550036621</v>
      </c>
      <c r="Z35" s="165">
        <v>5.9613264294449131E-3</v>
      </c>
      <c r="AA35" s="191">
        <v>68.547421455087033</v>
      </c>
      <c r="AB35" s="192">
        <v>69.444392344080569</v>
      </c>
      <c r="AC35" s="192">
        <v>78.62898741000383</v>
      </c>
      <c r="AD35" s="162">
        <v>5.7447190748485255E-3</v>
      </c>
      <c r="AE35" s="195">
        <v>71.614695676616435</v>
      </c>
      <c r="AF35" s="196">
        <v>75.068185556998884</v>
      </c>
      <c r="AG35" s="196">
        <v>78.628948275038027</v>
      </c>
      <c r="AH35" s="168">
        <v>5.8638900662477678E-3</v>
      </c>
    </row>
    <row r="36" spans="1:34" ht="12" hidden="1" x14ac:dyDescent="0.15">
      <c r="A36" s="131" t="s">
        <v>687</v>
      </c>
      <c r="B36" s="190"/>
      <c r="C36" s="191">
        <v>2.8495315557750325</v>
      </c>
      <c r="D36" s="192">
        <v>5.7839799739736097</v>
      </c>
      <c r="E36" s="192">
        <v>8.2973560264628379</v>
      </c>
      <c r="F36" s="162" t="s">
        <v>672</v>
      </c>
      <c r="G36" s="193">
        <v>17.106704244976321</v>
      </c>
      <c r="H36" s="194">
        <v>21.582243847290865</v>
      </c>
      <c r="I36" s="194">
        <v>27.000000880120787</v>
      </c>
      <c r="J36" s="165" t="s">
        <v>672</v>
      </c>
      <c r="K36" s="191">
        <v>6.5661779206515085</v>
      </c>
      <c r="L36" s="192">
        <v>21.583045892730617</v>
      </c>
      <c r="M36" s="192">
        <v>27.001428373283826</v>
      </c>
      <c r="N36" s="162" t="s">
        <v>672</v>
      </c>
      <c r="O36" s="193">
        <v>17.106705083691999</v>
      </c>
      <c r="P36" s="194">
        <v>21.582243260858839</v>
      </c>
      <c r="Q36" s="194">
        <v>26.999998763578848</v>
      </c>
      <c r="R36" s="165" t="s">
        <v>672</v>
      </c>
      <c r="S36" s="191">
        <v>17.106705087144526</v>
      </c>
      <c r="T36" s="192">
        <v>21.582243239668912</v>
      </c>
      <c r="U36" s="192">
        <v>27.00000000053225</v>
      </c>
      <c r="V36" s="162" t="s">
        <v>672</v>
      </c>
      <c r="W36" s="193">
        <v>13.849192539182436</v>
      </c>
      <c r="X36" s="194">
        <v>14.388162179080062</v>
      </c>
      <c r="Y36" s="194">
        <v>27.000000006022105</v>
      </c>
      <c r="Z36" s="165" t="s">
        <v>672</v>
      </c>
      <c r="AA36" s="191">
        <v>11.405059267309099</v>
      </c>
      <c r="AB36" s="192">
        <v>14.036226421624894</v>
      </c>
      <c r="AC36" s="192">
        <v>27.000001119587182</v>
      </c>
      <c r="AD36" s="162" t="s">
        <v>672</v>
      </c>
      <c r="AE36" s="195">
        <v>17.106705207996299</v>
      </c>
      <c r="AF36" s="196">
        <v>21.582243483984769</v>
      </c>
      <c r="AG36" s="196">
        <v>27.000000373181653</v>
      </c>
      <c r="AH36" s="168" t="s">
        <v>672</v>
      </c>
    </row>
    <row r="37" spans="1:34" hidden="1" x14ac:dyDescent="0.15">
      <c r="A37" s="131" t="s">
        <v>683</v>
      </c>
      <c r="B37" s="214">
        <v>7.37</v>
      </c>
      <c r="C37" s="219">
        <v>4.2732016306719842</v>
      </c>
      <c r="D37" s="220">
        <v>4.2732022656160407</v>
      </c>
      <c r="E37" s="220">
        <v>4.2732016691911117</v>
      </c>
      <c r="F37" s="162">
        <v>-1.742873010087409E-2</v>
      </c>
      <c r="G37" s="221">
        <v>12.067580149289215</v>
      </c>
      <c r="H37" s="222">
        <v>18.049269575497345</v>
      </c>
      <c r="I37" s="222">
        <v>37.397303844237044</v>
      </c>
      <c r="J37" s="165">
        <v>5.378972935185522E-2</v>
      </c>
      <c r="K37" s="219">
        <v>10.961239456743014</v>
      </c>
      <c r="L37" s="220">
        <v>52.034361483485668</v>
      </c>
      <c r="M37" s="220">
        <v>58.182184132464222</v>
      </c>
      <c r="N37" s="162">
        <v>6.892168633490936E-2</v>
      </c>
      <c r="O37" s="221">
        <v>6.7671122781443813</v>
      </c>
      <c r="P37" s="222">
        <v>6.8893077317812015</v>
      </c>
      <c r="Q37" s="222">
        <v>10.613153699058508</v>
      </c>
      <c r="R37" s="165">
        <v>1.1833221251455583E-2</v>
      </c>
      <c r="S37" s="219">
        <v>12.098120984127799</v>
      </c>
      <c r="T37" s="220">
        <v>21.620726289436274</v>
      </c>
      <c r="U37" s="220">
        <v>51.814317773335873</v>
      </c>
      <c r="V37" s="162">
        <v>6.4932324346560044E-2</v>
      </c>
      <c r="W37" s="221">
        <v>12.008529316067143</v>
      </c>
      <c r="X37" s="222">
        <v>19.374329451381449</v>
      </c>
      <c r="Y37" s="222">
        <v>49.042002366770923</v>
      </c>
      <c r="Z37" s="165">
        <v>6.3044967076448133E-2</v>
      </c>
      <c r="AA37" s="219">
        <v>12.169477571130727</v>
      </c>
      <c r="AB37" s="220">
        <v>21.085463126615267</v>
      </c>
      <c r="AC37" s="220">
        <v>38.499774391120063</v>
      </c>
      <c r="AD37" s="162">
        <v>5.4777823393097114E-2</v>
      </c>
      <c r="AE37" s="223">
        <v>10.214795119071574</v>
      </c>
      <c r="AF37" s="224">
        <v>18.413510826315736</v>
      </c>
      <c r="AG37" s="224">
        <v>37.397297716674238</v>
      </c>
      <c r="AH37" s="168">
        <v>5.3789723782053045E-2</v>
      </c>
    </row>
    <row r="38" spans="1:34" hidden="1" x14ac:dyDescent="0.15">
      <c r="A38" s="131" t="s">
        <v>673</v>
      </c>
      <c r="B38" s="190">
        <v>146</v>
      </c>
      <c r="C38" s="191">
        <v>147.55607441458625</v>
      </c>
      <c r="D38" s="192">
        <v>147.80757976432716</v>
      </c>
      <c r="E38" s="192">
        <v>151.11781505142383</v>
      </c>
      <c r="F38" s="162">
        <v>1.1120095347034731E-3</v>
      </c>
      <c r="G38" s="193">
        <v>150.24548984186771</v>
      </c>
      <c r="H38" s="194">
        <v>151.38942866634062</v>
      </c>
      <c r="I38" s="194">
        <v>151.9917101398554</v>
      </c>
      <c r="J38" s="165">
        <v>1.2982406663100132E-3</v>
      </c>
      <c r="K38" s="191">
        <v>149.25971879869815</v>
      </c>
      <c r="L38" s="192">
        <v>151.19108955726875</v>
      </c>
      <c r="M38" s="192">
        <v>151.60929194018524</v>
      </c>
      <c r="N38" s="162">
        <v>1.2168734065782782E-3</v>
      </c>
      <c r="O38" s="193">
        <v>150.4605940619258</v>
      </c>
      <c r="P38" s="194">
        <v>153.39367814195876</v>
      </c>
      <c r="Q38" s="194">
        <v>157.4859086224179</v>
      </c>
      <c r="R38" s="165">
        <v>2.4458689623829688E-3</v>
      </c>
      <c r="S38" s="191">
        <v>150.35263044492979</v>
      </c>
      <c r="T38" s="192">
        <v>152.28706662324279</v>
      </c>
      <c r="U38" s="192">
        <v>152.80258873239859</v>
      </c>
      <c r="V38" s="162">
        <v>1.4701181737448721E-3</v>
      </c>
      <c r="W38" s="193">
        <v>150.22397470602718</v>
      </c>
      <c r="X38" s="194">
        <v>151.28856818430091</v>
      </c>
      <c r="Y38" s="194">
        <v>151.76010375934936</v>
      </c>
      <c r="Z38" s="165">
        <v>1.2489853858173028E-3</v>
      </c>
      <c r="AA38" s="191">
        <v>150.24603334356033</v>
      </c>
      <c r="AB38" s="192">
        <v>151.38249839956168</v>
      </c>
      <c r="AC38" s="192">
        <v>151.98041980968279</v>
      </c>
      <c r="AD38" s="162">
        <v>1.2958412582648737E-3</v>
      </c>
      <c r="AE38" s="195">
        <v>150.34629213029345</v>
      </c>
      <c r="AF38" s="196">
        <v>151.44801762092698</v>
      </c>
      <c r="AG38" s="196">
        <v>152.02606239618069</v>
      </c>
      <c r="AH38" s="168">
        <v>1.3055401078496676E-3</v>
      </c>
    </row>
    <row r="39" spans="1:34" hidden="1" x14ac:dyDescent="0.15">
      <c r="A39" s="131" t="s">
        <v>674</v>
      </c>
      <c r="B39" s="190">
        <v>10.481999999999999</v>
      </c>
      <c r="C39" s="191">
        <v>19.648815560888458</v>
      </c>
      <c r="D39" s="192">
        <v>31.517122719472408</v>
      </c>
      <c r="E39" s="192">
        <v>49.209424240564204</v>
      </c>
      <c r="F39" s="162">
        <v>5.1149890259302833E-2</v>
      </c>
      <c r="G39" s="193">
        <v>36.226486897765398</v>
      </c>
      <c r="H39" s="194">
        <v>66.005418921521098</v>
      </c>
      <c r="I39" s="194">
        <v>106.06189322365388</v>
      </c>
      <c r="J39" s="165">
        <v>7.7514372166147094E-2</v>
      </c>
      <c r="K39" s="191">
        <v>30.674394343256086</v>
      </c>
      <c r="L39" s="192">
        <v>57.249438964456388</v>
      </c>
      <c r="M39" s="192">
        <v>82.679626265842458</v>
      </c>
      <c r="N39" s="162">
        <v>6.8892454383760127E-2</v>
      </c>
      <c r="O39" s="193">
        <v>69.677097684575372</v>
      </c>
      <c r="P39" s="194">
        <v>124.63861838033652</v>
      </c>
      <c r="Q39" s="194">
        <v>186.40166107573012</v>
      </c>
      <c r="R39" s="165">
        <v>9.7293387397364484E-2</v>
      </c>
      <c r="S39" s="191">
        <v>50.996088940303906</v>
      </c>
      <c r="T39" s="192">
        <v>87.085687925818576</v>
      </c>
      <c r="U39" s="192">
        <v>123.79334360763593</v>
      </c>
      <c r="V39" s="162">
        <v>8.2901139976481852E-2</v>
      </c>
      <c r="W39" s="193">
        <v>38.300088183098779</v>
      </c>
      <c r="X39" s="194">
        <v>73.046808493327873</v>
      </c>
      <c r="Y39" s="194">
        <v>106.59409980564821</v>
      </c>
      <c r="Z39" s="165">
        <v>7.7688364437138002E-2</v>
      </c>
      <c r="AA39" s="191">
        <v>34.233917496700229</v>
      </c>
      <c r="AB39" s="192">
        <v>63.894726550225087</v>
      </c>
      <c r="AC39" s="192">
        <v>101.63546338158147</v>
      </c>
      <c r="AD39" s="162">
        <v>7.6033624101036645E-2</v>
      </c>
      <c r="AE39" s="195">
        <v>45.260402496512519</v>
      </c>
      <c r="AF39" s="196">
        <v>76.550248685137319</v>
      </c>
      <c r="AG39" s="196">
        <v>111.12238537097771</v>
      </c>
      <c r="AH39" s="168">
        <v>7.9135662840754906E-2</v>
      </c>
    </row>
    <row r="40" spans="1:34" hidden="1" x14ac:dyDescent="0.15">
      <c r="A40" s="131" t="s">
        <v>675</v>
      </c>
      <c r="B40" s="190">
        <v>0.52500000000000002</v>
      </c>
      <c r="C40" s="191">
        <v>0.26071093249848243</v>
      </c>
      <c r="D40" s="192">
        <v>0.42467324329842776</v>
      </c>
      <c r="E40" s="192">
        <v>0.69174794888043145</v>
      </c>
      <c r="F40" s="162">
        <v>8.9372294078886583E-3</v>
      </c>
      <c r="G40" s="193">
        <v>1.7723742546355463</v>
      </c>
      <c r="H40" s="194">
        <v>7.1702371786550954</v>
      </c>
      <c r="I40" s="194">
        <v>15.48000154021136</v>
      </c>
      <c r="J40" s="165">
        <v>0.11533884716843645</v>
      </c>
      <c r="K40" s="191">
        <v>1.6362015639536103</v>
      </c>
      <c r="L40" s="192">
        <v>3.7593669524463373</v>
      </c>
      <c r="M40" s="192">
        <v>6.1222320848222829</v>
      </c>
      <c r="N40" s="162">
        <v>8.245862688755845E-2</v>
      </c>
      <c r="O40" s="193">
        <v>2.2811269686596849</v>
      </c>
      <c r="P40" s="194">
        <v>9.2284376621831576</v>
      </c>
      <c r="Q40" s="194">
        <v>15.480000033327984</v>
      </c>
      <c r="R40" s="165">
        <v>0.1153388436661329</v>
      </c>
      <c r="S40" s="191">
        <v>0.2607087305856553</v>
      </c>
      <c r="T40" s="192">
        <v>0.42466712771594062</v>
      </c>
      <c r="U40" s="192">
        <v>0.69173859726855857</v>
      </c>
      <c r="V40" s="162">
        <v>8.9367894167922124E-3</v>
      </c>
      <c r="W40" s="193">
        <v>0.26501145489728667</v>
      </c>
      <c r="X40" s="194">
        <v>0.4316765050789767</v>
      </c>
      <c r="Y40" s="194">
        <v>0.70315695134298317</v>
      </c>
      <c r="Z40" s="165">
        <v>9.469778685674779E-3</v>
      </c>
      <c r="AA40" s="191">
        <v>1.7723763033430646</v>
      </c>
      <c r="AB40" s="192">
        <v>7.1702411152676104</v>
      </c>
      <c r="AC40" s="192">
        <v>15.480002183804633</v>
      </c>
      <c r="AD40" s="162">
        <v>0.11533884866427813</v>
      </c>
      <c r="AE40" s="195">
        <v>2.2811296086952209</v>
      </c>
      <c r="AF40" s="196">
        <v>9.2284395486891384</v>
      </c>
      <c r="AG40" s="196">
        <v>15.480000610781367</v>
      </c>
      <c r="AH40" s="168">
        <v>0.1153388450082522</v>
      </c>
    </row>
    <row r="41" spans="1:34" hidden="1" x14ac:dyDescent="0.15">
      <c r="A41" s="131" t="s">
        <v>676</v>
      </c>
      <c r="B41" s="225"/>
      <c r="C41" s="191">
        <v>0</v>
      </c>
      <c r="D41" s="192">
        <v>8.6207856765199324E-5</v>
      </c>
      <c r="E41" s="192">
        <v>8.7306804982844211E-5</v>
      </c>
      <c r="F41" s="162" t="s">
        <v>672</v>
      </c>
      <c r="G41" s="193">
        <v>0</v>
      </c>
      <c r="H41" s="194">
        <v>3.2407008367205613E-3</v>
      </c>
      <c r="I41" s="194">
        <v>5.4772103881474736</v>
      </c>
      <c r="J41" s="165" t="s">
        <v>672</v>
      </c>
      <c r="K41" s="191">
        <v>0</v>
      </c>
      <c r="L41" s="192">
        <v>0</v>
      </c>
      <c r="M41" s="192">
        <v>0</v>
      </c>
      <c r="N41" s="162" t="s">
        <v>672</v>
      </c>
      <c r="O41" s="193">
        <v>0</v>
      </c>
      <c r="P41" s="194">
        <v>1.4784982270347089</v>
      </c>
      <c r="Q41" s="194">
        <v>120.65104461443414</v>
      </c>
      <c r="R41" s="165" t="s">
        <v>672</v>
      </c>
      <c r="S41" s="191">
        <v>0</v>
      </c>
      <c r="T41" s="192">
        <v>0</v>
      </c>
      <c r="U41" s="192">
        <v>0</v>
      </c>
      <c r="V41" s="162" t="s">
        <v>672</v>
      </c>
      <c r="W41" s="193">
        <v>0</v>
      </c>
      <c r="X41" s="194">
        <v>1.0757204109508604E-6</v>
      </c>
      <c r="Y41" s="194">
        <v>1.0845483505822159E-6</v>
      </c>
      <c r="Z41" s="165" t="s">
        <v>672</v>
      </c>
      <c r="AA41" s="191">
        <v>0</v>
      </c>
      <c r="AB41" s="192">
        <v>5.5260565494074715E-3</v>
      </c>
      <c r="AC41" s="192">
        <v>6.6612061398856365E-2</v>
      </c>
      <c r="AD41" s="162" t="s">
        <v>672</v>
      </c>
      <c r="AE41" s="195">
        <v>0</v>
      </c>
      <c r="AF41" s="196">
        <v>3.2070949301837008</v>
      </c>
      <c r="AG41" s="196">
        <v>3.2070979842081888</v>
      </c>
      <c r="AH41" s="168" t="s">
        <v>672</v>
      </c>
    </row>
    <row r="42" spans="1:34" hidden="1" x14ac:dyDescent="0.15">
      <c r="A42" s="131" t="s">
        <v>677</v>
      </c>
      <c r="B42" s="190">
        <v>18.016999999999999</v>
      </c>
      <c r="C42" s="191">
        <v>40.237150111135378</v>
      </c>
      <c r="D42" s="192">
        <v>49.841470568080666</v>
      </c>
      <c r="E42" s="192">
        <v>53.345503151774238</v>
      </c>
      <c r="F42" s="162">
        <v>3.5635541474685617E-2</v>
      </c>
      <c r="G42" s="193">
        <v>58.488982949120683</v>
      </c>
      <c r="H42" s="194">
        <v>82.074057857428102</v>
      </c>
      <c r="I42" s="194">
        <v>98.246650437356067</v>
      </c>
      <c r="J42" s="165">
        <v>5.623955717797835E-2</v>
      </c>
      <c r="K42" s="191">
        <v>42.68385404215195</v>
      </c>
      <c r="L42" s="192">
        <v>62.82554402811737</v>
      </c>
      <c r="M42" s="192">
        <v>69.982275085281913</v>
      </c>
      <c r="N42" s="162">
        <v>4.4743931960055328E-2</v>
      </c>
      <c r="O42" s="193">
        <v>55.369790980835887</v>
      </c>
      <c r="P42" s="194">
        <v>70.824388794950252</v>
      </c>
      <c r="Q42" s="194">
        <v>85.960177613392318</v>
      </c>
      <c r="R42" s="165">
        <v>5.9316496641339755E-2</v>
      </c>
      <c r="S42" s="191">
        <v>59.866442129651446</v>
      </c>
      <c r="T42" s="192">
        <v>81.355857719244483</v>
      </c>
      <c r="U42" s="192">
        <v>95.625177929973745</v>
      </c>
      <c r="V42" s="162">
        <v>5.5318475015414981E-2</v>
      </c>
      <c r="W42" s="193">
        <v>62.037407292817392</v>
      </c>
      <c r="X42" s="194">
        <v>82.142871644170867</v>
      </c>
      <c r="Y42" s="194">
        <v>95.810455673358376</v>
      </c>
      <c r="Z42" s="165">
        <v>5.5384372071033194E-2</v>
      </c>
      <c r="AA42" s="191">
        <v>62.037407292817392</v>
      </c>
      <c r="AB42" s="192">
        <v>82.142871644170867</v>
      </c>
      <c r="AC42" s="192">
        <v>95.810455673358376</v>
      </c>
      <c r="AD42" s="162">
        <v>5.5384372071033194E-2</v>
      </c>
      <c r="AE42" s="195">
        <v>56.844796140791765</v>
      </c>
      <c r="AF42" s="196">
        <v>80.413590019071748</v>
      </c>
      <c r="AG42" s="196">
        <v>98.455458805936118</v>
      </c>
      <c r="AH42" s="168">
        <v>5.6311898201369726E-2</v>
      </c>
    </row>
    <row r="43" spans="1:34" hidden="1" x14ac:dyDescent="0.15">
      <c r="A43" s="131" t="s">
        <v>354</v>
      </c>
      <c r="B43" s="214">
        <v>-22.53</v>
      </c>
      <c r="C43" s="219">
        <v>6.8217593169673236</v>
      </c>
      <c r="D43" s="220">
        <v>32.448975367202294</v>
      </c>
      <c r="E43" s="220">
        <v>32.448974535717696</v>
      </c>
      <c r="F43" s="162">
        <v>-2.0118379424834076</v>
      </c>
      <c r="G43" s="221">
        <v>7.6236616943138173</v>
      </c>
      <c r="H43" s="222">
        <v>22.071785874108798</v>
      </c>
      <c r="I43" s="222">
        <v>15.590558447223156</v>
      </c>
      <c r="J43" s="165">
        <v>-1.9881934045370888</v>
      </c>
      <c r="K43" s="219">
        <v>-4.8904060493121904</v>
      </c>
      <c r="L43" s="220">
        <v>1.4544363756374921</v>
      </c>
      <c r="M43" s="220">
        <v>0.34639250854979764</v>
      </c>
      <c r="N43" s="162">
        <v>-1.8739969415569422</v>
      </c>
      <c r="O43" s="221">
        <v>-5.0954579917142979</v>
      </c>
      <c r="P43" s="222">
        <v>-5.7975443827187974</v>
      </c>
      <c r="Q43" s="222">
        <v>-6.6497936588310296</v>
      </c>
      <c r="R43" s="165">
        <v>-3.8598619919060773E-2</v>
      </c>
      <c r="S43" s="219">
        <v>-5.0130464404145911</v>
      </c>
      <c r="T43" s="220">
        <v>12.45085541107067</v>
      </c>
      <c r="U43" s="220">
        <v>30.569887045056689</v>
      </c>
      <c r="V43" s="162">
        <v>-2.0098927316432538</v>
      </c>
      <c r="W43" s="221">
        <v>7.4765461473940826</v>
      </c>
      <c r="X43" s="222">
        <v>18.555280279226452</v>
      </c>
      <c r="Y43" s="222">
        <v>34.174100675642144</v>
      </c>
      <c r="Z43" s="165">
        <v>-2.0135300791105228</v>
      </c>
      <c r="AA43" s="219">
        <v>7.8424384373756126</v>
      </c>
      <c r="AB43" s="220">
        <v>18.82099157980165</v>
      </c>
      <c r="AC43" s="220">
        <v>14.330961844460738</v>
      </c>
      <c r="AD43" s="162">
        <v>-1.985511614034952</v>
      </c>
      <c r="AE43" s="223">
        <v>29.310711244915669</v>
      </c>
      <c r="AF43" s="224">
        <v>25.199543073564861</v>
      </c>
      <c r="AG43" s="224">
        <v>15.796810213028676</v>
      </c>
      <c r="AH43" s="168">
        <v>-1.9886124405359575</v>
      </c>
    </row>
    <row r="44" spans="1:34" hidden="1" x14ac:dyDescent="0.15">
      <c r="A44" s="134" t="s">
        <v>684</v>
      </c>
      <c r="B44" s="215">
        <v>0</v>
      </c>
      <c r="C44" s="226">
        <v>0</v>
      </c>
      <c r="D44" s="227">
        <v>0</v>
      </c>
      <c r="E44" s="227">
        <v>4.59262906886732E-8</v>
      </c>
      <c r="F44" s="216" t="s">
        <v>672</v>
      </c>
      <c r="G44" s="228">
        <v>0</v>
      </c>
      <c r="H44" s="229">
        <v>0.82281115487770773</v>
      </c>
      <c r="I44" s="229">
        <v>0.82280988217857032</v>
      </c>
      <c r="J44" s="217" t="s">
        <v>672</v>
      </c>
      <c r="K44" s="226">
        <v>0</v>
      </c>
      <c r="L44" s="227">
        <v>0</v>
      </c>
      <c r="M44" s="227">
        <v>0</v>
      </c>
      <c r="N44" s="216" t="s">
        <v>672</v>
      </c>
      <c r="O44" s="228">
        <v>0</v>
      </c>
      <c r="P44" s="229">
        <v>3.4882822636251899E-3</v>
      </c>
      <c r="Q44" s="229">
        <v>3.4882921964544899E-3</v>
      </c>
      <c r="R44" s="217" t="s">
        <v>672</v>
      </c>
      <c r="S44" s="226">
        <v>0</v>
      </c>
      <c r="T44" s="227">
        <v>1.9422525150680925</v>
      </c>
      <c r="U44" s="227">
        <v>1.9422525312895798</v>
      </c>
      <c r="V44" s="216" t="s">
        <v>672</v>
      </c>
      <c r="W44" s="228">
        <v>0</v>
      </c>
      <c r="X44" s="229">
        <v>0.37367727141524032</v>
      </c>
      <c r="Y44" s="229">
        <v>0.37367732252932251</v>
      </c>
      <c r="Z44" s="217" t="s">
        <v>672</v>
      </c>
      <c r="AA44" s="226">
        <v>0</v>
      </c>
      <c r="AB44" s="227">
        <v>1.9422539049976617</v>
      </c>
      <c r="AC44" s="227">
        <v>1.9422524771474752</v>
      </c>
      <c r="AD44" s="216" t="s">
        <v>672</v>
      </c>
      <c r="AE44" s="230">
        <v>0</v>
      </c>
      <c r="AF44" s="231">
        <v>0.4992145411773603</v>
      </c>
      <c r="AG44" s="231">
        <v>0.49921392179202301</v>
      </c>
      <c r="AH44" s="218" t="s">
        <v>672</v>
      </c>
    </row>
    <row r="45" spans="1:34" hidden="1" x14ac:dyDescent="0.15">
      <c r="A45" s="148" t="s">
        <v>688</v>
      </c>
      <c r="B45" s="149"/>
      <c r="C45" s="150"/>
      <c r="D45" s="151"/>
      <c r="E45" s="151"/>
      <c r="F45" s="152"/>
      <c r="G45" s="153"/>
      <c r="H45" s="154"/>
      <c r="I45" s="154"/>
      <c r="J45" s="155"/>
      <c r="K45" s="150"/>
      <c r="L45" s="151"/>
      <c r="M45" s="151"/>
      <c r="N45" s="152"/>
      <c r="O45" s="153"/>
      <c r="P45" s="154"/>
      <c r="Q45" s="154"/>
      <c r="R45" s="155"/>
      <c r="S45" s="150"/>
      <c r="T45" s="151"/>
      <c r="U45" s="151"/>
      <c r="V45" s="152"/>
      <c r="W45" s="153"/>
      <c r="X45" s="154"/>
      <c r="Y45" s="154"/>
      <c r="Z45" s="155"/>
      <c r="AA45" s="150"/>
      <c r="AB45" s="151"/>
      <c r="AC45" s="151"/>
      <c r="AD45" s="152"/>
      <c r="AE45" s="156"/>
      <c r="AF45" s="157"/>
      <c r="AG45" s="157"/>
      <c r="AH45" s="158"/>
    </row>
    <row r="46" spans="1:34" ht="12" hidden="1" x14ac:dyDescent="0.15">
      <c r="A46" s="146" t="s">
        <v>689</v>
      </c>
      <c r="B46" s="177">
        <v>522.02920879398846</v>
      </c>
      <c r="C46" s="178">
        <v>490.29262979555671</v>
      </c>
      <c r="D46" s="179">
        <v>399.1340797476351</v>
      </c>
      <c r="E46" s="179">
        <v>350.13382726946537</v>
      </c>
      <c r="F46" s="232">
        <v>-1.2801487042813031E-2</v>
      </c>
      <c r="G46" s="182">
        <v>496.09571903668308</v>
      </c>
      <c r="H46" s="183">
        <v>431.06199170079537</v>
      </c>
      <c r="I46" s="183">
        <v>436.47114335750655</v>
      </c>
      <c r="J46" s="233">
        <v>-5.759313117654985E-3</v>
      </c>
      <c r="K46" s="178">
        <v>494.73796041874982</v>
      </c>
      <c r="L46" s="179">
        <v>427.67225324718783</v>
      </c>
      <c r="M46" s="179">
        <v>367.71178852628253</v>
      </c>
      <c r="N46" s="232">
        <v>-1.1242060575669788E-2</v>
      </c>
      <c r="O46" s="182">
        <v>519.40355609466553</v>
      </c>
      <c r="P46" s="183">
        <v>472.88049813611678</v>
      </c>
      <c r="Q46" s="183">
        <v>602.5564158271892</v>
      </c>
      <c r="R46" s="233">
        <v>4.6366585720130082E-3</v>
      </c>
      <c r="S46" s="178">
        <v>509.73392268971713</v>
      </c>
      <c r="T46" s="179">
        <v>456.345921793196</v>
      </c>
      <c r="U46" s="179">
        <v>452.22398048474463</v>
      </c>
      <c r="V46" s="232">
        <v>-4.6215294636126059E-3</v>
      </c>
      <c r="W46" s="182">
        <v>499.20388369789976</v>
      </c>
      <c r="X46" s="183">
        <v>440.74008332141045</v>
      </c>
      <c r="Y46" s="183">
        <v>429.32299314221814</v>
      </c>
      <c r="Z46" s="233">
        <v>-6.2887730128062813E-3</v>
      </c>
      <c r="AA46" s="178">
        <v>490.83770855079302</v>
      </c>
      <c r="AB46" s="179">
        <v>416.75077379263377</v>
      </c>
      <c r="AC46" s="179">
        <v>407.18296057497594</v>
      </c>
      <c r="AD46" s="232">
        <v>-7.9845484144989154E-3</v>
      </c>
      <c r="AE46" s="186">
        <v>397.80065483208574</v>
      </c>
      <c r="AF46" s="187">
        <v>359.97955032932538</v>
      </c>
      <c r="AG46" s="187">
        <v>445.25884133260212</v>
      </c>
      <c r="AH46" s="234">
        <v>-5.1227225651609976E-3</v>
      </c>
    </row>
    <row r="47" spans="1:34" hidden="1" x14ac:dyDescent="0.15">
      <c r="A47" s="131" t="s">
        <v>690</v>
      </c>
      <c r="B47" s="190">
        <v>0.45</v>
      </c>
      <c r="C47" s="191">
        <v>1.359828513260267E-5</v>
      </c>
      <c r="D47" s="192">
        <v>1.2544650530298257E-5</v>
      </c>
      <c r="E47" s="192">
        <v>1.0361692698929344E-5</v>
      </c>
      <c r="F47" s="162">
        <v>-0.29141144190635104</v>
      </c>
      <c r="G47" s="193">
        <v>4.1092078072026931E-5</v>
      </c>
      <c r="H47" s="194">
        <v>5.9485031618094885E-5</v>
      </c>
      <c r="I47" s="194">
        <v>1.7301086087648941E-5</v>
      </c>
      <c r="J47" s="165">
        <v>-0.27959593197081778</v>
      </c>
      <c r="K47" s="191">
        <v>0.35301533283553621</v>
      </c>
      <c r="L47" s="192">
        <v>0.32910344825176957</v>
      </c>
      <c r="M47" s="192">
        <v>0.35330502980840039</v>
      </c>
      <c r="N47" s="162">
        <v>-7.7733651306873819E-3</v>
      </c>
      <c r="O47" s="193">
        <v>0</v>
      </c>
      <c r="P47" s="194">
        <v>0</v>
      </c>
      <c r="Q47" s="194">
        <v>0</v>
      </c>
      <c r="R47" s="165">
        <v>-1</v>
      </c>
      <c r="S47" s="191">
        <v>0</v>
      </c>
      <c r="T47" s="192">
        <v>0</v>
      </c>
      <c r="U47" s="192">
        <v>0</v>
      </c>
      <c r="V47" s="162">
        <v>-1</v>
      </c>
      <c r="W47" s="193">
        <v>0</v>
      </c>
      <c r="X47" s="194">
        <v>0</v>
      </c>
      <c r="Y47" s="194">
        <v>0</v>
      </c>
      <c r="Z47" s="165">
        <v>-1</v>
      </c>
      <c r="AA47" s="191">
        <v>2.1959090959882321E-4</v>
      </c>
      <c r="AB47" s="192">
        <v>1.9319024237214556E-4</v>
      </c>
      <c r="AC47" s="192">
        <v>1.0693468354553066E-4</v>
      </c>
      <c r="AD47" s="162">
        <v>-0.23599932135932833</v>
      </c>
      <c r="AE47" s="195">
        <v>2.6439543081398935E-5</v>
      </c>
      <c r="AF47" s="196">
        <v>5.5709126166126332E-5</v>
      </c>
      <c r="AG47" s="196">
        <v>1.2898431520641842E-5</v>
      </c>
      <c r="AH47" s="168">
        <v>-0.28638811077507031</v>
      </c>
    </row>
    <row r="48" spans="1:34" ht="12" hidden="1" x14ac:dyDescent="0.15">
      <c r="A48" s="131" t="s">
        <v>691</v>
      </c>
      <c r="B48" s="190">
        <v>13.82396</v>
      </c>
      <c r="C48" s="191">
        <v>41.940125572352954</v>
      </c>
      <c r="D48" s="192">
        <v>59.100540953495447</v>
      </c>
      <c r="E48" s="192">
        <v>71.880683323645044</v>
      </c>
      <c r="F48" s="162">
        <v>5.4620284515727091E-2</v>
      </c>
      <c r="G48" s="193">
        <v>17.188169486436067</v>
      </c>
      <c r="H48" s="194">
        <v>30.492812982095234</v>
      </c>
      <c r="I48" s="194">
        <v>49.261790735197877</v>
      </c>
      <c r="J48" s="165">
        <v>4.1843549831193094E-2</v>
      </c>
      <c r="K48" s="191">
        <v>29.162915428628338</v>
      </c>
      <c r="L48" s="192">
        <v>51.790093644380434</v>
      </c>
      <c r="M48" s="192">
        <v>42.060159963978101</v>
      </c>
      <c r="N48" s="162">
        <v>3.6545420266551609E-2</v>
      </c>
      <c r="O48" s="193">
        <v>16.579171544613473</v>
      </c>
      <c r="P48" s="194">
        <v>17.865863405336807</v>
      </c>
      <c r="Q48" s="194">
        <v>41.711220510621295</v>
      </c>
      <c r="R48" s="165">
        <v>3.6266901026875908E-2</v>
      </c>
      <c r="S48" s="191">
        <v>17.152584771645731</v>
      </c>
      <c r="T48" s="192">
        <v>30.494095179395906</v>
      </c>
      <c r="U48" s="192">
        <v>49.237896320820646</v>
      </c>
      <c r="V48" s="162">
        <v>4.1827244524972773E-2</v>
      </c>
      <c r="W48" s="193">
        <v>19.04620509387113</v>
      </c>
      <c r="X48" s="194">
        <v>30.282955677935025</v>
      </c>
      <c r="Y48" s="194">
        <v>48.752597617260548</v>
      </c>
      <c r="Z48" s="165">
        <v>4.1494413834193278E-2</v>
      </c>
      <c r="AA48" s="191">
        <v>18.10759647910076</v>
      </c>
      <c r="AB48" s="192">
        <v>19.9441311238763</v>
      </c>
      <c r="AC48" s="192">
        <v>26.067370125270255</v>
      </c>
      <c r="AD48" s="162">
        <v>2.0671432904489695E-2</v>
      </c>
      <c r="AE48" s="195">
        <v>17.292083980895384</v>
      </c>
      <c r="AF48" s="196">
        <v>28.036442436535999</v>
      </c>
      <c r="AG48" s="196">
        <v>49.295602093339525</v>
      </c>
      <c r="AH48" s="168">
        <v>4.1866609286358214E-2</v>
      </c>
    </row>
    <row r="49" spans="1:34" hidden="1" x14ac:dyDescent="0.15">
      <c r="A49" s="131" t="s">
        <v>682</v>
      </c>
      <c r="B49" s="190">
        <v>275.77999999999997</v>
      </c>
      <c r="C49" s="191">
        <v>205.36032818687724</v>
      </c>
      <c r="D49" s="192">
        <v>84.422043800654734</v>
      </c>
      <c r="E49" s="192">
        <v>0</v>
      </c>
      <c r="F49" s="162">
        <v>-1</v>
      </c>
      <c r="G49" s="193">
        <v>205.36032692997185</v>
      </c>
      <c r="H49" s="194">
        <v>84.422043929263594</v>
      </c>
      <c r="I49" s="194">
        <v>0</v>
      </c>
      <c r="J49" s="165">
        <v>-1</v>
      </c>
      <c r="K49" s="191">
        <v>205.32740842556839</v>
      </c>
      <c r="L49" s="192">
        <v>84.422187028153459</v>
      </c>
      <c r="M49" s="192">
        <v>0</v>
      </c>
      <c r="N49" s="162">
        <v>-1</v>
      </c>
      <c r="O49" s="193">
        <v>205.28739633576066</v>
      </c>
      <c r="P49" s="194">
        <v>84.422043795870621</v>
      </c>
      <c r="Q49" s="194">
        <v>0</v>
      </c>
      <c r="R49" s="165">
        <v>-1</v>
      </c>
      <c r="S49" s="191">
        <v>205.36033115653279</v>
      </c>
      <c r="T49" s="192">
        <v>84.422043795352451</v>
      </c>
      <c r="U49" s="192">
        <v>0</v>
      </c>
      <c r="V49" s="162">
        <v>-1</v>
      </c>
      <c r="W49" s="193">
        <v>205.3603299590817</v>
      </c>
      <c r="X49" s="194">
        <v>84.422043795956455</v>
      </c>
      <c r="Y49" s="194">
        <v>0</v>
      </c>
      <c r="Z49" s="165">
        <v>-1</v>
      </c>
      <c r="AA49" s="191">
        <v>205.36032212596754</v>
      </c>
      <c r="AB49" s="192">
        <v>84.422043980795706</v>
      </c>
      <c r="AC49" s="192">
        <v>0</v>
      </c>
      <c r="AD49" s="162">
        <v>-1</v>
      </c>
      <c r="AE49" s="195">
        <v>98.80323295651651</v>
      </c>
      <c r="AF49" s="196">
        <v>0</v>
      </c>
      <c r="AG49" s="196">
        <v>0</v>
      </c>
      <c r="AH49" s="168">
        <v>-1</v>
      </c>
    </row>
    <row r="50" spans="1:34" hidden="1" x14ac:dyDescent="0.15">
      <c r="A50" s="131" t="s">
        <v>669</v>
      </c>
      <c r="B50" s="190">
        <v>5.7309999999999999</v>
      </c>
      <c r="C50" s="191">
        <v>7.9743917353449376</v>
      </c>
      <c r="D50" s="192">
        <v>7.9703039775081166</v>
      </c>
      <c r="E50" s="192">
        <v>7.9705752802207002</v>
      </c>
      <c r="F50" s="162">
        <v>1.0697674488913345E-2</v>
      </c>
      <c r="G50" s="193">
        <v>16.04918540866025</v>
      </c>
      <c r="H50" s="194">
        <v>18.660764746919121</v>
      </c>
      <c r="I50" s="194">
        <v>16.515061841850176</v>
      </c>
      <c r="J50" s="165">
        <v>3.473088623464915E-2</v>
      </c>
      <c r="K50" s="191">
        <v>15.153380606236368</v>
      </c>
      <c r="L50" s="192">
        <v>16.387769700190667</v>
      </c>
      <c r="M50" s="192">
        <v>11.90544309255047</v>
      </c>
      <c r="N50" s="162">
        <v>2.3864356651555507E-2</v>
      </c>
      <c r="O50" s="193">
        <v>15.848822678906508</v>
      </c>
      <c r="P50" s="194">
        <v>16.017323856640203</v>
      </c>
      <c r="Q50" s="194">
        <v>13.795575584957589</v>
      </c>
      <c r="R50" s="165">
        <v>2.874267373710504E-2</v>
      </c>
      <c r="S50" s="191">
        <v>15.780104195727475</v>
      </c>
      <c r="T50" s="192">
        <v>19.192536273974298</v>
      </c>
      <c r="U50" s="192">
        <v>16.190879565002</v>
      </c>
      <c r="V50" s="162">
        <v>3.4069380380162384E-2</v>
      </c>
      <c r="W50" s="193">
        <v>15.435043780692169</v>
      </c>
      <c r="X50" s="194">
        <v>19.834151447549786</v>
      </c>
      <c r="Y50" s="194">
        <v>17.159698018066905</v>
      </c>
      <c r="Z50" s="165">
        <v>3.6009758543176229E-2</v>
      </c>
      <c r="AA50" s="191">
        <v>15.325913374725161</v>
      </c>
      <c r="AB50" s="192">
        <v>22.959045204183056</v>
      </c>
      <c r="AC50" s="192">
        <v>22.797058009878192</v>
      </c>
      <c r="AD50" s="162">
        <v>4.5546846900489601E-2</v>
      </c>
      <c r="AE50" s="195">
        <v>17.311789892019338</v>
      </c>
      <c r="AF50" s="196">
        <v>20.624720089085052</v>
      </c>
      <c r="AG50" s="196">
        <v>17.942475781762937</v>
      </c>
      <c r="AH50" s="168">
        <v>3.7501594678150285E-2</v>
      </c>
    </row>
    <row r="51" spans="1:34" hidden="1" x14ac:dyDescent="0.15">
      <c r="A51" s="131" t="s">
        <v>686</v>
      </c>
      <c r="B51" s="214">
        <v>53.275320000000001</v>
      </c>
      <c r="C51" s="191">
        <v>54.22173468917952</v>
      </c>
      <c r="D51" s="192">
        <v>55.137608028219617</v>
      </c>
      <c r="E51" s="192">
        <v>56.247181700887573</v>
      </c>
      <c r="F51" s="162">
        <v>1.7525905172177669E-3</v>
      </c>
      <c r="G51" s="193">
        <v>54.221734741394471</v>
      </c>
      <c r="H51" s="194">
        <v>55.137952571336278</v>
      </c>
      <c r="I51" s="194">
        <v>58.82799012513324</v>
      </c>
      <c r="J51" s="165">
        <v>3.2033319838420393E-3</v>
      </c>
      <c r="K51" s="191">
        <v>51.842964400982865</v>
      </c>
      <c r="L51" s="192">
        <v>52.178200837420135</v>
      </c>
      <c r="M51" s="192">
        <v>55.939655797163944</v>
      </c>
      <c r="N51" s="162">
        <v>1.5754445543227913E-3</v>
      </c>
      <c r="O51" s="193">
        <v>55.458752515105289</v>
      </c>
      <c r="P51" s="194">
        <v>56.351787972926431</v>
      </c>
      <c r="Q51" s="194">
        <v>58.851688746652606</v>
      </c>
      <c r="R51" s="165">
        <v>3.2163661035518043E-3</v>
      </c>
      <c r="S51" s="191">
        <v>54.221724986334905</v>
      </c>
      <c r="T51" s="192">
        <v>55.137607116102707</v>
      </c>
      <c r="U51" s="192">
        <v>58.819218665656535</v>
      </c>
      <c r="V51" s="162">
        <v>3.1985064378694528E-3</v>
      </c>
      <c r="W51" s="193">
        <v>54.22173719736297</v>
      </c>
      <c r="X51" s="194">
        <v>55.137608883065965</v>
      </c>
      <c r="Y51" s="194">
        <v>58.842444115631672</v>
      </c>
      <c r="Z51" s="165">
        <v>3.2112822084706671E-3</v>
      </c>
      <c r="AA51" s="191">
        <v>54.221753160618476</v>
      </c>
      <c r="AB51" s="192">
        <v>55.13809889932304</v>
      </c>
      <c r="AC51" s="192">
        <v>58.829346860222387</v>
      </c>
      <c r="AD51" s="162">
        <v>3.2040783182636368E-3</v>
      </c>
      <c r="AE51" s="195">
        <v>54.221740356050447</v>
      </c>
      <c r="AF51" s="196">
        <v>56.368515725239057</v>
      </c>
      <c r="AG51" s="196">
        <v>58.821527289417446</v>
      </c>
      <c r="AH51" s="168">
        <v>3.19977657568149E-3</v>
      </c>
    </row>
    <row r="52" spans="1:34" hidden="1" x14ac:dyDescent="0.15">
      <c r="A52" s="131" t="s">
        <v>692</v>
      </c>
      <c r="B52" s="214">
        <v>3.6739999999999999</v>
      </c>
      <c r="C52" s="191">
        <v>2.2479723132079208</v>
      </c>
      <c r="D52" s="192">
        <v>2.4790125016964133</v>
      </c>
      <c r="E52" s="192">
        <v>2.6542072688099374</v>
      </c>
      <c r="F52" s="162">
        <v>-1.0433414784974726E-2</v>
      </c>
      <c r="G52" s="193">
        <v>2.3178322689951592</v>
      </c>
      <c r="H52" s="194">
        <v>5.1941279839776753</v>
      </c>
      <c r="I52" s="194">
        <v>5.247043463330554</v>
      </c>
      <c r="J52" s="165">
        <v>1.1562586865458302E-2</v>
      </c>
      <c r="K52" s="191">
        <v>1.8021897221321208</v>
      </c>
      <c r="L52" s="192">
        <v>2.6741910315678719</v>
      </c>
      <c r="M52" s="192">
        <v>3.36485513108632</v>
      </c>
      <c r="N52" s="162">
        <v>-2.8313414710205986E-3</v>
      </c>
      <c r="O52" s="193">
        <v>1.9781128513784307</v>
      </c>
      <c r="P52" s="194">
        <v>2.3746027325659229</v>
      </c>
      <c r="Q52" s="194">
        <v>16.099191987935541</v>
      </c>
      <c r="R52" s="165">
        <v>4.8814948529962043E-2</v>
      </c>
      <c r="S52" s="191">
        <v>2.8281463983921178</v>
      </c>
      <c r="T52" s="192">
        <v>12.206313845139272</v>
      </c>
      <c r="U52" s="192">
        <v>12.311443996458525</v>
      </c>
      <c r="V52" s="162">
        <v>3.977881020718832E-2</v>
      </c>
      <c r="W52" s="193">
        <v>2.4775529180120293</v>
      </c>
      <c r="X52" s="194">
        <v>9.5180250474137686</v>
      </c>
      <c r="Y52" s="194">
        <v>9.6151743464745572</v>
      </c>
      <c r="Z52" s="165">
        <v>3.1520825377936657E-2</v>
      </c>
      <c r="AA52" s="191">
        <v>2.3231112774984171</v>
      </c>
      <c r="AB52" s="192">
        <v>2.2903590968731957</v>
      </c>
      <c r="AC52" s="192">
        <v>2.3161764823211932</v>
      </c>
      <c r="AD52" s="162">
        <v>-1.4772485008320069E-2</v>
      </c>
      <c r="AE52" s="195">
        <v>2.1162646580325672</v>
      </c>
      <c r="AF52" s="196">
        <v>3.9343371854414371</v>
      </c>
      <c r="AG52" s="196">
        <v>3.9713788678088981</v>
      </c>
      <c r="AH52" s="168">
        <v>2.5138760967478024E-3</v>
      </c>
    </row>
    <row r="53" spans="1:34" hidden="1" x14ac:dyDescent="0.15">
      <c r="A53" s="131" t="s">
        <v>693</v>
      </c>
      <c r="B53" s="214">
        <v>131.09563560300569</v>
      </c>
      <c r="C53" s="219">
        <v>132.13653936649598</v>
      </c>
      <c r="D53" s="220">
        <v>132.23533928321802</v>
      </c>
      <c r="E53" s="220">
        <v>135.3131991903843</v>
      </c>
      <c r="F53" s="162">
        <v>1.0219730134073401E-3</v>
      </c>
      <c r="G53" s="221">
        <v>134.64197069414536</v>
      </c>
      <c r="H53" s="222">
        <v>135.31320274191322</v>
      </c>
      <c r="I53" s="222">
        <v>135.31320272563613</v>
      </c>
      <c r="J53" s="165">
        <v>1.025416439924598E-3</v>
      </c>
      <c r="K53" s="219">
        <v>133.72648105008142</v>
      </c>
      <c r="L53" s="220">
        <v>135.31724897012913</v>
      </c>
      <c r="M53" s="220">
        <v>135.31716766958186</v>
      </c>
      <c r="N53" s="162">
        <v>1.0263626207258625E-3</v>
      </c>
      <c r="O53" s="221">
        <v>134.6992687365927</v>
      </c>
      <c r="P53" s="222">
        <v>137.0734368669028</v>
      </c>
      <c r="Q53" s="222">
        <v>140.47102299906271</v>
      </c>
      <c r="R53" s="165">
        <v>2.2341286259248694E-3</v>
      </c>
      <c r="S53" s="219">
        <v>134.64145393445003</v>
      </c>
      <c r="T53" s="220">
        <v>136.24173976991523</v>
      </c>
      <c r="U53" s="220">
        <v>136.24173985725375</v>
      </c>
      <c r="V53" s="162">
        <v>1.2462700827027273E-3</v>
      </c>
      <c r="W53" s="221">
        <v>134.64145737196122</v>
      </c>
      <c r="X53" s="222">
        <v>135.31319863841989</v>
      </c>
      <c r="Y53" s="222">
        <v>135.3131982131089</v>
      </c>
      <c r="Z53" s="165">
        <v>1.0254153630551155E-3</v>
      </c>
      <c r="AA53" s="219">
        <v>134.64251340320203</v>
      </c>
      <c r="AB53" s="220">
        <v>135.31320412258805</v>
      </c>
      <c r="AC53" s="220">
        <v>135.31320427412987</v>
      </c>
      <c r="AD53" s="162">
        <v>1.0254168094572247E-3</v>
      </c>
      <c r="AE53" s="223">
        <v>134.69927059517394</v>
      </c>
      <c r="AF53" s="224">
        <v>135.31320125111577</v>
      </c>
      <c r="AG53" s="224">
        <v>135.31320116461853</v>
      </c>
      <c r="AH53" s="168">
        <v>1.0312841953281637E-3</v>
      </c>
    </row>
    <row r="54" spans="1:34" hidden="1" x14ac:dyDescent="0.15">
      <c r="A54" s="131" t="s">
        <v>674</v>
      </c>
      <c r="B54" s="214">
        <v>7.84</v>
      </c>
      <c r="C54" s="191">
        <v>15.298551585316726</v>
      </c>
      <c r="D54" s="192">
        <v>26.094369824524485</v>
      </c>
      <c r="E54" s="192">
        <v>42.504987806571918</v>
      </c>
      <c r="F54" s="162">
        <v>5.604254236298134E-2</v>
      </c>
      <c r="G54" s="193">
        <v>26.99154049219251</v>
      </c>
      <c r="H54" s="194">
        <v>55.520025916125739</v>
      </c>
      <c r="I54" s="194">
        <v>93.057294415358612</v>
      </c>
      <c r="J54" s="165">
        <v>8.307659978764792E-2</v>
      </c>
      <c r="K54" s="191">
        <v>21.627123487662853</v>
      </c>
      <c r="L54" s="192">
        <v>44.304171981751743</v>
      </c>
      <c r="M54" s="192">
        <v>72.002999924246524</v>
      </c>
      <c r="N54" s="162">
        <v>7.4151724327231383E-2</v>
      </c>
      <c r="O54" s="193">
        <v>48.592305449123629</v>
      </c>
      <c r="P54" s="194">
        <v>105.50676901656459</v>
      </c>
      <c r="Q54" s="194">
        <v>164.44480798260827</v>
      </c>
      <c r="R54" s="165">
        <v>0.10315265926451955</v>
      </c>
      <c r="S54" s="191">
        <v>41.541773582542312</v>
      </c>
      <c r="T54" s="192">
        <v>75.779668375424365</v>
      </c>
      <c r="U54" s="192">
        <v>112.51177546481867</v>
      </c>
      <c r="V54" s="162">
        <v>8.9729659702904696E-2</v>
      </c>
      <c r="W54" s="193">
        <v>30.267447716636649</v>
      </c>
      <c r="X54" s="194">
        <v>64.197025704570095</v>
      </c>
      <c r="Y54" s="194">
        <v>97.767791408193744</v>
      </c>
      <c r="Z54" s="165">
        <v>8.4803204465742521E-2</v>
      </c>
      <c r="AA54" s="191">
        <v>26.991550573840406</v>
      </c>
      <c r="AB54" s="192">
        <v>55.022505476968973</v>
      </c>
      <c r="AC54" s="192">
        <v>89.626821238208933</v>
      </c>
      <c r="AD54" s="162">
        <v>8.1765098585347529E-2</v>
      </c>
      <c r="AE54" s="195">
        <v>33.540190115757142</v>
      </c>
      <c r="AF54" s="196">
        <v>63.013692461532841</v>
      </c>
      <c r="AG54" s="196">
        <v>97.610279156965078</v>
      </c>
      <c r="AH54" s="168">
        <v>8.4746782711721869E-2</v>
      </c>
    </row>
    <row r="55" spans="1:34" hidden="1" x14ac:dyDescent="0.15">
      <c r="A55" s="131" t="s">
        <v>675</v>
      </c>
      <c r="B55" s="214">
        <v>0.52500000000000002</v>
      </c>
      <c r="C55" s="191">
        <v>0.26071252755755242</v>
      </c>
      <c r="D55" s="192">
        <v>0.42467323148494479</v>
      </c>
      <c r="E55" s="192">
        <v>0.69174793783203858</v>
      </c>
      <c r="F55" s="162">
        <v>8.9372288880678052E-3</v>
      </c>
      <c r="G55" s="193">
        <v>1.7723730306918895</v>
      </c>
      <c r="H55" s="194">
        <v>7.1702359621593308</v>
      </c>
      <c r="I55" s="194">
        <v>15.480000326125996</v>
      </c>
      <c r="J55" s="165">
        <v>0.1153388443466552</v>
      </c>
      <c r="K55" s="191">
        <v>1.6344468141655784</v>
      </c>
      <c r="L55" s="192">
        <v>3.7576122026583274</v>
      </c>
      <c r="M55" s="192">
        <v>6.1204773350331747</v>
      </c>
      <c r="N55" s="162">
        <v>8.2448617321269735E-2</v>
      </c>
      <c r="O55" s="193">
        <v>2.2811289192730002</v>
      </c>
      <c r="P55" s="194">
        <v>9.2284387437433697</v>
      </c>
      <c r="Q55" s="194">
        <v>15.480000030664517</v>
      </c>
      <c r="R55" s="165">
        <v>0.11533884365994251</v>
      </c>
      <c r="S55" s="191">
        <v>0.26070938546098349</v>
      </c>
      <c r="T55" s="192">
        <v>0.42466811701523932</v>
      </c>
      <c r="U55" s="192">
        <v>0.69173961396241412</v>
      </c>
      <c r="V55" s="162">
        <v>8.9368372522731221E-3</v>
      </c>
      <c r="W55" s="193">
        <v>0.26501355133507615</v>
      </c>
      <c r="X55" s="194">
        <v>0.43167914877290942</v>
      </c>
      <c r="Y55" s="194">
        <v>0.70315984489800687</v>
      </c>
      <c r="Z55" s="165">
        <v>9.4699126873518669E-3</v>
      </c>
      <c r="AA55" s="191">
        <v>1.7723743710785207</v>
      </c>
      <c r="AB55" s="192">
        <v>7.1702391841879383</v>
      </c>
      <c r="AC55" s="192">
        <v>15.480000252853303</v>
      </c>
      <c r="AD55" s="162">
        <v>0.11533884417635454</v>
      </c>
      <c r="AE55" s="195">
        <v>2.2811290675190077</v>
      </c>
      <c r="AF55" s="196">
        <v>9.228439011910357</v>
      </c>
      <c r="AG55" s="196">
        <v>15.480000074124181</v>
      </c>
      <c r="AH55" s="168">
        <v>0.11533884376095149</v>
      </c>
    </row>
    <row r="56" spans="1:34" hidden="1" x14ac:dyDescent="0.15">
      <c r="A56" s="131" t="s">
        <v>676</v>
      </c>
      <c r="B56" s="190">
        <v>0</v>
      </c>
      <c r="C56" s="191">
        <v>0</v>
      </c>
      <c r="D56" s="192">
        <v>8.6207856765199324E-5</v>
      </c>
      <c r="E56" s="192">
        <v>8.7306804982844211E-5</v>
      </c>
      <c r="F56" s="162" t="s">
        <v>672</v>
      </c>
      <c r="G56" s="193">
        <v>0</v>
      </c>
      <c r="H56" s="194">
        <v>3.2282368953531321E-3</v>
      </c>
      <c r="I56" s="194">
        <v>2.7842878139766007</v>
      </c>
      <c r="J56" s="165" t="s">
        <v>672</v>
      </c>
      <c r="K56" s="191">
        <v>0</v>
      </c>
      <c r="L56" s="192">
        <v>0</v>
      </c>
      <c r="M56" s="192">
        <v>0</v>
      </c>
      <c r="N56" s="162" t="s">
        <v>672</v>
      </c>
      <c r="O56" s="193">
        <v>0</v>
      </c>
      <c r="P56" s="194">
        <v>9.0387126905506747E-5</v>
      </c>
      <c r="Q56" s="194">
        <v>105.07200367948458</v>
      </c>
      <c r="R56" s="165" t="s">
        <v>672</v>
      </c>
      <c r="S56" s="191">
        <v>0</v>
      </c>
      <c r="T56" s="192">
        <v>0</v>
      </c>
      <c r="U56" s="192">
        <v>0</v>
      </c>
      <c r="V56" s="162" t="s">
        <v>672</v>
      </c>
      <c r="W56" s="193">
        <v>0</v>
      </c>
      <c r="X56" s="194">
        <v>7.1714694063390699E-6</v>
      </c>
      <c r="Y56" s="194">
        <v>7.2303223372147797E-6</v>
      </c>
      <c r="Z56" s="165" t="s">
        <v>672</v>
      </c>
      <c r="AA56" s="191">
        <v>0</v>
      </c>
      <c r="AB56" s="192">
        <v>5.501499054967874E-3</v>
      </c>
      <c r="AC56" s="192">
        <v>6.6130332802085495E-2</v>
      </c>
      <c r="AD56" s="162" t="s">
        <v>672</v>
      </c>
      <c r="AE56" s="195">
        <v>0</v>
      </c>
      <c r="AF56" s="196">
        <v>3.2069913646027541</v>
      </c>
      <c r="AG56" s="196">
        <v>3.2069078063220231</v>
      </c>
      <c r="AH56" s="168" t="s">
        <v>672</v>
      </c>
    </row>
    <row r="57" spans="1:34" hidden="1" x14ac:dyDescent="0.15">
      <c r="A57" s="134" t="s">
        <v>684</v>
      </c>
      <c r="B57" s="190">
        <v>0</v>
      </c>
      <c r="C57" s="191">
        <v>5.9300938888207772E-5</v>
      </c>
      <c r="D57" s="192">
        <v>1.5259820159241593E-4</v>
      </c>
      <c r="E57" s="192">
        <v>1.5562251533437991E-4</v>
      </c>
      <c r="F57" s="162" t="s">
        <v>672</v>
      </c>
      <c r="G57" s="193">
        <v>6.1754169169765776</v>
      </c>
      <c r="H57" s="194">
        <v>6.1492065181512547</v>
      </c>
      <c r="I57" s="194">
        <v>12.041752862416416</v>
      </c>
      <c r="J57" s="165" t="s">
        <v>672</v>
      </c>
      <c r="K57" s="191">
        <v>0.1145191556142785</v>
      </c>
      <c r="L57" s="192">
        <v>0.12561894590814165</v>
      </c>
      <c r="M57" s="192">
        <v>4.9814967176373957</v>
      </c>
      <c r="N57" s="162" t="s">
        <v>672</v>
      </c>
      <c r="O57" s="193">
        <v>6.8613852479656696</v>
      </c>
      <c r="P57" s="194">
        <v>7.2242508020058924</v>
      </c>
      <c r="Q57" s="194">
        <v>6.5594593466726421</v>
      </c>
      <c r="R57" s="165" t="s">
        <v>672</v>
      </c>
      <c r="S57" s="191">
        <v>6.1769337385659746</v>
      </c>
      <c r="T57" s="192">
        <v>6.1500201914660408</v>
      </c>
      <c r="U57" s="192">
        <v>10.150163518394326</v>
      </c>
      <c r="V57" s="162" t="s">
        <v>672</v>
      </c>
      <c r="W57" s="193">
        <v>6.2014635699344218</v>
      </c>
      <c r="X57" s="194">
        <v>6.3563066671899788</v>
      </c>
      <c r="Y57" s="194">
        <v>10.92067930780545</v>
      </c>
      <c r="Z57" s="165" t="s">
        <v>672</v>
      </c>
      <c r="AA57" s="191">
        <v>0.66693710422640817</v>
      </c>
      <c r="AB57" s="192">
        <v>1.1899754065033501</v>
      </c>
      <c r="AC57" s="192">
        <v>12.393101313172954</v>
      </c>
      <c r="AD57" s="162" t="s">
        <v>672</v>
      </c>
      <c r="AE57" s="195">
        <v>6.1695209099371322</v>
      </c>
      <c r="AF57" s="196">
        <v>6.9081914192282765</v>
      </c>
      <c r="AG57" s="196">
        <v>12.030598107033454</v>
      </c>
      <c r="AH57" s="168" t="s">
        <v>672</v>
      </c>
    </row>
    <row r="58" spans="1:34" hidden="1" x14ac:dyDescent="0.15">
      <c r="A58" s="235" t="s">
        <v>694</v>
      </c>
      <c r="B58" s="236">
        <v>4.1401012213873045</v>
      </c>
      <c r="C58" s="237">
        <v>4.285027905555534</v>
      </c>
      <c r="D58" s="180">
        <v>4.3430467772394925</v>
      </c>
      <c r="E58" s="180">
        <v>4.5654154819584525</v>
      </c>
      <c r="F58" s="181">
        <v>3.1594737919786731E-3</v>
      </c>
      <c r="G58" s="238">
        <v>4.3579344409917944</v>
      </c>
      <c r="H58" s="184">
        <v>4.5831014759620849</v>
      </c>
      <c r="I58" s="184">
        <v>6.6587085760270552</v>
      </c>
      <c r="J58" s="185">
        <v>1.5416598773418944E-2</v>
      </c>
      <c r="K58" s="237">
        <v>4.7213216659502768</v>
      </c>
      <c r="L58" s="180">
        <v>5.0536188134411431</v>
      </c>
      <c r="M58" s="180">
        <v>4.9536427590550414</v>
      </c>
      <c r="N58" s="181">
        <v>5.7735625507169264E-3</v>
      </c>
      <c r="O58" s="238">
        <v>4.4190571966591898</v>
      </c>
      <c r="P58" s="184">
        <v>5.1133181328379553</v>
      </c>
      <c r="Q58" s="184">
        <v>5.5654784664624222</v>
      </c>
      <c r="R58" s="185">
        <v>9.5591246268045271E-3</v>
      </c>
      <c r="S58" s="237">
        <v>4.4125222972312192</v>
      </c>
      <c r="T58" s="180">
        <v>5.0412818235292347</v>
      </c>
      <c r="U58" s="180">
        <v>7.7873782614413543</v>
      </c>
      <c r="V58" s="181">
        <v>2.0558366865925271E-2</v>
      </c>
      <c r="W58" s="238">
        <v>4.345504519307279</v>
      </c>
      <c r="X58" s="184">
        <v>4.8954279359815569</v>
      </c>
      <c r="Y58" s="184">
        <v>6.9789226445077892</v>
      </c>
      <c r="Z58" s="185">
        <v>1.6956251958434088E-2</v>
      </c>
      <c r="AA58" s="237">
        <v>4.3646412624480151</v>
      </c>
      <c r="AB58" s="180">
        <v>4.6243717511162235</v>
      </c>
      <c r="AC58" s="180">
        <v>6.1518951043657264</v>
      </c>
      <c r="AD58" s="181">
        <v>1.2826815435413419E-2</v>
      </c>
      <c r="AE58" s="239">
        <v>15.682702930320577</v>
      </c>
      <c r="AF58" s="188">
        <v>16.672481837753843</v>
      </c>
      <c r="AG58" s="188">
        <v>25.793429046389299</v>
      </c>
      <c r="AH58" s="189">
        <v>1.7766729352260535E-2</v>
      </c>
    </row>
    <row r="59" spans="1:34" hidden="1" x14ac:dyDescent="0.15">
      <c r="A59" s="131" t="s">
        <v>695</v>
      </c>
      <c r="B59" s="190">
        <v>4.1401012213873045</v>
      </c>
      <c r="C59" s="191">
        <v>4.2832037244580441</v>
      </c>
      <c r="D59" s="192">
        <v>4.325622140693743</v>
      </c>
      <c r="E59" s="192">
        <v>4.3901709085747376</v>
      </c>
      <c r="F59" s="162">
        <v>1.8936591159430805E-3</v>
      </c>
      <c r="G59" s="193">
        <v>4.334310874367338</v>
      </c>
      <c r="H59" s="194">
        <v>4.4656183123409399</v>
      </c>
      <c r="I59" s="194">
        <v>4.6329187261720479</v>
      </c>
      <c r="J59" s="165">
        <v>3.6042082678389153E-3</v>
      </c>
      <c r="K59" s="191">
        <v>4.3147882635046466</v>
      </c>
      <c r="L59" s="192">
        <v>4.4094001630943698</v>
      </c>
      <c r="M59" s="192">
        <v>4.5255900751675897</v>
      </c>
      <c r="N59" s="162">
        <v>2.8456701894743475E-3</v>
      </c>
      <c r="O59" s="193">
        <v>4.3781457372978894</v>
      </c>
      <c r="P59" s="194">
        <v>4.5334001210853572</v>
      </c>
      <c r="Q59" s="194">
        <v>4.7263571175986625</v>
      </c>
      <c r="R59" s="165">
        <v>4.2508566375520918E-3</v>
      </c>
      <c r="S59" s="191">
        <v>4.3642154928986745</v>
      </c>
      <c r="T59" s="192">
        <v>4.4570349035952734</v>
      </c>
      <c r="U59" s="192">
        <v>4.6002354873758469</v>
      </c>
      <c r="V59" s="162">
        <v>3.3750381449721978E-3</v>
      </c>
      <c r="W59" s="193">
        <v>4.3284766262101488</v>
      </c>
      <c r="X59" s="194">
        <v>4.4376022703643043</v>
      </c>
      <c r="Y59" s="194">
        <v>4.5685843765042966</v>
      </c>
      <c r="Z59" s="165">
        <v>3.1515983749752507E-3</v>
      </c>
      <c r="AA59" s="191">
        <v>4.3343110945439678</v>
      </c>
      <c r="AB59" s="192">
        <v>4.4636928547149175</v>
      </c>
      <c r="AC59" s="192">
        <v>4.6297820932091405</v>
      </c>
      <c r="AD59" s="162">
        <v>3.5822826362001958E-3</v>
      </c>
      <c r="AE59" s="195">
        <v>15.647021535119457</v>
      </c>
      <c r="AF59" s="196">
        <v>16.134816369811194</v>
      </c>
      <c r="AG59" s="196">
        <v>16.712861231562155</v>
      </c>
      <c r="AH59" s="168">
        <v>3.6191756074246406E-3</v>
      </c>
    </row>
    <row r="60" spans="1:34" hidden="1" x14ac:dyDescent="0.15">
      <c r="A60" s="131" t="s">
        <v>696</v>
      </c>
      <c r="B60" s="190">
        <v>7.1012213873048796E-3</v>
      </c>
      <c r="C60" s="191">
        <v>1.8241810974897435E-3</v>
      </c>
      <c r="D60" s="192">
        <v>1.7424636545749647E-2</v>
      </c>
      <c r="E60" s="192">
        <v>0.17524457338371541</v>
      </c>
      <c r="F60" s="162">
        <v>0.10895334447089811</v>
      </c>
      <c r="G60" s="193">
        <v>2.362356662445602E-2</v>
      </c>
      <c r="H60" s="194">
        <v>0.11748316362114547</v>
      </c>
      <c r="I60" s="194">
        <v>2.0257898498550078</v>
      </c>
      <c r="J60" s="165">
        <v>0.18329303423198717</v>
      </c>
      <c r="K60" s="191">
        <v>0.40653340244563019</v>
      </c>
      <c r="L60" s="192">
        <v>0.64421865034677361</v>
      </c>
      <c r="M60" s="192">
        <v>0.42805268388745132</v>
      </c>
      <c r="N60" s="162">
        <v>0.12542091006645451</v>
      </c>
      <c r="O60" s="193">
        <v>4.0911459361300376E-2</v>
      </c>
      <c r="P60" s="194">
        <v>0.57991801175259816</v>
      </c>
      <c r="Q60" s="194">
        <v>0.83912134886376</v>
      </c>
      <c r="R60" s="165">
        <v>0.1501246216116785</v>
      </c>
      <c r="S60" s="191">
        <v>4.8306804332544945E-2</v>
      </c>
      <c r="T60" s="192">
        <v>0.58424691993396094</v>
      </c>
      <c r="U60" s="192">
        <v>3.1871427740655078</v>
      </c>
      <c r="V60" s="162">
        <v>0.20071773393909353</v>
      </c>
      <c r="W60" s="193">
        <v>1.7027893097130153E-2</v>
      </c>
      <c r="X60" s="194">
        <v>0.45782566561725274</v>
      </c>
      <c r="Y60" s="194">
        <v>2.4103382680034922</v>
      </c>
      <c r="Z60" s="165">
        <v>0.18994602595859211</v>
      </c>
      <c r="AA60" s="191">
        <v>3.0330167904047595E-2</v>
      </c>
      <c r="AB60" s="192">
        <v>0.16067889640130556</v>
      </c>
      <c r="AC60" s="192">
        <v>1.5221130111565864</v>
      </c>
      <c r="AD60" s="162">
        <v>0.17243169409147208</v>
      </c>
      <c r="AE60" s="195">
        <v>3.5681395201120125E-2</v>
      </c>
      <c r="AF60" s="196">
        <v>0.53766546794264869</v>
      </c>
      <c r="AG60" s="196">
        <v>9.0805678148271447</v>
      </c>
      <c r="AH60" s="168">
        <v>0.17370327706006394</v>
      </c>
    </row>
    <row r="61" spans="1:34" ht="12" hidden="1" x14ac:dyDescent="0.15">
      <c r="A61" s="235" t="s">
        <v>697</v>
      </c>
      <c r="B61" s="236">
        <v>3.0833600000000003</v>
      </c>
      <c r="C61" s="237">
        <v>1.0791162716115432E-5</v>
      </c>
      <c r="D61" s="180">
        <v>3.0371017434166337E-6</v>
      </c>
      <c r="E61" s="180">
        <v>2.9147422123434291E-6</v>
      </c>
      <c r="F61" s="181">
        <v>-0.36076029966309198</v>
      </c>
      <c r="G61" s="238">
        <v>7.8743333677988421</v>
      </c>
      <c r="H61" s="184">
        <v>6.641079150160075</v>
      </c>
      <c r="I61" s="184">
        <v>10.965002622040299</v>
      </c>
      <c r="J61" s="185">
        <v>4.1774430284963193E-2</v>
      </c>
      <c r="K61" s="237">
        <v>5.8174478000099406</v>
      </c>
      <c r="L61" s="180">
        <v>3.3697762547682322</v>
      </c>
      <c r="M61" s="180">
        <v>7.1485727997342909</v>
      </c>
      <c r="N61" s="181">
        <v>2.7496822307019775E-2</v>
      </c>
      <c r="O61" s="238">
        <v>9.1346667700385851</v>
      </c>
      <c r="P61" s="184">
        <v>10.942975635108864</v>
      </c>
      <c r="Q61" s="184">
        <v>23.314576094353093</v>
      </c>
      <c r="R61" s="185">
        <v>6.7436481756069533E-2</v>
      </c>
      <c r="S61" s="237">
        <v>8.4541419430472349</v>
      </c>
      <c r="T61" s="180">
        <v>5.1226094796314294</v>
      </c>
      <c r="U61" s="180">
        <v>12.660098084434598</v>
      </c>
      <c r="V61" s="181">
        <v>4.6616340226408148E-2</v>
      </c>
      <c r="W61" s="238">
        <v>5.6956116882300769</v>
      </c>
      <c r="X61" s="184">
        <v>3.6019149617529713</v>
      </c>
      <c r="Y61" s="184">
        <v>11.022163842577823</v>
      </c>
      <c r="Z61" s="185">
        <v>4.1949178047949065E-2</v>
      </c>
      <c r="AA61" s="237">
        <v>6.1145904644962794</v>
      </c>
      <c r="AB61" s="180">
        <v>2.4409362531592054</v>
      </c>
      <c r="AC61" s="180">
        <v>4.8393308812545559</v>
      </c>
      <c r="AD61" s="181">
        <v>1.4646761745215953E-2</v>
      </c>
      <c r="AE61" s="239">
        <v>10.20376176854462</v>
      </c>
      <c r="AF61" s="188">
        <v>7.925653423826045</v>
      </c>
      <c r="AG61" s="188">
        <v>10.941118888204327</v>
      </c>
      <c r="AH61" s="189">
        <v>4.1701153969465388E-2</v>
      </c>
    </row>
    <row r="62" spans="1:34" hidden="1" x14ac:dyDescent="0.15">
      <c r="A62" s="131" t="s">
        <v>698</v>
      </c>
      <c r="B62" s="190">
        <v>0.16384000000000001</v>
      </c>
      <c r="C62" s="191">
        <v>0</v>
      </c>
      <c r="D62" s="192">
        <v>0</v>
      </c>
      <c r="E62" s="192">
        <v>0</v>
      </c>
      <c r="F62" s="162">
        <v>-1</v>
      </c>
      <c r="G62" s="193">
        <v>7.0881167148205922E-6</v>
      </c>
      <c r="H62" s="194">
        <v>6.3400469315557107E-6</v>
      </c>
      <c r="I62" s="194">
        <v>0</v>
      </c>
      <c r="J62" s="165">
        <v>-1</v>
      </c>
      <c r="K62" s="191">
        <v>6.7219363006203084E-2</v>
      </c>
      <c r="L62" s="192">
        <v>2.3264188385869258E-2</v>
      </c>
      <c r="M62" s="192">
        <v>3.0180396950498119E-4</v>
      </c>
      <c r="N62" s="162">
        <v>-0.18382360062142367</v>
      </c>
      <c r="O62" s="193">
        <v>0</v>
      </c>
      <c r="P62" s="194">
        <v>0</v>
      </c>
      <c r="Q62" s="194">
        <v>0</v>
      </c>
      <c r="R62" s="165">
        <v>-1</v>
      </c>
      <c r="S62" s="191">
        <v>0</v>
      </c>
      <c r="T62" s="192">
        <v>0</v>
      </c>
      <c r="U62" s="192">
        <v>0</v>
      </c>
      <c r="V62" s="162">
        <v>-1</v>
      </c>
      <c r="W62" s="193">
        <v>0</v>
      </c>
      <c r="X62" s="194">
        <v>0</v>
      </c>
      <c r="Y62" s="194">
        <v>0</v>
      </c>
      <c r="Z62" s="165">
        <v>-1</v>
      </c>
      <c r="AA62" s="191">
        <v>2.6745346349822302E-5</v>
      </c>
      <c r="AB62" s="192">
        <v>3.3833069673267033E-5</v>
      </c>
      <c r="AC62" s="192">
        <v>1.16390917276827E-5</v>
      </c>
      <c r="AD62" s="162">
        <v>-0.26518605092136605</v>
      </c>
      <c r="AE62" s="195">
        <v>3.7381474657438855E-6</v>
      </c>
      <c r="AF62" s="196">
        <v>4.9390131661459219E-6</v>
      </c>
      <c r="AG62" s="196">
        <v>0</v>
      </c>
      <c r="AH62" s="168">
        <v>-1</v>
      </c>
    </row>
    <row r="63" spans="1:34" ht="12" hidden="1" x14ac:dyDescent="0.15">
      <c r="A63" s="131" t="s">
        <v>691</v>
      </c>
      <c r="B63" s="190">
        <v>2.91</v>
      </c>
      <c r="C63" s="191">
        <v>1.0791162716115432E-5</v>
      </c>
      <c r="D63" s="192">
        <v>3.0371017434166337E-6</v>
      </c>
      <c r="E63" s="192">
        <v>2.9147422123434291E-6</v>
      </c>
      <c r="F63" s="162">
        <v>-0.3595659344513622</v>
      </c>
      <c r="G63" s="193">
        <v>2.048225748420315E-5</v>
      </c>
      <c r="H63" s="194">
        <v>1.0247511574795318E-5</v>
      </c>
      <c r="I63" s="194">
        <v>0</v>
      </c>
      <c r="J63" s="165">
        <v>-1</v>
      </c>
      <c r="K63" s="191">
        <v>2.3832470510167956</v>
      </c>
      <c r="L63" s="192">
        <v>4.8685596882952924E-2</v>
      </c>
      <c r="M63" s="192">
        <v>2.9341191994962531E-4</v>
      </c>
      <c r="N63" s="162">
        <v>-0.25683819737300839</v>
      </c>
      <c r="O63" s="193">
        <v>0</v>
      </c>
      <c r="P63" s="194">
        <v>0</v>
      </c>
      <c r="Q63" s="194">
        <v>0</v>
      </c>
      <c r="R63" s="165">
        <v>-1</v>
      </c>
      <c r="S63" s="191">
        <v>0</v>
      </c>
      <c r="T63" s="192">
        <v>0</v>
      </c>
      <c r="U63" s="192">
        <v>0</v>
      </c>
      <c r="V63" s="162">
        <v>-1</v>
      </c>
      <c r="W63" s="193">
        <v>0</v>
      </c>
      <c r="X63" s="194">
        <v>0</v>
      </c>
      <c r="Y63" s="194">
        <v>0</v>
      </c>
      <c r="Z63" s="165">
        <v>-1</v>
      </c>
      <c r="AA63" s="191">
        <v>2.3616761660347998</v>
      </c>
      <c r="AB63" s="192">
        <v>9.8403989974896425E-5</v>
      </c>
      <c r="AC63" s="192">
        <v>2.77697672963197E-5</v>
      </c>
      <c r="AD63" s="162">
        <v>-0.31126180293157624</v>
      </c>
      <c r="AE63" s="195">
        <v>1.0164552953961439E-5</v>
      </c>
      <c r="AF63" s="196">
        <v>1.1362421574367533E-5</v>
      </c>
      <c r="AG63" s="196">
        <v>0</v>
      </c>
      <c r="AH63" s="168">
        <v>-1</v>
      </c>
    </row>
    <row r="64" spans="1:34" hidden="1" x14ac:dyDescent="0.15">
      <c r="A64" s="131" t="s">
        <v>669</v>
      </c>
      <c r="B64" s="190">
        <v>0</v>
      </c>
      <c r="C64" s="191">
        <v>0</v>
      </c>
      <c r="D64" s="192">
        <v>0</v>
      </c>
      <c r="E64" s="192">
        <v>0</v>
      </c>
      <c r="F64" s="162" t="s">
        <v>672</v>
      </c>
      <c r="G64" s="193">
        <v>3.9490515708432952</v>
      </c>
      <c r="H64" s="194">
        <v>2.3644472739520483</v>
      </c>
      <c r="I64" s="194">
        <v>1.4156857685786337</v>
      </c>
      <c r="J64" s="165" t="s">
        <v>672</v>
      </c>
      <c r="K64" s="191">
        <v>3.0897895801945374</v>
      </c>
      <c r="L64" s="192">
        <v>1.8563624114247586</v>
      </c>
      <c r="M64" s="192">
        <v>1.1181637165071485</v>
      </c>
      <c r="N64" s="162" t="s">
        <v>672</v>
      </c>
      <c r="O64" s="193">
        <v>3.7207335878774686</v>
      </c>
      <c r="P64" s="194">
        <v>2.2277402239746373</v>
      </c>
      <c r="Q64" s="194">
        <v>1.3338308545227791</v>
      </c>
      <c r="R64" s="165" t="s">
        <v>672</v>
      </c>
      <c r="S64" s="191">
        <v>3.6779413807299939</v>
      </c>
      <c r="T64" s="192">
        <v>2.2021193797085123</v>
      </c>
      <c r="U64" s="192">
        <v>1.3184902307547777</v>
      </c>
      <c r="V64" s="162" t="s">
        <v>672</v>
      </c>
      <c r="W64" s="193">
        <v>3.3347182251425647</v>
      </c>
      <c r="X64" s="194">
        <v>1.9966190514178899</v>
      </c>
      <c r="Y64" s="194">
        <v>1.1954497618465951</v>
      </c>
      <c r="Z64" s="165" t="s">
        <v>672</v>
      </c>
      <c r="AA64" s="191">
        <v>3.2254193741259378</v>
      </c>
      <c r="AB64" s="192">
        <v>1.9311846663176386</v>
      </c>
      <c r="AC64" s="192">
        <v>1.156277889447306</v>
      </c>
      <c r="AD64" s="162" t="s">
        <v>672</v>
      </c>
      <c r="AE64" s="195">
        <v>5.2110023933880569</v>
      </c>
      <c r="AF64" s="196">
        <v>3.1200214577840377</v>
      </c>
      <c r="AG64" s="196">
        <v>1.868073751203325</v>
      </c>
      <c r="AH64" s="168" t="s">
        <v>672</v>
      </c>
    </row>
    <row r="65" spans="1:34" hidden="1" x14ac:dyDescent="0.15">
      <c r="A65" s="131" t="s">
        <v>692</v>
      </c>
      <c r="B65" s="190">
        <v>0</v>
      </c>
      <c r="C65" s="191">
        <v>0</v>
      </c>
      <c r="D65" s="192">
        <v>0</v>
      </c>
      <c r="E65" s="192">
        <v>0</v>
      </c>
      <c r="F65" s="162" t="s">
        <v>672</v>
      </c>
      <c r="G65" s="193">
        <v>2.4699527452393677</v>
      </c>
      <c r="H65" s="194">
        <v>1.9196378216626329</v>
      </c>
      <c r="I65" s="194">
        <v>3.4808485659113098</v>
      </c>
      <c r="J65" s="165" t="s">
        <v>672</v>
      </c>
      <c r="K65" s="191">
        <v>0.25928148100726178</v>
      </c>
      <c r="L65" s="192">
        <v>6.8086638832387053E-2</v>
      </c>
      <c r="M65" s="192">
        <v>8.2395811072707081E-4</v>
      </c>
      <c r="N65" s="162" t="s">
        <v>672</v>
      </c>
      <c r="O65" s="193">
        <v>1.8616840178673983</v>
      </c>
      <c r="P65" s="194">
        <v>3.6845784065808505</v>
      </c>
      <c r="Q65" s="194">
        <v>0</v>
      </c>
      <c r="R65" s="165" t="s">
        <v>672</v>
      </c>
      <c r="S65" s="191">
        <v>1.8557104644507407</v>
      </c>
      <c r="T65" s="192">
        <v>0</v>
      </c>
      <c r="U65" s="192">
        <v>8.4211177542338369</v>
      </c>
      <c r="V65" s="162" t="s">
        <v>672</v>
      </c>
      <c r="W65" s="193">
        <v>0.97425028935243252</v>
      </c>
      <c r="X65" s="194">
        <v>0.21865271800960895</v>
      </c>
      <c r="Y65" s="194">
        <v>8.4400708928704127</v>
      </c>
      <c r="Z65" s="165" t="s">
        <v>672</v>
      </c>
      <c r="AA65" s="191">
        <v>1.8844837732728305E-2</v>
      </c>
      <c r="AB65" s="192">
        <v>9.5760145577456488E-4</v>
      </c>
      <c r="AC65" s="192">
        <v>4.5408606617727997E-5</v>
      </c>
      <c r="AD65" s="162" t="s">
        <v>672</v>
      </c>
      <c r="AE65" s="195">
        <v>1.850700846341351</v>
      </c>
      <c r="AF65" s="196">
        <v>1.6634655339500843</v>
      </c>
      <c r="AG65" s="196">
        <v>5.0987362257643847</v>
      </c>
      <c r="AH65" s="168" t="s">
        <v>672</v>
      </c>
    </row>
    <row r="66" spans="1:34" hidden="1" x14ac:dyDescent="0.15">
      <c r="A66" s="131" t="s">
        <v>699</v>
      </c>
      <c r="B66" s="190">
        <v>0</v>
      </c>
      <c r="C66" s="191">
        <v>0</v>
      </c>
      <c r="D66" s="192">
        <v>0</v>
      </c>
      <c r="E66" s="192">
        <v>0</v>
      </c>
      <c r="F66" s="162" t="s">
        <v>672</v>
      </c>
      <c r="G66" s="193">
        <v>0.76027266307415231</v>
      </c>
      <c r="H66" s="194">
        <v>1.6619332772512163</v>
      </c>
      <c r="I66" s="194">
        <v>2.6805144549388373</v>
      </c>
      <c r="J66" s="165" t="s">
        <v>672</v>
      </c>
      <c r="K66" s="191">
        <v>7.0259484825965399E-4</v>
      </c>
      <c r="L66" s="192">
        <v>1.2888882658813039</v>
      </c>
      <c r="M66" s="192">
        <v>1.2891321315387543</v>
      </c>
      <c r="N66" s="162" t="s">
        <v>672</v>
      </c>
      <c r="O66" s="193">
        <v>3.5522491642937188</v>
      </c>
      <c r="P66" s="194">
        <v>3.5522491646455734</v>
      </c>
      <c r="Q66" s="194">
        <v>6.4017043048807611</v>
      </c>
      <c r="R66" s="165" t="s">
        <v>672</v>
      </c>
      <c r="S66" s="191">
        <v>2.4562369057470281</v>
      </c>
      <c r="T66" s="192">
        <v>2.4562369057866063</v>
      </c>
      <c r="U66" s="192">
        <v>2.45623690581556</v>
      </c>
      <c r="V66" s="162" t="s">
        <v>672</v>
      </c>
      <c r="W66" s="193">
        <v>0</v>
      </c>
      <c r="X66" s="194">
        <v>0</v>
      </c>
      <c r="Y66" s="194">
        <v>0</v>
      </c>
      <c r="Z66" s="165" t="s">
        <v>672</v>
      </c>
      <c r="AA66" s="191">
        <v>0</v>
      </c>
      <c r="AB66" s="192">
        <v>9.0257361452712233E-6</v>
      </c>
      <c r="AC66" s="192">
        <v>3.1609417478653694</v>
      </c>
      <c r="AD66" s="162" t="s">
        <v>672</v>
      </c>
      <c r="AE66" s="195">
        <v>3.0604330279809111</v>
      </c>
      <c r="AF66" s="196">
        <v>3.0604332437217372</v>
      </c>
      <c r="AG66" s="196">
        <v>3.0604332969027706</v>
      </c>
      <c r="AH66" s="168" t="s">
        <v>672</v>
      </c>
    </row>
    <row r="67" spans="1:34" hidden="1" x14ac:dyDescent="0.15">
      <c r="A67" s="131" t="s">
        <v>676</v>
      </c>
      <c r="B67" s="190">
        <v>0</v>
      </c>
      <c r="C67" s="191">
        <v>0</v>
      </c>
      <c r="D67" s="192">
        <v>0</v>
      </c>
      <c r="E67" s="192">
        <v>0</v>
      </c>
      <c r="F67" s="162" t="s">
        <v>672</v>
      </c>
      <c r="G67" s="193">
        <v>0</v>
      </c>
      <c r="H67" s="194">
        <v>1.2463941367429174E-5</v>
      </c>
      <c r="I67" s="194">
        <v>2.6929225741708729</v>
      </c>
      <c r="J67" s="165" t="s">
        <v>672</v>
      </c>
      <c r="K67" s="191">
        <v>0</v>
      </c>
      <c r="L67" s="192">
        <v>0</v>
      </c>
      <c r="M67" s="192">
        <v>0</v>
      </c>
      <c r="N67" s="162" t="s">
        <v>672</v>
      </c>
      <c r="O67" s="193">
        <v>0</v>
      </c>
      <c r="P67" s="194">
        <v>1.4784078399078033</v>
      </c>
      <c r="Q67" s="194">
        <v>15.579040934949555</v>
      </c>
      <c r="R67" s="165" t="s">
        <v>672</v>
      </c>
      <c r="S67" s="191">
        <v>0</v>
      </c>
      <c r="T67" s="192">
        <v>0</v>
      </c>
      <c r="U67" s="192">
        <v>0</v>
      </c>
      <c r="V67" s="162" t="s">
        <v>672</v>
      </c>
      <c r="W67" s="193">
        <v>0</v>
      </c>
      <c r="X67" s="194">
        <v>0</v>
      </c>
      <c r="Y67" s="194">
        <v>0</v>
      </c>
      <c r="Z67" s="165" t="s">
        <v>672</v>
      </c>
      <c r="AA67" s="191">
        <v>0</v>
      </c>
      <c r="AB67" s="192">
        <v>2.455749443959777E-5</v>
      </c>
      <c r="AC67" s="192">
        <v>4.8172859677086803E-4</v>
      </c>
      <c r="AD67" s="162" t="s">
        <v>672</v>
      </c>
      <c r="AE67" s="195">
        <v>0</v>
      </c>
      <c r="AF67" s="196">
        <v>1.0356558094652617E-4</v>
      </c>
      <c r="AG67" s="196">
        <v>1.9017788616591976E-4</v>
      </c>
      <c r="AH67" s="168" t="s">
        <v>672</v>
      </c>
    </row>
    <row r="68" spans="1:34" hidden="1" x14ac:dyDescent="0.15">
      <c r="A68" s="131" t="s">
        <v>700</v>
      </c>
      <c r="B68" s="190">
        <v>9.5199999999999989E-3</v>
      </c>
      <c r="C68" s="191">
        <v>0</v>
      </c>
      <c r="D68" s="192">
        <v>0</v>
      </c>
      <c r="E68" s="192">
        <v>0</v>
      </c>
      <c r="F68" s="162">
        <v>-1</v>
      </c>
      <c r="G68" s="193">
        <v>0.69502881826782748</v>
      </c>
      <c r="H68" s="194">
        <v>0.6950317257943045</v>
      </c>
      <c r="I68" s="194">
        <v>0.69503125844064451</v>
      </c>
      <c r="J68" s="165">
        <v>0.14844083281828846</v>
      </c>
      <c r="K68" s="191">
        <v>1.7207729936882063E-2</v>
      </c>
      <c r="L68" s="192">
        <v>8.4489153360960328E-2</v>
      </c>
      <c r="M68" s="192">
        <v>4.7398577776882069</v>
      </c>
      <c r="N68" s="162">
        <v>0.22181130928889692</v>
      </c>
      <c r="O68" s="193">
        <v>0</v>
      </c>
      <c r="P68" s="194">
        <v>0</v>
      </c>
      <c r="Q68" s="194">
        <v>0</v>
      </c>
      <c r="R68" s="165">
        <v>-1</v>
      </c>
      <c r="S68" s="191">
        <v>0.46425319211947219</v>
      </c>
      <c r="T68" s="192">
        <v>0.46425319413631044</v>
      </c>
      <c r="U68" s="192">
        <v>0.46425319363042239</v>
      </c>
      <c r="V68" s="162">
        <v>0.13358846437320038</v>
      </c>
      <c r="W68" s="193">
        <v>1.3866431737350797</v>
      </c>
      <c r="X68" s="194">
        <v>1.3866431923254725</v>
      </c>
      <c r="Y68" s="194">
        <v>1.3866431878608154</v>
      </c>
      <c r="Z68" s="165">
        <v>0.17431542876515405</v>
      </c>
      <c r="AA68" s="191">
        <v>0.50862334125646402</v>
      </c>
      <c r="AB68" s="192">
        <v>0.5086281650955593</v>
      </c>
      <c r="AC68" s="192">
        <v>0.52154469787946722</v>
      </c>
      <c r="AD68" s="162">
        <v>0.13785161907611831</v>
      </c>
      <c r="AE68" s="195">
        <v>8.1611598133880692E-2</v>
      </c>
      <c r="AF68" s="196">
        <v>8.1613321354499654E-2</v>
      </c>
      <c r="AG68" s="196">
        <v>0.91368543644768085</v>
      </c>
      <c r="AH68" s="168">
        <v>0.1586189762251764</v>
      </c>
    </row>
    <row r="69" spans="1:34" hidden="1" x14ac:dyDescent="0.15">
      <c r="A69" s="235" t="s">
        <v>701</v>
      </c>
      <c r="B69" s="236">
        <v>0</v>
      </c>
      <c r="C69" s="237">
        <v>1.0161600515518574E-4</v>
      </c>
      <c r="D69" s="180">
        <v>2.8790751952996159E-4</v>
      </c>
      <c r="E69" s="180">
        <v>2.893780134158874E-4</v>
      </c>
      <c r="F69" s="181" t="s">
        <v>672</v>
      </c>
      <c r="G69" s="238">
        <v>13.038001013817185</v>
      </c>
      <c r="H69" s="184">
        <v>21.662661723334153</v>
      </c>
      <c r="I69" s="184">
        <v>62.185913120006717</v>
      </c>
      <c r="J69" s="185" t="s">
        <v>672</v>
      </c>
      <c r="K69" s="237">
        <v>0.58352591385526964</v>
      </c>
      <c r="L69" s="180">
        <v>1.1971702072429729</v>
      </c>
      <c r="M69" s="180">
        <v>21.671308118723051</v>
      </c>
      <c r="N69" s="181" t="s">
        <v>672</v>
      </c>
      <c r="O69" s="238">
        <v>17.8207231609058</v>
      </c>
      <c r="P69" s="184">
        <v>48.76192435438039</v>
      </c>
      <c r="Q69" s="184">
        <v>125.45423424585994</v>
      </c>
      <c r="R69" s="185" t="s">
        <v>672</v>
      </c>
      <c r="S69" s="237">
        <v>13.385402939587596</v>
      </c>
      <c r="T69" s="180">
        <v>23.751634771956983</v>
      </c>
      <c r="U69" s="180">
        <v>71.73004112461787</v>
      </c>
      <c r="V69" s="181" t="s">
        <v>672</v>
      </c>
      <c r="W69" s="238">
        <v>13.140472460844785</v>
      </c>
      <c r="X69" s="184">
        <v>19.016701654702572</v>
      </c>
      <c r="Y69" s="184">
        <v>58.918795950382325</v>
      </c>
      <c r="Z69" s="185" t="s">
        <v>672</v>
      </c>
      <c r="AA69" s="237">
        <v>1.5813600369061209</v>
      </c>
      <c r="AB69" s="180">
        <v>5.9482103688639922</v>
      </c>
      <c r="AC69" s="180">
        <v>53.499056869293412</v>
      </c>
      <c r="AD69" s="181" t="s">
        <v>672</v>
      </c>
      <c r="AE69" s="239">
        <v>12.985033744416388</v>
      </c>
      <c r="AF69" s="188">
        <v>21.933979519001397</v>
      </c>
      <c r="AG69" s="188">
        <v>69.213909044356797</v>
      </c>
      <c r="AH69" s="189" t="s">
        <v>672</v>
      </c>
    </row>
    <row r="70" spans="1:34" ht="12" hidden="1" x14ac:dyDescent="0.15">
      <c r="A70" s="131" t="s">
        <v>691</v>
      </c>
      <c r="B70" s="190">
        <v>0</v>
      </c>
      <c r="C70" s="191">
        <v>1.0161600515518574E-4</v>
      </c>
      <c r="D70" s="192">
        <v>2.8174350310067922E-4</v>
      </c>
      <c r="E70" s="192">
        <v>2.8202707717769313E-4</v>
      </c>
      <c r="F70" s="240" t="s">
        <v>672</v>
      </c>
      <c r="G70" s="193">
        <v>9.049819952254758</v>
      </c>
      <c r="H70" s="194">
        <v>10.54911367100552</v>
      </c>
      <c r="I70" s="194">
        <v>15.087602915551919</v>
      </c>
      <c r="J70" s="241" t="s">
        <v>672</v>
      </c>
      <c r="K70" s="191">
        <v>0.57296802900663446</v>
      </c>
      <c r="L70" s="192">
        <v>1.183721674433138</v>
      </c>
      <c r="M70" s="192">
        <v>1.2352609635373895</v>
      </c>
      <c r="N70" s="240" t="s">
        <v>672</v>
      </c>
      <c r="O70" s="193">
        <v>0</v>
      </c>
      <c r="P70" s="194">
        <v>0</v>
      </c>
      <c r="Q70" s="194">
        <v>0</v>
      </c>
      <c r="R70" s="241" t="s">
        <v>672</v>
      </c>
      <c r="S70" s="191">
        <v>7.9345097457750837</v>
      </c>
      <c r="T70" s="192">
        <v>7.9345097120642691</v>
      </c>
      <c r="U70" s="192">
        <v>8.7394598322488974</v>
      </c>
      <c r="V70" s="240" t="s">
        <v>672</v>
      </c>
      <c r="W70" s="193">
        <v>9.0498192955453209</v>
      </c>
      <c r="X70" s="194">
        <v>9.0498194472685611</v>
      </c>
      <c r="Y70" s="194">
        <v>9.9679167982357395</v>
      </c>
      <c r="Z70" s="241" t="s">
        <v>672</v>
      </c>
      <c r="AA70" s="191">
        <v>2.7610682134912584E-4</v>
      </c>
      <c r="AB70" s="192">
        <v>3.7436877391750645E-4</v>
      </c>
      <c r="AC70" s="192">
        <v>10.364166902892048</v>
      </c>
      <c r="AD70" s="240" t="s">
        <v>672</v>
      </c>
      <c r="AE70" s="195">
        <v>9.04981965595214</v>
      </c>
      <c r="AF70" s="196">
        <v>16.587101016216657</v>
      </c>
      <c r="AG70" s="196">
        <v>18.209694427429692</v>
      </c>
      <c r="AH70" s="242" t="s">
        <v>672</v>
      </c>
    </row>
    <row r="71" spans="1:34" hidden="1" x14ac:dyDescent="0.15">
      <c r="A71" s="131" t="s">
        <v>669</v>
      </c>
      <c r="B71" s="190">
        <v>0</v>
      </c>
      <c r="C71" s="191">
        <v>0</v>
      </c>
      <c r="D71" s="192">
        <v>0</v>
      </c>
      <c r="E71" s="192">
        <v>6.5679029009271306E-8</v>
      </c>
      <c r="F71" s="240" t="s">
        <v>672</v>
      </c>
      <c r="G71" s="193">
        <v>0</v>
      </c>
      <c r="H71" s="194">
        <v>0</v>
      </c>
      <c r="I71" s="194">
        <v>16.289797341505874</v>
      </c>
      <c r="J71" s="241" t="s">
        <v>672</v>
      </c>
      <c r="K71" s="191">
        <v>0</v>
      </c>
      <c r="L71" s="192">
        <v>0</v>
      </c>
      <c r="M71" s="192">
        <v>20.417343729291325</v>
      </c>
      <c r="N71" s="240" t="s">
        <v>672</v>
      </c>
      <c r="O71" s="193">
        <v>0.94931518934881431</v>
      </c>
      <c r="P71" s="194">
        <v>5.9221111353528828</v>
      </c>
      <c r="Q71" s="194">
        <v>15.065737165770621</v>
      </c>
      <c r="R71" s="241" t="s">
        <v>672</v>
      </c>
      <c r="S71" s="191">
        <v>0</v>
      </c>
      <c r="T71" s="192">
        <v>0</v>
      </c>
      <c r="U71" s="192">
        <v>17.273720315305781</v>
      </c>
      <c r="V71" s="240" t="s">
        <v>672</v>
      </c>
      <c r="W71" s="193">
        <v>0.81478493018296561</v>
      </c>
      <c r="X71" s="194">
        <v>0.78992583502191105</v>
      </c>
      <c r="Y71" s="194">
        <v>15.940686200900206</v>
      </c>
      <c r="Z71" s="241" t="s">
        <v>672</v>
      </c>
      <c r="AA71" s="191">
        <v>0</v>
      </c>
      <c r="AB71" s="192">
        <v>0</v>
      </c>
      <c r="AC71" s="192">
        <v>20.364377135280598</v>
      </c>
      <c r="AD71" s="240" t="s">
        <v>672</v>
      </c>
      <c r="AE71" s="195">
        <v>0</v>
      </c>
      <c r="AF71" s="196">
        <v>0</v>
      </c>
      <c r="AG71" s="196">
        <v>15.113407425573833</v>
      </c>
      <c r="AH71" s="242" t="s">
        <v>672</v>
      </c>
    </row>
    <row r="72" spans="1:34" hidden="1" x14ac:dyDescent="0.15">
      <c r="A72" s="134" t="s">
        <v>354</v>
      </c>
      <c r="B72" s="197">
        <v>0</v>
      </c>
      <c r="C72" s="198">
        <v>0</v>
      </c>
      <c r="D72" s="199">
        <v>6.1640164292823686E-6</v>
      </c>
      <c r="E72" s="199">
        <v>7.2852572091849942E-6</v>
      </c>
      <c r="F72" s="243" t="s">
        <v>672</v>
      </c>
      <c r="G72" s="200">
        <v>3.9881810615624271</v>
      </c>
      <c r="H72" s="201">
        <v>11.113548052328635</v>
      </c>
      <c r="I72" s="201">
        <v>30.808512862948923</v>
      </c>
      <c r="J72" s="244" t="s">
        <v>672</v>
      </c>
      <c r="K72" s="198">
        <v>1.0557884848635233E-2</v>
      </c>
      <c r="L72" s="199">
        <v>1.344853280983477E-2</v>
      </c>
      <c r="M72" s="199">
        <v>1.8703425894338082E-2</v>
      </c>
      <c r="N72" s="243" t="s">
        <v>672</v>
      </c>
      <c r="O72" s="200">
        <v>16.871407971556987</v>
      </c>
      <c r="P72" s="201">
        <v>42.839813219027505</v>
      </c>
      <c r="Q72" s="201">
        <v>110.38849708008931</v>
      </c>
      <c r="R72" s="244" t="s">
        <v>672</v>
      </c>
      <c r="S72" s="198">
        <v>5.4508931938125125</v>
      </c>
      <c r="T72" s="199">
        <v>15.817125059892714</v>
      </c>
      <c r="U72" s="199">
        <v>45.716860977063192</v>
      </c>
      <c r="V72" s="243" t="s">
        <v>672</v>
      </c>
      <c r="W72" s="200">
        <v>3.2758682351164996</v>
      </c>
      <c r="X72" s="201">
        <v>9.1769563724120999</v>
      </c>
      <c r="Y72" s="201">
        <v>33.010192951246381</v>
      </c>
      <c r="Z72" s="244" t="s">
        <v>672</v>
      </c>
      <c r="AA72" s="198">
        <v>1.5810839300847719</v>
      </c>
      <c r="AB72" s="199">
        <v>5.9478360000900743</v>
      </c>
      <c r="AC72" s="199">
        <v>22.770512831120765</v>
      </c>
      <c r="AD72" s="243" t="s">
        <v>672</v>
      </c>
      <c r="AE72" s="202">
        <v>3.9352140884642473</v>
      </c>
      <c r="AF72" s="203">
        <v>5.3468785027847394</v>
      </c>
      <c r="AG72" s="203">
        <v>35.890807191353282</v>
      </c>
      <c r="AH72" s="245" t="s">
        <v>672</v>
      </c>
    </row>
    <row r="73" spans="1:34" ht="12" hidden="1" x14ac:dyDescent="0.15">
      <c r="A73" s="146" t="s">
        <v>702</v>
      </c>
      <c r="B73" s="177">
        <v>7.6108437726287379</v>
      </c>
      <c r="C73" s="178">
        <v>11.682673994022919</v>
      </c>
      <c r="D73" s="179">
        <v>14.617124040084947</v>
      </c>
      <c r="E73" s="179">
        <v>17.130500834660122</v>
      </c>
      <c r="F73" s="181">
        <v>2.6515987857316681E-2</v>
      </c>
      <c r="G73" s="182">
        <v>28.764897181082933</v>
      </c>
      <c r="H73" s="183">
        <v>43.741056154969748</v>
      </c>
      <c r="I73" s="183">
        <v>59.040807935126615</v>
      </c>
      <c r="J73" s="185">
        <v>8.4119796669561264E-2</v>
      </c>
      <c r="K73" s="178">
        <v>16.129017371147949</v>
      </c>
      <c r="L73" s="179">
        <v>35.228395964026454</v>
      </c>
      <c r="M73" s="179">
        <v>42.455221856020728</v>
      </c>
      <c r="N73" s="181">
        <v>6.2772709263454241E-2</v>
      </c>
      <c r="O73" s="182">
        <v>34.571464639539904</v>
      </c>
      <c r="P73" s="183">
        <v>53.239795143855432</v>
      </c>
      <c r="Q73" s="183">
        <v>115.39875611384878</v>
      </c>
      <c r="R73" s="185">
        <v>0.10746912882828319</v>
      </c>
      <c r="S73" s="178">
        <v>28.702050784501708</v>
      </c>
      <c r="T73" s="179">
        <v>44.282441525424282</v>
      </c>
      <c r="U73" s="179">
        <v>70.292475876884296</v>
      </c>
      <c r="V73" s="181">
        <v>9.0326467778611974E-2</v>
      </c>
      <c r="W73" s="182">
        <v>22.682335413904486</v>
      </c>
      <c r="X73" s="183">
        <v>33.089074425733422</v>
      </c>
      <c r="Y73" s="183">
        <v>69.642968322813644</v>
      </c>
      <c r="Z73" s="185">
        <v>9.1022408268727428E-2</v>
      </c>
      <c r="AA73" s="178">
        <v>20.238303437867227</v>
      </c>
      <c r="AB73" s="179">
        <v>23.602367715533443</v>
      </c>
      <c r="AC73" s="179">
        <v>50.901275500817796</v>
      </c>
      <c r="AD73" s="181">
        <v>7.6930292041941462E-2</v>
      </c>
      <c r="AE73" s="186">
        <v>29.007149817206596</v>
      </c>
      <c r="AF73" s="187">
        <v>40.834013363037371</v>
      </c>
      <c r="AG73" s="187">
        <v>62.904744700270186</v>
      </c>
      <c r="AH73" s="189">
        <v>8.6003080856299263E-2</v>
      </c>
    </row>
    <row r="74" spans="1:34" hidden="1" x14ac:dyDescent="0.15">
      <c r="A74" s="131" t="s">
        <v>671</v>
      </c>
      <c r="B74" s="190">
        <v>0</v>
      </c>
      <c r="C74" s="191">
        <v>2.8495315557750325</v>
      </c>
      <c r="D74" s="192">
        <v>5.7839799739736097</v>
      </c>
      <c r="E74" s="192">
        <v>8.2973560264628379</v>
      </c>
      <c r="F74" s="240" t="s">
        <v>672</v>
      </c>
      <c r="G74" s="193">
        <v>17.106704244976321</v>
      </c>
      <c r="H74" s="194">
        <v>21.582243847290865</v>
      </c>
      <c r="I74" s="194">
        <v>27.000000880120787</v>
      </c>
      <c r="J74" s="241" t="s">
        <v>672</v>
      </c>
      <c r="K74" s="191">
        <v>6.5661779206515085</v>
      </c>
      <c r="L74" s="192">
        <v>21.583045892730617</v>
      </c>
      <c r="M74" s="192">
        <v>27.001428373283826</v>
      </c>
      <c r="N74" s="240" t="s">
        <v>672</v>
      </c>
      <c r="O74" s="193">
        <v>17.106705083691999</v>
      </c>
      <c r="P74" s="194">
        <v>21.582243260858839</v>
      </c>
      <c r="Q74" s="194">
        <v>26.999998763578848</v>
      </c>
      <c r="R74" s="241" t="s">
        <v>672</v>
      </c>
      <c r="S74" s="191">
        <v>17.106705087144526</v>
      </c>
      <c r="T74" s="192">
        <v>21.582243239668912</v>
      </c>
      <c r="U74" s="192">
        <v>27.00000000053225</v>
      </c>
      <c r="V74" s="240" t="s">
        <v>672</v>
      </c>
      <c r="W74" s="193">
        <v>13.849192539182436</v>
      </c>
      <c r="X74" s="194">
        <v>14.388162179080062</v>
      </c>
      <c r="Y74" s="194">
        <v>27.000000006022105</v>
      </c>
      <c r="Z74" s="241" t="s">
        <v>672</v>
      </c>
      <c r="AA74" s="191">
        <v>11.405059267309099</v>
      </c>
      <c r="AB74" s="192">
        <v>14.036226421624894</v>
      </c>
      <c r="AC74" s="192">
        <v>27.000001119587182</v>
      </c>
      <c r="AD74" s="240" t="s">
        <v>672</v>
      </c>
      <c r="AE74" s="195">
        <v>17.106705207996299</v>
      </c>
      <c r="AF74" s="196">
        <v>21.582243483984769</v>
      </c>
      <c r="AG74" s="196">
        <v>27.000000373181653</v>
      </c>
      <c r="AH74" s="242" t="s">
        <v>672</v>
      </c>
    </row>
    <row r="75" spans="1:34" ht="12" hidden="1" x14ac:dyDescent="0.15">
      <c r="A75" s="131" t="s">
        <v>703</v>
      </c>
      <c r="B75" s="190">
        <v>7.6108437726287379</v>
      </c>
      <c r="C75" s="191">
        <v>8.8331424382478865</v>
      </c>
      <c r="D75" s="192">
        <v>8.8331428142795616</v>
      </c>
      <c r="E75" s="192">
        <v>8.8331428066631972</v>
      </c>
      <c r="F75" s="162">
        <v>4.815973652903649E-3</v>
      </c>
      <c r="G75" s="193">
        <v>11.658149772957826</v>
      </c>
      <c r="H75" s="194">
        <v>14.457111096759585</v>
      </c>
      <c r="I75" s="194">
        <v>16.927272497710703</v>
      </c>
      <c r="J75" s="165">
        <v>4.1298321437440944E-2</v>
      </c>
      <c r="K75" s="191">
        <v>9.5586222673306516</v>
      </c>
      <c r="L75" s="192">
        <v>13.452555083668194</v>
      </c>
      <c r="M75" s="192">
        <v>15.284742662339932</v>
      </c>
      <c r="N75" s="162">
        <v>2.8320188064415497E-2</v>
      </c>
      <c r="O75" s="193">
        <v>11.900420113352792</v>
      </c>
      <c r="P75" s="194">
        <v>14.457046687697112</v>
      </c>
      <c r="Q75" s="194">
        <v>16.927240697721821</v>
      </c>
      <c r="R75" s="165">
        <v>4.0976256440237391E-2</v>
      </c>
      <c r="S75" s="191">
        <v>11.59534569735718</v>
      </c>
      <c r="T75" s="192">
        <v>14.457046761966364</v>
      </c>
      <c r="U75" s="192">
        <v>16.927240464338706</v>
      </c>
      <c r="V75" s="162">
        <v>4.1383427236111991E-2</v>
      </c>
      <c r="W75" s="193">
        <v>8.83314287472205</v>
      </c>
      <c r="X75" s="194">
        <v>11.926218069815569</v>
      </c>
      <c r="Y75" s="194">
        <v>16.927240720879141</v>
      </c>
      <c r="Z75" s="165">
        <v>4.2360219170857194E-2</v>
      </c>
      <c r="AA75" s="191">
        <v>8.8331445773096178</v>
      </c>
      <c r="AB75" s="192">
        <v>8.8332750657745738</v>
      </c>
      <c r="AC75" s="192">
        <v>16.927292466031666</v>
      </c>
      <c r="AD75" s="162">
        <v>3.9354460960723037E-2</v>
      </c>
      <c r="AE75" s="195">
        <v>11.900420104684351</v>
      </c>
      <c r="AF75" s="196">
        <v>14.45707450267745</v>
      </c>
      <c r="AG75" s="196">
        <v>16.927254938017096</v>
      </c>
      <c r="AH75" s="168">
        <v>4.0976284925295037E-2</v>
      </c>
    </row>
    <row r="76" spans="1:34" hidden="1" x14ac:dyDescent="0.15">
      <c r="A76" s="131" t="s">
        <v>669</v>
      </c>
      <c r="B76" s="190">
        <v>0</v>
      </c>
      <c r="C76" s="191">
        <v>0</v>
      </c>
      <c r="D76" s="192">
        <v>1.2518317757695794E-6</v>
      </c>
      <c r="E76" s="192">
        <v>2.0015340881288238E-6</v>
      </c>
      <c r="F76" s="240" t="s">
        <v>672</v>
      </c>
      <c r="G76" s="193">
        <v>4.3163148785406758E-5</v>
      </c>
      <c r="H76" s="194">
        <v>5.7822787786060523</v>
      </c>
      <c r="I76" s="194">
        <v>10.346926220331039</v>
      </c>
      <c r="J76" s="241" t="s">
        <v>672</v>
      </c>
      <c r="K76" s="191">
        <v>3.0223118239568344E-3</v>
      </c>
      <c r="L76" s="192">
        <v>0.14763882598323816</v>
      </c>
      <c r="M76" s="192">
        <v>0.16075775539416548</v>
      </c>
      <c r="N76" s="240" t="s">
        <v>672</v>
      </c>
      <c r="O76" s="193">
        <v>5.5431748489129804</v>
      </c>
      <c r="P76" s="194">
        <v>7.9908261257808864</v>
      </c>
      <c r="Q76" s="194">
        <v>17.671349261094768</v>
      </c>
      <c r="R76" s="241" t="s">
        <v>672</v>
      </c>
      <c r="S76" s="191">
        <v>0</v>
      </c>
      <c r="T76" s="192">
        <v>5.6390091981539001</v>
      </c>
      <c r="U76" s="192">
        <v>10.824229108264438</v>
      </c>
      <c r="V76" s="240" t="s">
        <v>672</v>
      </c>
      <c r="W76" s="193">
        <v>0</v>
      </c>
      <c r="X76" s="194">
        <v>4.9667332685307226</v>
      </c>
      <c r="Y76" s="194">
        <v>11.334334022166161</v>
      </c>
      <c r="Z76" s="241" t="s">
        <v>672</v>
      </c>
      <c r="AA76" s="191">
        <v>9.2900124222144772E-5</v>
      </c>
      <c r="AB76" s="192">
        <v>3.0208242799672266E-4</v>
      </c>
      <c r="AC76" s="192">
        <v>2.9264162948756917E-4</v>
      </c>
      <c r="AD76" s="240" t="s">
        <v>672</v>
      </c>
      <c r="AE76" s="195">
        <v>2.4504525945538546E-5</v>
      </c>
      <c r="AF76" s="196">
        <v>4.7946476145899428</v>
      </c>
      <c r="AG76" s="196">
        <v>10.17142883296874</v>
      </c>
      <c r="AH76" s="242" t="s">
        <v>672</v>
      </c>
    </row>
    <row r="77" spans="1:34" hidden="1" x14ac:dyDescent="0.15">
      <c r="A77" s="131" t="s">
        <v>354</v>
      </c>
      <c r="B77" s="190">
        <v>0</v>
      </c>
      <c r="C77" s="191">
        <v>0</v>
      </c>
      <c r="D77" s="192">
        <v>0</v>
      </c>
      <c r="E77" s="192">
        <v>0</v>
      </c>
      <c r="F77" s="240" t="s">
        <v>672</v>
      </c>
      <c r="G77" s="193">
        <v>0</v>
      </c>
      <c r="H77" s="194">
        <v>1.9125801461152728E-5</v>
      </c>
      <c r="I77" s="194">
        <v>3.7241095198279793E-6</v>
      </c>
      <c r="J77" s="241" t="s">
        <v>672</v>
      </c>
      <c r="K77" s="191">
        <v>1.19487134182914E-3</v>
      </c>
      <c r="L77" s="192">
        <v>3.1039191797616852E-2</v>
      </c>
      <c r="M77" s="192">
        <v>5.7487118130370553E-3</v>
      </c>
      <c r="N77" s="240" t="s">
        <v>672</v>
      </c>
      <c r="O77" s="193">
        <v>2.1164593582129871E-2</v>
      </c>
      <c r="P77" s="194">
        <v>2.3533491903730989E-2</v>
      </c>
      <c r="Q77" s="194">
        <v>1.409053544113298E-2</v>
      </c>
      <c r="R77" s="241" t="s">
        <v>672</v>
      </c>
      <c r="S77" s="191">
        <v>0</v>
      </c>
      <c r="T77" s="192">
        <v>0</v>
      </c>
      <c r="U77" s="192">
        <v>0</v>
      </c>
      <c r="V77" s="240" t="s">
        <v>672</v>
      </c>
      <c r="W77" s="193">
        <v>0</v>
      </c>
      <c r="X77" s="194">
        <v>0</v>
      </c>
      <c r="Y77" s="194">
        <v>0</v>
      </c>
      <c r="Z77" s="241" t="s">
        <v>672</v>
      </c>
      <c r="AA77" s="191">
        <v>6.6931242881836439E-6</v>
      </c>
      <c r="AB77" s="192">
        <v>5.0084637586387844E-5</v>
      </c>
      <c r="AC77" s="192">
        <v>1.6569555886576729E-5</v>
      </c>
      <c r="AD77" s="240" t="s">
        <v>672</v>
      </c>
      <c r="AE77" s="195">
        <v>0</v>
      </c>
      <c r="AF77" s="196">
        <v>1.01451533704708E-7</v>
      </c>
      <c r="AG77" s="196">
        <v>1.5866717816800506E-6</v>
      </c>
      <c r="AH77" s="242" t="s">
        <v>672</v>
      </c>
    </row>
    <row r="78" spans="1:34" hidden="1" x14ac:dyDescent="0.15">
      <c r="A78" s="134" t="s">
        <v>684</v>
      </c>
      <c r="B78" s="197">
        <v>0</v>
      </c>
      <c r="C78" s="198">
        <v>0</v>
      </c>
      <c r="D78" s="199">
        <v>0</v>
      </c>
      <c r="E78" s="199">
        <v>0</v>
      </c>
      <c r="F78" s="243" t="s">
        <v>672</v>
      </c>
      <c r="G78" s="200">
        <v>0</v>
      </c>
      <c r="H78" s="201">
        <v>1.9194033065117906</v>
      </c>
      <c r="I78" s="201">
        <v>4.7666046128545743</v>
      </c>
      <c r="J78" s="244" t="s">
        <v>672</v>
      </c>
      <c r="K78" s="198">
        <v>0</v>
      </c>
      <c r="L78" s="199">
        <v>1.4116969846786717E-2</v>
      </c>
      <c r="M78" s="199">
        <v>2.5443531897711316E-3</v>
      </c>
      <c r="N78" s="243" t="s">
        <v>672</v>
      </c>
      <c r="O78" s="200">
        <v>0</v>
      </c>
      <c r="P78" s="201">
        <v>9.1861455776148642</v>
      </c>
      <c r="Q78" s="201">
        <v>53.786076856012201</v>
      </c>
      <c r="R78" s="244" t="s">
        <v>672</v>
      </c>
      <c r="S78" s="198">
        <v>0</v>
      </c>
      <c r="T78" s="199">
        <v>2.6041423256351024</v>
      </c>
      <c r="U78" s="199">
        <v>15.541006303748905</v>
      </c>
      <c r="V78" s="243" t="s">
        <v>672</v>
      </c>
      <c r="W78" s="200">
        <v>0</v>
      </c>
      <c r="X78" s="201">
        <v>1.8079609083070651</v>
      </c>
      <c r="Y78" s="201">
        <v>14.381393573746237</v>
      </c>
      <c r="Z78" s="244" t="s">
        <v>672</v>
      </c>
      <c r="AA78" s="198">
        <v>0</v>
      </c>
      <c r="AB78" s="199">
        <v>0.73251406106839201</v>
      </c>
      <c r="AC78" s="199">
        <v>6.9736727040135724</v>
      </c>
      <c r="AD78" s="243" t="s">
        <v>672</v>
      </c>
      <c r="AE78" s="202">
        <v>0</v>
      </c>
      <c r="AF78" s="203">
        <v>4.766033367952062E-5</v>
      </c>
      <c r="AG78" s="203">
        <v>8.8060589694309108</v>
      </c>
      <c r="AH78" s="245" t="s">
        <v>672</v>
      </c>
    </row>
    <row r="79" spans="1:34" hidden="1" x14ac:dyDescent="0.15">
      <c r="A79" s="146" t="s">
        <v>704</v>
      </c>
      <c r="B79" s="177">
        <v>0</v>
      </c>
      <c r="C79" s="178">
        <v>0</v>
      </c>
      <c r="D79" s="179">
        <v>0</v>
      </c>
      <c r="E79" s="179">
        <v>0</v>
      </c>
      <c r="F79" s="232" t="s">
        <v>672</v>
      </c>
      <c r="G79" s="182">
        <v>0</v>
      </c>
      <c r="H79" s="183">
        <v>2.1811118988813369E-6</v>
      </c>
      <c r="I79" s="183">
        <v>0.67597097101828363</v>
      </c>
      <c r="J79" s="233" t="s">
        <v>672</v>
      </c>
      <c r="K79" s="178">
        <v>0</v>
      </c>
      <c r="L79" s="179">
        <v>7.1805601836712248E-3</v>
      </c>
      <c r="M79" s="179">
        <v>0.85511120207363989</v>
      </c>
      <c r="N79" s="232" t="s">
        <v>672</v>
      </c>
      <c r="O79" s="182">
        <v>0</v>
      </c>
      <c r="P79" s="183">
        <v>2.693411957860263E-9</v>
      </c>
      <c r="Q79" s="183">
        <v>0.11558502641398717</v>
      </c>
      <c r="R79" s="233" t="s">
        <v>672</v>
      </c>
      <c r="S79" s="178">
        <v>0</v>
      </c>
      <c r="T79" s="179">
        <v>0</v>
      </c>
      <c r="U79" s="179">
        <v>0.66121197904681217</v>
      </c>
      <c r="V79" s="232" t="s">
        <v>672</v>
      </c>
      <c r="W79" s="182">
        <v>0</v>
      </c>
      <c r="X79" s="183">
        <v>0</v>
      </c>
      <c r="Y79" s="183">
        <v>5.641424220972673E-7</v>
      </c>
      <c r="Z79" s="233" t="s">
        <v>672</v>
      </c>
      <c r="AA79" s="178">
        <v>0</v>
      </c>
      <c r="AB79" s="179">
        <v>5.6292243981122387E-6</v>
      </c>
      <c r="AC79" s="179">
        <v>0.685155062481549</v>
      </c>
      <c r="AD79" s="232" t="s">
        <v>672</v>
      </c>
      <c r="AE79" s="186">
        <v>0</v>
      </c>
      <c r="AF79" s="187">
        <v>2.2925964306517273E-6</v>
      </c>
      <c r="AG79" s="187">
        <v>0.7043739711514625</v>
      </c>
      <c r="AH79" s="234" t="s">
        <v>672</v>
      </c>
    </row>
    <row r="80" spans="1:34" hidden="1" x14ac:dyDescent="0.15">
      <c r="A80" s="131" t="s">
        <v>354</v>
      </c>
      <c r="B80" s="190">
        <v>0</v>
      </c>
      <c r="C80" s="191">
        <v>0</v>
      </c>
      <c r="D80" s="192">
        <v>0</v>
      </c>
      <c r="E80" s="192">
        <v>0</v>
      </c>
      <c r="F80" s="240" t="s">
        <v>672</v>
      </c>
      <c r="G80" s="193">
        <v>0</v>
      </c>
      <c r="H80" s="194">
        <v>3.5227063819843182E-7</v>
      </c>
      <c r="I80" s="194">
        <v>8.4452631273716286E-2</v>
      </c>
      <c r="J80" s="241" t="s">
        <v>672</v>
      </c>
      <c r="K80" s="191">
        <v>0</v>
      </c>
      <c r="L80" s="192">
        <v>1.1597298239588063E-3</v>
      </c>
      <c r="M80" s="192">
        <v>0.10683356851546834</v>
      </c>
      <c r="N80" s="240" t="s">
        <v>672</v>
      </c>
      <c r="O80" s="193">
        <v>0</v>
      </c>
      <c r="P80" s="194">
        <v>4.3501204583467434E-10</v>
      </c>
      <c r="Q80" s="194">
        <v>1.4440649132903676E-2</v>
      </c>
      <c r="R80" s="241" t="s">
        <v>672</v>
      </c>
      <c r="S80" s="191">
        <v>0</v>
      </c>
      <c r="T80" s="192">
        <v>0</v>
      </c>
      <c r="U80" s="192">
        <v>8.2608712288466557E-2</v>
      </c>
      <c r="V80" s="240" t="s">
        <v>672</v>
      </c>
      <c r="W80" s="193">
        <v>0</v>
      </c>
      <c r="X80" s="194">
        <v>0</v>
      </c>
      <c r="Y80" s="194">
        <v>7.0481298756767283E-8</v>
      </c>
      <c r="Z80" s="241" t="s">
        <v>672</v>
      </c>
      <c r="AA80" s="191">
        <v>0</v>
      </c>
      <c r="AB80" s="192">
        <v>9.0917411082954491E-7</v>
      </c>
      <c r="AC80" s="192">
        <v>8.5600048430939615E-2</v>
      </c>
      <c r="AD80" s="240" t="s">
        <v>672</v>
      </c>
      <c r="AE80" s="195">
        <v>0</v>
      </c>
      <c r="AF80" s="196">
        <v>3.7027646686598059E-7</v>
      </c>
      <c r="AG80" s="196">
        <v>8.8001168415335465E-2</v>
      </c>
      <c r="AH80" s="242" t="s">
        <v>672</v>
      </c>
    </row>
    <row r="81" spans="1:34" hidden="1" x14ac:dyDescent="0.15">
      <c r="A81" s="134" t="s">
        <v>353</v>
      </c>
      <c r="B81" s="197">
        <v>0</v>
      </c>
      <c r="C81" s="198">
        <v>0</v>
      </c>
      <c r="D81" s="199">
        <v>0</v>
      </c>
      <c r="E81" s="199">
        <v>0</v>
      </c>
      <c r="F81" s="243" t="s">
        <v>672</v>
      </c>
      <c r="G81" s="200">
        <v>0</v>
      </c>
      <c r="H81" s="201">
        <v>1.828841260682905E-6</v>
      </c>
      <c r="I81" s="201">
        <v>0.59151833974456736</v>
      </c>
      <c r="J81" s="244" t="s">
        <v>672</v>
      </c>
      <c r="K81" s="198">
        <v>0</v>
      </c>
      <c r="L81" s="199">
        <v>6.0208303597124183E-3</v>
      </c>
      <c r="M81" s="199">
        <v>0.74827763355817156</v>
      </c>
      <c r="N81" s="243" t="s">
        <v>672</v>
      </c>
      <c r="O81" s="200">
        <v>0</v>
      </c>
      <c r="P81" s="201">
        <v>2.2583999120255885E-9</v>
      </c>
      <c r="Q81" s="201">
        <v>0.1011443772810835</v>
      </c>
      <c r="R81" s="244" t="s">
        <v>672</v>
      </c>
      <c r="S81" s="198">
        <v>0</v>
      </c>
      <c r="T81" s="199">
        <v>0</v>
      </c>
      <c r="U81" s="199">
        <v>0.57860326675834561</v>
      </c>
      <c r="V81" s="243" t="s">
        <v>672</v>
      </c>
      <c r="W81" s="200">
        <v>0</v>
      </c>
      <c r="X81" s="201">
        <v>0</v>
      </c>
      <c r="Y81" s="201">
        <v>4.9366112334049998E-7</v>
      </c>
      <c r="Z81" s="244" t="s">
        <v>672</v>
      </c>
      <c r="AA81" s="198">
        <v>0</v>
      </c>
      <c r="AB81" s="199">
        <v>4.7200502872826935E-6</v>
      </c>
      <c r="AC81" s="199">
        <v>0.5995550140506094</v>
      </c>
      <c r="AD81" s="243" t="s">
        <v>672</v>
      </c>
      <c r="AE81" s="202">
        <v>0</v>
      </c>
      <c r="AF81" s="203">
        <v>1.9223199637857466E-6</v>
      </c>
      <c r="AG81" s="203">
        <v>0.61637280273612705</v>
      </c>
      <c r="AH81" s="245" t="s">
        <v>672</v>
      </c>
    </row>
    <row r="82" spans="1:34" ht="12" x14ac:dyDescent="0.15">
      <c r="A82" s="146" t="s">
        <v>705</v>
      </c>
      <c r="B82" s="177">
        <v>67.906166666666664</v>
      </c>
      <c r="C82" s="178">
        <v>66.983910880744716</v>
      </c>
      <c r="D82" s="179">
        <v>62.197744139823818</v>
      </c>
      <c r="E82" s="179">
        <v>62.756779920130207</v>
      </c>
      <c r="F82" s="181">
        <v>-2.5406455207156453E-3</v>
      </c>
      <c r="G82" s="182">
        <v>70.26919171642669</v>
      </c>
      <c r="H82" s="183">
        <v>70.17619746824883</v>
      </c>
      <c r="I82" s="183">
        <v>77.175396070240083</v>
      </c>
      <c r="J82" s="185">
        <v>3.8165072051785653E-3</v>
      </c>
      <c r="K82" s="178">
        <v>68.930338723323757</v>
      </c>
      <c r="L82" s="179">
        <v>68.730706967601122</v>
      </c>
      <c r="M82" s="179">
        <v>69.98686168758131</v>
      </c>
      <c r="N82" s="181">
        <v>6.5548438626694683E-4</v>
      </c>
      <c r="O82" s="182">
        <v>76.60858007926133</v>
      </c>
      <c r="P82" s="183">
        <v>84.898469347641552</v>
      </c>
      <c r="Q82" s="183">
        <v>102.21524757151673</v>
      </c>
      <c r="R82" s="185">
        <v>1.2956987682882115E-2</v>
      </c>
      <c r="S82" s="178">
        <v>73.918910116806018</v>
      </c>
      <c r="T82" s="179">
        <v>74.451917420730027</v>
      </c>
      <c r="U82" s="179">
        <v>78.667264959631495</v>
      </c>
      <c r="V82" s="181">
        <v>4.4366823074140083E-3</v>
      </c>
      <c r="W82" s="182">
        <v>70.626019579180408</v>
      </c>
      <c r="X82" s="183">
        <v>70.958147685888548</v>
      </c>
      <c r="Y82" s="183">
        <v>74.46266277345164</v>
      </c>
      <c r="Z82" s="185">
        <v>2.6584840935399701E-3</v>
      </c>
      <c r="AA82" s="178">
        <v>69.388410167194309</v>
      </c>
      <c r="AB82" s="179">
        <v>69.338429170430416</v>
      </c>
      <c r="AC82" s="179">
        <v>76.169396923821395</v>
      </c>
      <c r="AD82" s="181">
        <v>3.3917257595776906E-3</v>
      </c>
      <c r="AE82" s="186">
        <v>62.492184907658611</v>
      </c>
      <c r="AF82" s="187">
        <v>65.409791067437894</v>
      </c>
      <c r="AG82" s="187">
        <v>78.449104924175018</v>
      </c>
      <c r="AH82" s="189">
        <v>4.3492071929425169E-3</v>
      </c>
    </row>
    <row r="83" spans="1:34" x14ac:dyDescent="0.15">
      <c r="A83" s="131" t="s">
        <v>698</v>
      </c>
      <c r="B83" s="190">
        <v>3.1399999999999997E-2</v>
      </c>
      <c r="C83" s="191">
        <v>3.7773014257229636E-6</v>
      </c>
      <c r="D83" s="192">
        <v>3.4846251473050711E-6</v>
      </c>
      <c r="E83" s="192">
        <v>2.8782479719248176E-6</v>
      </c>
      <c r="F83" s="162">
        <v>-0.25911919918529225</v>
      </c>
      <c r="G83" s="193">
        <v>1.1414466131118592E-5</v>
      </c>
      <c r="H83" s="194">
        <v>1.6523619893915246E-5</v>
      </c>
      <c r="I83" s="194">
        <v>4.8058572465691504E-6</v>
      </c>
      <c r="J83" s="165">
        <v>-0.246765225411537</v>
      </c>
      <c r="K83" s="191">
        <v>9.8059814676537835E-2</v>
      </c>
      <c r="L83" s="192">
        <v>9.141762451438043E-2</v>
      </c>
      <c r="M83" s="192">
        <v>9.8140286057888992E-2</v>
      </c>
      <c r="N83" s="162">
        <v>3.7445010133092538E-2</v>
      </c>
      <c r="O83" s="193">
        <v>0</v>
      </c>
      <c r="P83" s="194">
        <v>0</v>
      </c>
      <c r="Q83" s="194">
        <v>0</v>
      </c>
      <c r="R83" s="165">
        <v>-1</v>
      </c>
      <c r="S83" s="191">
        <v>0</v>
      </c>
      <c r="T83" s="192">
        <v>0</v>
      </c>
      <c r="U83" s="192">
        <v>0</v>
      </c>
      <c r="V83" s="162">
        <v>-1</v>
      </c>
      <c r="W83" s="193">
        <v>0</v>
      </c>
      <c r="X83" s="194">
        <v>0</v>
      </c>
      <c r="Y83" s="194">
        <v>0</v>
      </c>
      <c r="Z83" s="165">
        <v>-1</v>
      </c>
      <c r="AA83" s="191">
        <v>6.0997474888561999E-5</v>
      </c>
      <c r="AB83" s="192">
        <v>5.3663956214484876E-5</v>
      </c>
      <c r="AC83" s="192">
        <v>2.9704078762647404E-5</v>
      </c>
      <c r="AD83" s="162">
        <v>-0.20118180268517327</v>
      </c>
      <c r="AE83" s="195">
        <v>7.3443175226108149E-6</v>
      </c>
      <c r="AF83" s="196">
        <v>1.5474757268368426E-5</v>
      </c>
      <c r="AG83" s="196">
        <v>3.5828976446227339E-6</v>
      </c>
      <c r="AH83" s="168">
        <v>-0.25386694165334267</v>
      </c>
    </row>
    <row r="84" spans="1:34" ht="12" x14ac:dyDescent="0.15">
      <c r="A84" s="131" t="s">
        <v>691</v>
      </c>
      <c r="B84" s="190">
        <v>0.66359999999999975</v>
      </c>
      <c r="C84" s="191">
        <v>3.9163972342442945</v>
      </c>
      <c r="D84" s="192">
        <v>7.0676819404315676</v>
      </c>
      <c r="E84" s="192">
        <v>9.8715564871683021</v>
      </c>
      <c r="F84" s="162">
        <v>9.0992867983876957E-2</v>
      </c>
      <c r="G84" s="193">
        <v>1.5488975951084643</v>
      </c>
      <c r="H84" s="194">
        <v>1.8372015464238558</v>
      </c>
      <c r="I84" s="194">
        <v>2.0985681773753559</v>
      </c>
      <c r="J84" s="165">
        <v>3.7838007143332852E-2</v>
      </c>
      <c r="K84" s="191">
        <v>2.9990891326920517</v>
      </c>
      <c r="L84" s="192">
        <v>6.4103025747643505</v>
      </c>
      <c r="M84" s="192">
        <v>3.139043018625594</v>
      </c>
      <c r="N84" s="162">
        <v>5.1406539439913024E-2</v>
      </c>
      <c r="O84" s="193">
        <v>1.5488758451645623</v>
      </c>
      <c r="P84" s="194">
        <v>2.3171657680447466</v>
      </c>
      <c r="Q84" s="194">
        <v>2.3801677729221637</v>
      </c>
      <c r="R84" s="165">
        <v>4.2062066575855095E-2</v>
      </c>
      <c r="S84" s="191">
        <v>1.5488754862041019</v>
      </c>
      <c r="T84" s="192">
        <v>1.8351555830177411</v>
      </c>
      <c r="U84" s="192">
        <v>2.0986384539472729</v>
      </c>
      <c r="V84" s="162">
        <v>3.783912825358926E-2</v>
      </c>
      <c r="W84" s="193">
        <v>1.5488760409186031</v>
      </c>
      <c r="X84" s="194">
        <v>1.8510996395253216</v>
      </c>
      <c r="Y84" s="194">
        <v>2.1189415514815915</v>
      </c>
      <c r="Z84" s="165">
        <v>3.8161508268505617E-2</v>
      </c>
      <c r="AA84" s="191">
        <v>1.5489148645544226</v>
      </c>
      <c r="AB84" s="192">
        <v>2.3293646962741668</v>
      </c>
      <c r="AC84" s="192">
        <v>3.0142647983110931</v>
      </c>
      <c r="AD84" s="162">
        <v>5.0031723481170909E-2</v>
      </c>
      <c r="AE84" s="195">
        <v>1.5488935677212152</v>
      </c>
      <c r="AF84" s="196">
        <v>1.9337458199853852</v>
      </c>
      <c r="AG84" s="196">
        <v>2.0981950644421454</v>
      </c>
      <c r="AH84" s="168">
        <v>3.7832054327283204E-2</v>
      </c>
    </row>
    <row r="85" spans="1:34" ht="12" x14ac:dyDescent="0.15">
      <c r="A85" s="131" t="s">
        <v>706</v>
      </c>
      <c r="B85" s="190">
        <v>0</v>
      </c>
      <c r="C85" s="191">
        <v>0</v>
      </c>
      <c r="D85" s="192">
        <v>0</v>
      </c>
      <c r="E85" s="192">
        <v>0</v>
      </c>
      <c r="F85" s="162" t="s">
        <v>672</v>
      </c>
      <c r="G85" s="193">
        <v>0</v>
      </c>
      <c r="H85" s="194">
        <v>0.49229712043406948</v>
      </c>
      <c r="I85" s="194">
        <v>1.0114490997900019</v>
      </c>
      <c r="J85" s="165" t="s">
        <v>672</v>
      </c>
      <c r="K85" s="191">
        <v>0</v>
      </c>
      <c r="L85" s="192">
        <v>2.7134697734265103E-2</v>
      </c>
      <c r="M85" s="192">
        <v>3.0484834893311166</v>
      </c>
      <c r="N85" s="162" t="s">
        <v>672</v>
      </c>
      <c r="O85" s="193">
        <v>0</v>
      </c>
      <c r="P85" s="194">
        <v>1.2271296766334755E-2</v>
      </c>
      <c r="Q85" s="194">
        <v>0.7298317846822554</v>
      </c>
      <c r="R85" s="165" t="s">
        <v>672</v>
      </c>
      <c r="S85" s="191">
        <v>0</v>
      </c>
      <c r="T85" s="192">
        <v>0.49428219192835998</v>
      </c>
      <c r="U85" s="192">
        <v>1.0113614019089632</v>
      </c>
      <c r="V85" s="162" t="s">
        <v>672</v>
      </c>
      <c r="W85" s="193">
        <v>0</v>
      </c>
      <c r="X85" s="194">
        <v>0.4783378434177496</v>
      </c>
      <c r="Y85" s="194">
        <v>0.99105814058466879</v>
      </c>
      <c r="Z85" s="165" t="s">
        <v>672</v>
      </c>
      <c r="AA85" s="191">
        <v>0</v>
      </c>
      <c r="AB85" s="192">
        <v>2.8187468162825611E-4</v>
      </c>
      <c r="AC85" s="192">
        <v>9.6148670817601187E-2</v>
      </c>
      <c r="AD85" s="162" t="s">
        <v>672</v>
      </c>
      <c r="AE85" s="195">
        <v>0</v>
      </c>
      <c r="AF85" s="196">
        <v>0.39575158152134088</v>
      </c>
      <c r="AG85" s="196">
        <v>1.0118170447542645</v>
      </c>
      <c r="AH85" s="168" t="s">
        <v>672</v>
      </c>
    </row>
    <row r="86" spans="1:34" x14ac:dyDescent="0.15">
      <c r="A86" s="131" t="s">
        <v>707</v>
      </c>
      <c r="B86" s="190">
        <v>25.280555555555555</v>
      </c>
      <c r="C86" s="191">
        <v>18.826001565945941</v>
      </c>
      <c r="D86" s="192">
        <v>7.7786902660440509</v>
      </c>
      <c r="E86" s="192">
        <v>0</v>
      </c>
      <c r="F86" s="162">
        <v>-1</v>
      </c>
      <c r="G86" s="193">
        <v>18.826001659462211</v>
      </c>
      <c r="H86" s="194">
        <v>7.7786902778941442</v>
      </c>
      <c r="I86" s="194">
        <v>0</v>
      </c>
      <c r="J86" s="165">
        <v>-1</v>
      </c>
      <c r="K86" s="191">
        <v>18.826040962499487</v>
      </c>
      <c r="L86" s="192">
        <v>7.7787034630989957</v>
      </c>
      <c r="M86" s="192">
        <v>0</v>
      </c>
      <c r="N86" s="162">
        <v>-1</v>
      </c>
      <c r="O86" s="193">
        <v>18.826001751601822</v>
      </c>
      <c r="P86" s="194">
        <v>7.7786902656032453</v>
      </c>
      <c r="Q86" s="194">
        <v>0</v>
      </c>
      <c r="R86" s="165">
        <v>-1</v>
      </c>
      <c r="S86" s="191">
        <v>18.826001712842952</v>
      </c>
      <c r="T86" s="192">
        <v>7.7786902655555039</v>
      </c>
      <c r="U86" s="192">
        <v>0</v>
      </c>
      <c r="V86" s="162">
        <v>-1</v>
      </c>
      <c r="W86" s="193">
        <v>18.826001603147333</v>
      </c>
      <c r="X86" s="194">
        <v>7.7786902656111572</v>
      </c>
      <c r="Y86" s="194">
        <v>0</v>
      </c>
      <c r="Z86" s="165">
        <v>-1</v>
      </c>
      <c r="AA86" s="191">
        <v>18.826001659565463</v>
      </c>
      <c r="AB86" s="192">
        <v>7.778690282642339</v>
      </c>
      <c r="AC86" s="192">
        <v>0</v>
      </c>
      <c r="AD86" s="162">
        <v>-1</v>
      </c>
      <c r="AE86" s="195">
        <v>9.0839160803512673</v>
      </c>
      <c r="AF86" s="196">
        <v>0</v>
      </c>
      <c r="AG86" s="196">
        <v>0</v>
      </c>
      <c r="AH86" s="168">
        <v>-1</v>
      </c>
    </row>
    <row r="87" spans="1:34" x14ac:dyDescent="0.15">
      <c r="A87" s="131" t="s">
        <v>669</v>
      </c>
      <c r="B87" s="190">
        <v>0.31277777777777777</v>
      </c>
      <c r="C87" s="191">
        <v>0.57558624257245505</v>
      </c>
      <c r="D87" s="192">
        <v>0.57558775921997019</v>
      </c>
      <c r="E87" s="192">
        <v>0.57558910145904985</v>
      </c>
      <c r="F87" s="162">
        <v>1.9869041433840051E-2</v>
      </c>
      <c r="G87" s="193">
        <v>0.87366718205763538</v>
      </c>
      <c r="H87" s="194">
        <v>1.2235900009736833</v>
      </c>
      <c r="I87" s="194">
        <v>0.55991479797488009</v>
      </c>
      <c r="J87" s="165">
        <v>1.896112362300939E-2</v>
      </c>
      <c r="K87" s="191">
        <v>0.85741367865090912</v>
      </c>
      <c r="L87" s="192">
        <v>0.85898664473763642</v>
      </c>
      <c r="M87" s="192">
        <v>0.45594529306243148</v>
      </c>
      <c r="N87" s="162">
        <v>1.2231616854391447E-2</v>
      </c>
      <c r="O87" s="193">
        <v>0.91214732512427188</v>
      </c>
      <c r="P87" s="194">
        <v>0.76161140244798908</v>
      </c>
      <c r="Q87" s="194">
        <v>0.47686407075474313</v>
      </c>
      <c r="R87" s="165">
        <v>1.3697430256624177E-2</v>
      </c>
      <c r="S87" s="191">
        <v>0.87366641468191109</v>
      </c>
      <c r="T87" s="192">
        <v>1.0556187224116123</v>
      </c>
      <c r="U87" s="192">
        <v>0.44625513307695264</v>
      </c>
      <c r="V87" s="162">
        <v>1.1530416134658106E-2</v>
      </c>
      <c r="W87" s="193">
        <v>0.87366634712665836</v>
      </c>
      <c r="X87" s="194">
        <v>1.1805319717865179</v>
      </c>
      <c r="Y87" s="194">
        <v>0.55195245536228066</v>
      </c>
      <c r="Z87" s="165">
        <v>1.8490448831493422E-2</v>
      </c>
      <c r="AA87" s="191">
        <v>0.87366786654408168</v>
      </c>
      <c r="AB87" s="192">
        <v>1.261344086348376</v>
      </c>
      <c r="AC87" s="192">
        <v>0.45178904726595137</v>
      </c>
      <c r="AD87" s="162">
        <v>1.193264552069695E-2</v>
      </c>
      <c r="AE87" s="195">
        <v>0.87366689430708866</v>
      </c>
      <c r="AF87" s="196">
        <v>1.2834426280294569</v>
      </c>
      <c r="AG87" s="196">
        <v>0.53447046001248977</v>
      </c>
      <c r="AH87" s="168">
        <v>1.7433559772008111E-2</v>
      </c>
    </row>
    <row r="88" spans="1:34" x14ac:dyDescent="0.15">
      <c r="A88" s="131" t="s">
        <v>708</v>
      </c>
      <c r="B88" s="190">
        <v>0</v>
      </c>
      <c r="C88" s="191">
        <v>0</v>
      </c>
      <c r="D88" s="192">
        <v>0</v>
      </c>
      <c r="E88" s="192">
        <v>0</v>
      </c>
      <c r="F88" s="162" t="s">
        <v>672</v>
      </c>
      <c r="G88" s="193">
        <v>0</v>
      </c>
      <c r="H88" s="194">
        <v>2.4525326010685055E-5</v>
      </c>
      <c r="I88" s="194">
        <v>0.69677782955540557</v>
      </c>
      <c r="J88" s="165" t="s">
        <v>672</v>
      </c>
      <c r="K88" s="191">
        <v>0</v>
      </c>
      <c r="L88" s="192">
        <v>2.5857295977096332E-3</v>
      </c>
      <c r="M88" s="192">
        <v>0.40543867683583346</v>
      </c>
      <c r="N88" s="162" t="s">
        <v>672</v>
      </c>
      <c r="O88" s="193">
        <v>0</v>
      </c>
      <c r="P88" s="194">
        <v>0.17354672573416774</v>
      </c>
      <c r="Q88" s="194">
        <v>0.53196397520645955</v>
      </c>
      <c r="R88" s="165" t="s">
        <v>672</v>
      </c>
      <c r="S88" s="191">
        <v>0</v>
      </c>
      <c r="T88" s="192">
        <v>3.9548823761992737E-2</v>
      </c>
      <c r="U88" s="192">
        <v>0.68739193090436013</v>
      </c>
      <c r="V88" s="162" t="s">
        <v>672</v>
      </c>
      <c r="W88" s="193">
        <v>0</v>
      </c>
      <c r="X88" s="194">
        <v>1.9194629029313928E-2</v>
      </c>
      <c r="Y88" s="194">
        <v>0.69552866227449617</v>
      </c>
      <c r="Z88" s="165" t="s">
        <v>672</v>
      </c>
      <c r="AA88" s="191">
        <v>0</v>
      </c>
      <c r="AB88" s="192">
        <v>0.29446543962008648</v>
      </c>
      <c r="AC88" s="192">
        <v>1.2818330435073948</v>
      </c>
      <c r="AD88" s="162" t="s">
        <v>672</v>
      </c>
      <c r="AE88" s="195">
        <v>0</v>
      </c>
      <c r="AF88" s="196">
        <v>9.2650705989525591E-5</v>
      </c>
      <c r="AG88" s="196">
        <v>0.78827424338093632</v>
      </c>
      <c r="AH88" s="168" t="s">
        <v>672</v>
      </c>
    </row>
    <row r="89" spans="1:34" x14ac:dyDescent="0.15">
      <c r="A89" s="131" t="s">
        <v>686</v>
      </c>
      <c r="B89" s="190">
        <v>2.355</v>
      </c>
      <c r="C89" s="191">
        <v>2.5158929381514628</v>
      </c>
      <c r="D89" s="192">
        <v>2.5539046922692075</v>
      </c>
      <c r="E89" s="192">
        <v>2.6001007117714767</v>
      </c>
      <c r="F89" s="162">
        <v>3.1989590774204046E-3</v>
      </c>
      <c r="G89" s="193">
        <v>2.5250116351405096</v>
      </c>
      <c r="H89" s="194">
        <v>2.0750577627707374</v>
      </c>
      <c r="I89" s="194">
        <v>1.2223250479677106</v>
      </c>
      <c r="J89" s="165">
        <v>-2.0932199546095931E-2</v>
      </c>
      <c r="K89" s="191">
        <v>2.4288411350782049</v>
      </c>
      <c r="L89" s="192">
        <v>2.4519116058159538</v>
      </c>
      <c r="M89" s="192">
        <v>1.1053965126844256</v>
      </c>
      <c r="N89" s="162">
        <v>-2.4102731256311571E-2</v>
      </c>
      <c r="O89" s="193">
        <v>2.5785525882023976</v>
      </c>
      <c r="P89" s="194">
        <v>2.2246366738813679</v>
      </c>
      <c r="Q89" s="194">
        <v>1.2223218083463452</v>
      </c>
      <c r="R89" s="165">
        <v>-2.0932283252594108E-2</v>
      </c>
      <c r="S89" s="191">
        <v>2.5248175436545801</v>
      </c>
      <c r="T89" s="192">
        <v>2.1011883912303189</v>
      </c>
      <c r="U89" s="192">
        <v>1.2225016214911149</v>
      </c>
      <c r="V89" s="162">
        <v>-2.0927637500822605E-2</v>
      </c>
      <c r="W89" s="193">
        <v>2.5156692314703082</v>
      </c>
      <c r="X89" s="194">
        <v>2.079632561129912</v>
      </c>
      <c r="Y89" s="194">
        <v>1.2223217834036684</v>
      </c>
      <c r="Z89" s="165">
        <v>-2.0932283897072801E-2</v>
      </c>
      <c r="AA89" s="191">
        <v>2.5158937226622418</v>
      </c>
      <c r="AB89" s="192">
        <v>1.7398600869905478</v>
      </c>
      <c r="AC89" s="192">
        <v>1.2484787660258483</v>
      </c>
      <c r="AD89" s="162">
        <v>-2.0263331003766205E-2</v>
      </c>
      <c r="AE89" s="195">
        <v>2.5257969910957256</v>
      </c>
      <c r="AF89" s="196">
        <v>2.1310543592399709</v>
      </c>
      <c r="AG89" s="196">
        <v>1.2223232989360266</v>
      </c>
      <c r="AH89" s="168">
        <v>-2.0932244738176897E-2</v>
      </c>
    </row>
    <row r="90" spans="1:34" x14ac:dyDescent="0.15">
      <c r="A90" s="131" t="s">
        <v>709</v>
      </c>
      <c r="B90" s="190">
        <v>0</v>
      </c>
      <c r="C90" s="191">
        <v>0</v>
      </c>
      <c r="D90" s="192">
        <v>0</v>
      </c>
      <c r="E90" s="192">
        <v>0</v>
      </c>
      <c r="F90" s="162" t="s">
        <v>672</v>
      </c>
      <c r="G90" s="193">
        <v>0</v>
      </c>
      <c r="H90" s="194">
        <v>0.46196667700755861</v>
      </c>
      <c r="I90" s="194">
        <v>1.452796100280471</v>
      </c>
      <c r="J90" s="165" t="s">
        <v>672</v>
      </c>
      <c r="K90" s="191">
        <v>0</v>
      </c>
      <c r="L90" s="192">
        <v>3.8633025590970598E-3</v>
      </c>
      <c r="M90" s="192">
        <v>1.3964320920812059</v>
      </c>
      <c r="N90" s="162" t="s">
        <v>672</v>
      </c>
      <c r="O90" s="193">
        <v>0</v>
      </c>
      <c r="P90" s="194">
        <v>0.38900848556742768</v>
      </c>
      <c r="Q90" s="194">
        <v>1.4535849112538701</v>
      </c>
      <c r="R90" s="165" t="s">
        <v>672</v>
      </c>
      <c r="S90" s="191">
        <v>0</v>
      </c>
      <c r="T90" s="192">
        <v>0.4383938523812721</v>
      </c>
      <c r="U90" s="192">
        <v>1.4525155775351855</v>
      </c>
      <c r="V90" s="162" t="s">
        <v>672</v>
      </c>
      <c r="W90" s="193">
        <v>0</v>
      </c>
      <c r="X90" s="194">
        <v>0.45056126971159588</v>
      </c>
      <c r="Y90" s="194">
        <v>1.4532804454826385</v>
      </c>
      <c r="Z90" s="165" t="s">
        <v>672</v>
      </c>
      <c r="AA90" s="191">
        <v>0</v>
      </c>
      <c r="AB90" s="192">
        <v>0.74693839653357408</v>
      </c>
      <c r="AC90" s="192">
        <v>1.4528348981173116</v>
      </c>
      <c r="AD90" s="162" t="s">
        <v>672</v>
      </c>
      <c r="AE90" s="195">
        <v>0</v>
      </c>
      <c r="AF90" s="196">
        <v>0.50246094092195315</v>
      </c>
      <c r="AG90" s="196">
        <v>1.4525874498804556</v>
      </c>
      <c r="AH90" s="168" t="s">
        <v>672</v>
      </c>
    </row>
    <row r="91" spans="1:34" x14ac:dyDescent="0.15">
      <c r="A91" s="131" t="s">
        <v>692</v>
      </c>
      <c r="B91" s="190">
        <v>0.37222222222222223</v>
      </c>
      <c r="C91" s="191">
        <v>0.12340746190699248</v>
      </c>
      <c r="D91" s="192">
        <v>0.12340745448198449</v>
      </c>
      <c r="E91" s="192">
        <v>0.12340745542287485</v>
      </c>
      <c r="F91" s="162">
        <v>-3.4986210181653266E-2</v>
      </c>
      <c r="G91" s="193">
        <v>0.12730152727616748</v>
      </c>
      <c r="H91" s="194">
        <v>0.28993203268781154</v>
      </c>
      <c r="I91" s="194">
        <v>0.29762862929144884</v>
      </c>
      <c r="J91" s="165">
        <v>-7.1883793915283878E-3</v>
      </c>
      <c r="K91" s="191">
        <v>9.4632518457983011E-2</v>
      </c>
      <c r="L91" s="192">
        <v>0.14688214558290141</v>
      </c>
      <c r="M91" s="192">
        <v>0.19109798883768192</v>
      </c>
      <c r="N91" s="162">
        <v>-2.1276985926194536E-2</v>
      </c>
      <c r="O91" s="193">
        <v>0.10864353810112026</v>
      </c>
      <c r="P91" s="194">
        <v>0.13233474754231639</v>
      </c>
      <c r="Q91" s="194">
        <v>0.91293612623180864</v>
      </c>
      <c r="R91" s="165">
        <v>2.9363988731790691E-2</v>
      </c>
      <c r="S91" s="191">
        <v>0.15532975569026891</v>
      </c>
      <c r="T91" s="192">
        <v>0.67977899426929378</v>
      </c>
      <c r="U91" s="192">
        <v>0.69507203293445963</v>
      </c>
      <c r="V91" s="162">
        <v>2.0350248858112652E-2</v>
      </c>
      <c r="W91" s="193">
        <v>0.13607419285060735</v>
      </c>
      <c r="X91" s="194">
        <v>0.53038906645505779</v>
      </c>
      <c r="Y91" s="194">
        <v>0.54452113930103396</v>
      </c>
      <c r="Z91" s="165">
        <v>1.2347078242121334E-2</v>
      </c>
      <c r="AA91" s="191">
        <v>0.12759097272545386</v>
      </c>
      <c r="AB91" s="192">
        <v>0.12777166650886262</v>
      </c>
      <c r="AC91" s="192">
        <v>0.13152706506525244</v>
      </c>
      <c r="AD91" s="162">
        <v>-3.300056490444836E-2</v>
      </c>
      <c r="AE91" s="195">
        <v>0.11623098541619259</v>
      </c>
      <c r="AF91" s="196">
        <v>0.21978247279764163</v>
      </c>
      <c r="AG91" s="196">
        <v>0.22517098056097568</v>
      </c>
      <c r="AH91" s="168">
        <v>-1.6083166083623035E-2</v>
      </c>
    </row>
    <row r="92" spans="1:34" x14ac:dyDescent="0.15">
      <c r="A92" s="131" t="s">
        <v>693</v>
      </c>
      <c r="B92" s="214">
        <v>36.567</v>
      </c>
      <c r="C92" s="219">
        <v>36.704594268471105</v>
      </c>
      <c r="D92" s="220">
        <v>36.732038689782783</v>
      </c>
      <c r="E92" s="220">
        <v>37.586999775106747</v>
      </c>
      <c r="F92" s="162">
        <v>8.8787927378719544E-4</v>
      </c>
      <c r="G92" s="221">
        <v>37.400547415040378</v>
      </c>
      <c r="H92" s="222">
        <v>37.587000761642557</v>
      </c>
      <c r="I92" s="222">
        <v>37.587000757121146</v>
      </c>
      <c r="J92" s="165">
        <v>2.9891264230341719E-4</v>
      </c>
      <c r="K92" s="219">
        <v>37.146244736133724</v>
      </c>
      <c r="L92" s="220">
        <v>37.588124713924756</v>
      </c>
      <c r="M92" s="220">
        <v>37.588102130439403</v>
      </c>
      <c r="N92" s="162">
        <v>2.9985813640487358E-4</v>
      </c>
      <c r="O92" s="221">
        <v>37.416463537942413</v>
      </c>
      <c r="P92" s="222">
        <v>38.075954685250778</v>
      </c>
      <c r="Q92" s="222">
        <v>39.019728610850756</v>
      </c>
      <c r="R92" s="165">
        <v>1.5067475938410624E-3</v>
      </c>
      <c r="S92" s="219">
        <v>37.400403870680563</v>
      </c>
      <c r="T92" s="220">
        <v>37.844927713865339</v>
      </c>
      <c r="U92" s="220">
        <v>37.844927738126039</v>
      </c>
      <c r="V92" s="162">
        <v>5.1960599843181576E-4</v>
      </c>
      <c r="W92" s="221">
        <v>37.400404825544783</v>
      </c>
      <c r="X92" s="222">
        <v>37.586999621783299</v>
      </c>
      <c r="Y92" s="222">
        <v>37.586999503641358</v>
      </c>
      <c r="Z92" s="165">
        <v>2.9891156621553172E-4</v>
      </c>
      <c r="AA92" s="219">
        <v>37.400698167556122</v>
      </c>
      <c r="AB92" s="220">
        <v>37.587001145163349</v>
      </c>
      <c r="AC92" s="220">
        <v>37.587001187258295</v>
      </c>
      <c r="AD92" s="162">
        <v>2.9891301156781402E-4</v>
      </c>
      <c r="AE92" s="223">
        <v>37.416464054214984</v>
      </c>
      <c r="AF92" s="224">
        <v>37.587000347532161</v>
      </c>
      <c r="AG92" s="224">
        <v>37.587000323505144</v>
      </c>
      <c r="AH92" s="168">
        <v>3.0349886974101459E-4</v>
      </c>
    </row>
    <row r="93" spans="1:34" x14ac:dyDescent="0.15">
      <c r="A93" s="131" t="s">
        <v>674</v>
      </c>
      <c r="B93" s="190">
        <v>2.1777777777777776</v>
      </c>
      <c r="C93" s="219">
        <v>4.2495976625879797</v>
      </c>
      <c r="D93" s="220">
        <v>7.2484360623679125</v>
      </c>
      <c r="E93" s="220">
        <v>11.806941057381088</v>
      </c>
      <c r="F93" s="162">
        <v>5.604254236298134E-2</v>
      </c>
      <c r="G93" s="221">
        <v>7.4976501367201411</v>
      </c>
      <c r="H93" s="222">
        <v>15.422229421146039</v>
      </c>
      <c r="I93" s="222">
        <v>25.849248448710725</v>
      </c>
      <c r="J93" s="165">
        <v>8.307659978764792E-2</v>
      </c>
      <c r="K93" s="219">
        <v>6.0075343021285699</v>
      </c>
      <c r="L93" s="220">
        <v>12.306714439375483</v>
      </c>
      <c r="M93" s="220">
        <v>20.000833312290702</v>
      </c>
      <c r="N93" s="162">
        <v>7.4151724327231605E-2</v>
      </c>
      <c r="O93" s="221">
        <v>13.497862624756563</v>
      </c>
      <c r="P93" s="222">
        <v>29.307435837934609</v>
      </c>
      <c r="Q93" s="222">
        <v>45.679113328502297</v>
      </c>
      <c r="R93" s="165">
        <v>0.10315265926451955</v>
      </c>
      <c r="S93" s="219">
        <v>11.539381550706198</v>
      </c>
      <c r="T93" s="220">
        <v>21.049907882062325</v>
      </c>
      <c r="U93" s="220">
        <v>31.25327096244963</v>
      </c>
      <c r="V93" s="162">
        <v>8.9729659702904696E-2</v>
      </c>
      <c r="W93" s="221">
        <v>8.4076243657324028</v>
      </c>
      <c r="X93" s="222">
        <v>17.832507140158359</v>
      </c>
      <c r="Y93" s="222">
        <v>27.157719835609374</v>
      </c>
      <c r="Z93" s="165">
        <v>8.4803204465742521E-2</v>
      </c>
      <c r="AA93" s="219">
        <v>7.4976529371778904</v>
      </c>
      <c r="AB93" s="220">
        <v>15.284029299158048</v>
      </c>
      <c r="AC93" s="220">
        <v>24.896339232835814</v>
      </c>
      <c r="AD93" s="162">
        <v>8.1765098585347529E-2</v>
      </c>
      <c r="AE93" s="223">
        <v>9.3167194765992054</v>
      </c>
      <c r="AF93" s="224">
        <v>17.503803461536901</v>
      </c>
      <c r="AG93" s="224">
        <v>27.113966432490297</v>
      </c>
      <c r="AH93" s="168">
        <v>8.4746782711721869E-2</v>
      </c>
    </row>
    <row r="94" spans="1:34" x14ac:dyDescent="0.15">
      <c r="A94" s="131" t="s">
        <v>675</v>
      </c>
      <c r="B94" s="190">
        <v>0.14583333333333334</v>
      </c>
      <c r="C94" s="219">
        <v>7.2420146543764566E-2</v>
      </c>
      <c r="D94" s="220">
        <v>0.11796478652359577</v>
      </c>
      <c r="E94" s="220">
        <v>0.19215220495334404</v>
      </c>
      <c r="F94" s="162">
        <v>8.9372288880678052E-3</v>
      </c>
      <c r="G94" s="221">
        <v>0.49232584185885819</v>
      </c>
      <c r="H94" s="222">
        <v>1.9917322117109251</v>
      </c>
      <c r="I94" s="222">
        <v>4.3000000905905544</v>
      </c>
      <c r="J94" s="165">
        <v>0.1153388443466552</v>
      </c>
      <c r="K94" s="219">
        <v>0.45401300393488286</v>
      </c>
      <c r="L94" s="220">
        <v>1.043781167405091</v>
      </c>
      <c r="M94" s="220">
        <v>1.7001325930647706</v>
      </c>
      <c r="N94" s="162">
        <v>8.2448617321269735E-2</v>
      </c>
      <c r="O94" s="221">
        <v>0.63364692202027784</v>
      </c>
      <c r="P94" s="222">
        <v>2.5634552065953806</v>
      </c>
      <c r="Q94" s="222">
        <v>4.3000000085179213</v>
      </c>
      <c r="R94" s="165">
        <v>0.11533884365994251</v>
      </c>
      <c r="S94" s="219">
        <v>7.2419273739162085E-2</v>
      </c>
      <c r="T94" s="220">
        <v>0.11796336583756648</v>
      </c>
      <c r="U94" s="220">
        <v>0.19214989276733724</v>
      </c>
      <c r="V94" s="162">
        <v>8.9368372522731221E-3</v>
      </c>
      <c r="W94" s="221">
        <v>7.3614875370854482E-2</v>
      </c>
      <c r="X94" s="222">
        <v>0.11991087465914151</v>
      </c>
      <c r="Y94" s="222">
        <v>0.19532217913833524</v>
      </c>
      <c r="Z94" s="165">
        <v>9.4699126873518669E-3</v>
      </c>
      <c r="AA94" s="219">
        <v>0.49232621418847794</v>
      </c>
      <c r="AB94" s="220">
        <v>1.9917331067188717</v>
      </c>
      <c r="AC94" s="220">
        <v>4.3000000702370285</v>
      </c>
      <c r="AD94" s="162">
        <v>0.11533884417635454</v>
      </c>
      <c r="AE94" s="223">
        <v>0.63364696319972436</v>
      </c>
      <c r="AF94" s="224">
        <v>2.5634552810862101</v>
      </c>
      <c r="AG94" s="224">
        <v>4.3000000205900504</v>
      </c>
      <c r="AH94" s="168">
        <v>0.11533884376095149</v>
      </c>
    </row>
    <row r="95" spans="1:34" x14ac:dyDescent="0.15">
      <c r="A95" s="131" t="s">
        <v>676</v>
      </c>
      <c r="B95" s="190">
        <v>0</v>
      </c>
      <c r="C95" s="191">
        <v>0</v>
      </c>
      <c r="D95" s="192">
        <v>3.5919940318833035E-6</v>
      </c>
      <c r="E95" s="192">
        <v>3.6377835409518382E-6</v>
      </c>
      <c r="F95" s="162" t="s">
        <v>672</v>
      </c>
      <c r="G95" s="193">
        <v>0</v>
      </c>
      <c r="H95" s="194">
        <v>1.3450987063971388E-4</v>
      </c>
      <c r="I95" s="194">
        <v>0.1160119922490251</v>
      </c>
      <c r="J95" s="165" t="s">
        <v>672</v>
      </c>
      <c r="K95" s="191">
        <v>0</v>
      </c>
      <c r="L95" s="192">
        <v>0</v>
      </c>
      <c r="M95" s="192">
        <v>0</v>
      </c>
      <c r="N95" s="162" t="s">
        <v>672</v>
      </c>
      <c r="O95" s="193">
        <v>0</v>
      </c>
      <c r="P95" s="194">
        <v>3.7661302877294467E-6</v>
      </c>
      <c r="Q95" s="194">
        <v>4.378000153311854</v>
      </c>
      <c r="R95" s="165" t="s">
        <v>672</v>
      </c>
      <c r="S95" s="191">
        <v>0</v>
      </c>
      <c r="T95" s="192">
        <v>0</v>
      </c>
      <c r="U95" s="192">
        <v>0</v>
      </c>
      <c r="V95" s="162" t="s">
        <v>672</v>
      </c>
      <c r="W95" s="193">
        <v>0</v>
      </c>
      <c r="X95" s="194">
        <v>2.9881122526412786E-7</v>
      </c>
      <c r="Y95" s="194">
        <v>3.012634307172822E-7</v>
      </c>
      <c r="Z95" s="165" t="s">
        <v>672</v>
      </c>
      <c r="AA95" s="191">
        <v>0</v>
      </c>
      <c r="AB95" s="192">
        <v>2.2922912729032784E-4</v>
      </c>
      <c r="AC95" s="192">
        <v>2.7554305334202313E-3</v>
      </c>
      <c r="AD95" s="162" t="s">
        <v>672</v>
      </c>
      <c r="AE95" s="195">
        <v>0</v>
      </c>
      <c r="AF95" s="196">
        <v>0.1336246401917813</v>
      </c>
      <c r="AG95" s="196">
        <v>0.133621158596751</v>
      </c>
      <c r="AH95" s="168" t="s">
        <v>672</v>
      </c>
    </row>
    <row r="96" spans="1:34" x14ac:dyDescent="0.15">
      <c r="A96" s="134" t="s">
        <v>684</v>
      </c>
      <c r="B96" s="197">
        <v>0</v>
      </c>
      <c r="C96" s="198">
        <v>9.583019304675359E-6</v>
      </c>
      <c r="D96" s="199">
        <v>2.5412083562816172E-5</v>
      </c>
      <c r="E96" s="199">
        <v>2.6610835814008219E-5</v>
      </c>
      <c r="F96" s="216" t="s">
        <v>672</v>
      </c>
      <c r="G96" s="200">
        <v>0.97777730929620699</v>
      </c>
      <c r="H96" s="201">
        <v>1.0163240967409102</v>
      </c>
      <c r="I96" s="201">
        <v>1.9836702934761132</v>
      </c>
      <c r="J96" s="217" t="s">
        <v>672</v>
      </c>
      <c r="K96" s="198">
        <v>1.8469439071401948E-2</v>
      </c>
      <c r="L96" s="199">
        <v>2.0298858490512592E-2</v>
      </c>
      <c r="M96" s="199">
        <v>0.85781629427026962</v>
      </c>
      <c r="N96" s="216" t="s">
        <v>672</v>
      </c>
      <c r="O96" s="200">
        <v>1.0863859463478982</v>
      </c>
      <c r="P96" s="201">
        <v>1.1623544861429032</v>
      </c>
      <c r="Q96" s="201">
        <v>1.1307350209362388</v>
      </c>
      <c r="R96" s="217" t="s">
        <v>672</v>
      </c>
      <c r="S96" s="198">
        <v>0.9780145086062797</v>
      </c>
      <c r="T96" s="199">
        <v>1.016461634408705</v>
      </c>
      <c r="U96" s="199">
        <v>1.7631802144901978</v>
      </c>
      <c r="V96" s="216" t="s">
        <v>672</v>
      </c>
      <c r="W96" s="200">
        <v>0.84408809701885135</v>
      </c>
      <c r="X96" s="201">
        <v>1.0502925038099009</v>
      </c>
      <c r="Y96" s="201">
        <v>1.9450167759087635</v>
      </c>
      <c r="Z96" s="217" t="s">
        <v>672</v>
      </c>
      <c r="AA96" s="198">
        <v>0.10560276474526337</v>
      </c>
      <c r="AB96" s="199">
        <v>0.19666619670707416</v>
      </c>
      <c r="AC96" s="199">
        <v>1.7063950097676164</v>
      </c>
      <c r="AD96" s="216" t="s">
        <v>672</v>
      </c>
      <c r="AE96" s="202">
        <v>0.97684255043568802</v>
      </c>
      <c r="AF96" s="203">
        <v>1.1555614091318309</v>
      </c>
      <c r="AG96" s="203">
        <v>1.9816748641278412</v>
      </c>
      <c r="AH96" s="218" t="s">
        <v>672</v>
      </c>
    </row>
    <row r="97" spans="1:34" x14ac:dyDescent="0.15">
      <c r="A97" s="235" t="s">
        <v>710</v>
      </c>
      <c r="B97" s="236">
        <v>3.3172440258632139</v>
      </c>
      <c r="C97" s="237">
        <v>3.4282650607279188</v>
      </c>
      <c r="D97" s="180">
        <v>3.4763671481468639</v>
      </c>
      <c r="E97" s="180">
        <v>3.6664649023863944</v>
      </c>
      <c r="F97" s="181">
        <v>3.2340450660790498E-3</v>
      </c>
      <c r="G97" s="238">
        <v>3.4872027436945179</v>
      </c>
      <c r="H97" s="184">
        <v>3.7111088952565026</v>
      </c>
      <c r="I97" s="184">
        <v>5.602332343102927</v>
      </c>
      <c r="J97" s="185">
        <v>1.699005190214975E-2</v>
      </c>
      <c r="K97" s="237">
        <v>3.9626721990687317</v>
      </c>
      <c r="L97" s="180">
        <v>4.4009777332668083</v>
      </c>
      <c r="M97" s="180">
        <v>4.5439287764653571</v>
      </c>
      <c r="N97" s="181">
        <v>1.0143890982697412E-2</v>
      </c>
      <c r="O97" s="238">
        <v>3.5359883052072543</v>
      </c>
      <c r="P97" s="184">
        <v>4.1959023493569854</v>
      </c>
      <c r="Q97" s="184">
        <v>4.5706374118749959</v>
      </c>
      <c r="R97" s="185">
        <v>1.0334880502342436E-2</v>
      </c>
      <c r="S97" s="237">
        <v>3.5288738360074658</v>
      </c>
      <c r="T97" s="180">
        <v>4.0698730052839984</v>
      </c>
      <c r="U97" s="180">
        <v>6.4616478035366605</v>
      </c>
      <c r="V97" s="181">
        <v>2.1682323056257058E-2</v>
      </c>
      <c r="W97" s="238">
        <v>3.4762452631307217</v>
      </c>
      <c r="X97" s="184">
        <v>3.9443753717238925</v>
      </c>
      <c r="Y97" s="184">
        <v>5.7445488822102959</v>
      </c>
      <c r="Z97" s="185">
        <v>1.7812781185828186E-2</v>
      </c>
      <c r="AA97" s="237">
        <v>3.4918029590898803</v>
      </c>
      <c r="AB97" s="180">
        <v>3.7142953178619593</v>
      </c>
      <c r="AC97" s="180">
        <v>5.1415634265011096</v>
      </c>
      <c r="AD97" s="181">
        <v>1.4178333541064125E-2</v>
      </c>
      <c r="AE97" s="239">
        <v>3.4865015357720845</v>
      </c>
      <c r="AF97" s="188">
        <v>3.7584273739426615</v>
      </c>
      <c r="AG97" s="188">
        <v>6.0623947071859954</v>
      </c>
      <c r="AH97" s="189">
        <v>1.9484669760701845E-2</v>
      </c>
    </row>
    <row r="98" spans="1:34" ht="12" x14ac:dyDescent="0.15">
      <c r="A98" s="131" t="s">
        <v>711</v>
      </c>
      <c r="B98" s="190">
        <v>3.3120809771098436</v>
      </c>
      <c r="C98" s="191">
        <v>3.4265630149130306</v>
      </c>
      <c r="D98" s="192">
        <v>3.4604977393545648</v>
      </c>
      <c r="E98" s="192">
        <v>3.5121368162688977</v>
      </c>
      <c r="F98" s="162">
        <v>1.8936599386976116E-3</v>
      </c>
      <c r="G98" s="193">
        <v>3.4674486849243507</v>
      </c>
      <c r="H98" s="194">
        <v>3.5724946157402453</v>
      </c>
      <c r="I98" s="194">
        <v>3.7063350092040888</v>
      </c>
      <c r="J98" s="165">
        <v>3.604208514742524E-3</v>
      </c>
      <c r="K98" s="191">
        <v>3.4518416402508487</v>
      </c>
      <c r="L98" s="192">
        <v>3.5274611531889435</v>
      </c>
      <c r="M98" s="192">
        <v>3.6204742896106854</v>
      </c>
      <c r="N98" s="162">
        <v>2.8456901104223498E-3</v>
      </c>
      <c r="O98" s="193">
        <v>3.5025166651491899</v>
      </c>
      <c r="P98" s="194">
        <v>3.6267201253098214</v>
      </c>
      <c r="Q98" s="194">
        <v>3.7810856941074675</v>
      </c>
      <c r="R98" s="165">
        <v>4.2508566377965629E-3</v>
      </c>
      <c r="S98" s="191">
        <v>3.4913724181918555</v>
      </c>
      <c r="T98" s="192">
        <v>3.5656279699436517</v>
      </c>
      <c r="U98" s="192">
        <v>3.6801884070408133</v>
      </c>
      <c r="V98" s="162">
        <v>3.3750382957182801E-3</v>
      </c>
      <c r="W98" s="193">
        <v>3.4627814155751766</v>
      </c>
      <c r="X98" s="194">
        <v>3.5500818982051223</v>
      </c>
      <c r="Y98" s="194">
        <v>3.6548675885660664</v>
      </c>
      <c r="Z98" s="165">
        <v>3.1515991484729611E-3</v>
      </c>
      <c r="AA98" s="191">
        <v>3.4674488811267139</v>
      </c>
      <c r="AB98" s="192">
        <v>3.5709542336694282</v>
      </c>
      <c r="AC98" s="192">
        <v>3.7038256358875863</v>
      </c>
      <c r="AD98" s="162">
        <v>3.5822822981166347E-3</v>
      </c>
      <c r="AE98" s="195">
        <v>3.4771158869806502</v>
      </c>
      <c r="AF98" s="196">
        <v>3.5855147271986065</v>
      </c>
      <c r="AG98" s="196">
        <v>3.7139692425641648</v>
      </c>
      <c r="AH98" s="168">
        <v>3.6191763047421777E-3</v>
      </c>
    </row>
    <row r="99" spans="1:34" x14ac:dyDescent="0.15">
      <c r="A99" s="134" t="s">
        <v>696</v>
      </c>
      <c r="B99" s="197">
        <v>5.1630487533704198E-3</v>
      </c>
      <c r="C99" s="198">
        <v>1.7020458148880597E-3</v>
      </c>
      <c r="D99" s="199">
        <v>1.5869408792298968E-2</v>
      </c>
      <c r="E99" s="199">
        <v>0.15432808611749682</v>
      </c>
      <c r="F99" s="216">
        <v>0.11582997538351147</v>
      </c>
      <c r="G99" s="200">
        <v>1.9754058770167268E-2</v>
      </c>
      <c r="H99" s="201">
        <v>0.13861427951625716</v>
      </c>
      <c r="I99" s="201">
        <v>1.8959973338988385</v>
      </c>
      <c r="J99" s="217">
        <v>0.19303883097941421</v>
      </c>
      <c r="K99" s="198">
        <v>0.51083055881788286</v>
      </c>
      <c r="L99" s="199">
        <v>0.87351658007786526</v>
      </c>
      <c r="M99" s="199">
        <v>0.92345448685467124</v>
      </c>
      <c r="N99" s="216">
        <v>0.16567221022978762</v>
      </c>
      <c r="O99" s="200">
        <v>3.3471640058064238E-2</v>
      </c>
      <c r="P99" s="201">
        <v>0.56918222404716434</v>
      </c>
      <c r="Q99" s="201">
        <v>0.78955171776752886</v>
      </c>
      <c r="R99" s="217">
        <v>0.15979643198856386</v>
      </c>
      <c r="S99" s="198">
        <v>3.7501417815610394E-2</v>
      </c>
      <c r="T99" s="199">
        <v>0.50424503534034637</v>
      </c>
      <c r="U99" s="199">
        <v>2.7814593964958476</v>
      </c>
      <c r="V99" s="216">
        <v>0.20787905446752997</v>
      </c>
      <c r="W99" s="200">
        <v>1.3463847555545066E-2</v>
      </c>
      <c r="X99" s="201">
        <v>0.39429347351877042</v>
      </c>
      <c r="Y99" s="201">
        <v>2.0896812936442295</v>
      </c>
      <c r="Z99" s="217">
        <v>0.19678802549601349</v>
      </c>
      <c r="AA99" s="198">
        <v>2.435407796316617E-2</v>
      </c>
      <c r="AB99" s="199">
        <v>0.14334108419253094</v>
      </c>
      <c r="AC99" s="199">
        <v>1.4377377906135234</v>
      </c>
      <c r="AD99" s="216">
        <v>0.18243836889571385</v>
      </c>
      <c r="AE99" s="202">
        <v>9.3856487914344318E-3</v>
      </c>
      <c r="AF99" s="203">
        <v>0.17291264674405499</v>
      </c>
      <c r="AG99" s="203">
        <v>2.3484254646218305</v>
      </c>
      <c r="AH99" s="218">
        <v>0.18376641970799934</v>
      </c>
    </row>
    <row r="100" spans="1:34" x14ac:dyDescent="0.15">
      <c r="A100" s="146" t="s">
        <v>712</v>
      </c>
      <c r="B100" s="177">
        <v>18.925799999999999</v>
      </c>
      <c r="C100" s="178">
        <v>21.517572906109049</v>
      </c>
      <c r="D100" s="179">
        <v>23.822188798084063</v>
      </c>
      <c r="E100" s="179">
        <v>27.879749112236965</v>
      </c>
      <c r="F100" s="181">
        <v>1.2574352776752118E-2</v>
      </c>
      <c r="G100" s="182">
        <v>24.5849477356509</v>
      </c>
      <c r="H100" s="183">
        <v>32.640256259687284</v>
      </c>
      <c r="I100" s="183">
        <v>44.328199063555047</v>
      </c>
      <c r="J100" s="185">
        <v>2.7835028313904164E-2</v>
      </c>
      <c r="K100" s="178">
        <v>23.426091104439966</v>
      </c>
      <c r="L100" s="179">
        <v>30.089042487637723</v>
      </c>
      <c r="M100" s="179">
        <v>37.336444290970348</v>
      </c>
      <c r="N100" s="181">
        <v>2.2159496948761293E-2</v>
      </c>
      <c r="O100" s="182">
        <v>31.034590910528546</v>
      </c>
      <c r="P100" s="183">
        <v>47.651604054149693</v>
      </c>
      <c r="Q100" s="183">
        <v>65.809215049470993</v>
      </c>
      <c r="R100" s="185">
        <v>4.102009235677273E-2</v>
      </c>
      <c r="S100" s="178">
        <v>28.55373307464917</v>
      </c>
      <c r="T100" s="179">
        <v>37.460070130090294</v>
      </c>
      <c r="U100" s="179">
        <v>47.246397514406553</v>
      </c>
      <c r="V100" s="181">
        <v>2.9951075095685065E-2</v>
      </c>
      <c r="W100" s="182">
        <v>25.245938837594828</v>
      </c>
      <c r="X100" s="183">
        <v>34.118429667299097</v>
      </c>
      <c r="Y100" s="183">
        <v>43.0087157092129</v>
      </c>
      <c r="Z100" s="185">
        <v>2.6833601587741507E-2</v>
      </c>
      <c r="AA100" s="178">
        <v>24.377823849767445</v>
      </c>
      <c r="AB100" s="179">
        <v>32.456148646351338</v>
      </c>
      <c r="AC100" s="179">
        <v>43.423230446515085</v>
      </c>
      <c r="AD100" s="181">
        <v>2.7151365502190439E-2</v>
      </c>
      <c r="AE100" s="186">
        <v>26.570714751371781</v>
      </c>
      <c r="AF100" s="187">
        <v>35.219267076848681</v>
      </c>
      <c r="AG100" s="187">
        <v>45.516394336752008</v>
      </c>
      <c r="AH100" s="189">
        <v>2.8712429485375335E-2</v>
      </c>
    </row>
    <row r="101" spans="1:34" x14ac:dyDescent="0.15">
      <c r="A101" s="131" t="s">
        <v>698</v>
      </c>
      <c r="B101" s="190">
        <v>7.4999999999999997E-2</v>
      </c>
      <c r="C101" s="191">
        <v>1.3399944569092957E-5</v>
      </c>
      <c r="D101" s="192">
        <v>2.0120089678332098E-6</v>
      </c>
      <c r="E101" s="192">
        <v>1.9521153124647631E-6</v>
      </c>
      <c r="F101" s="162">
        <v>-0.28860451688829425</v>
      </c>
      <c r="G101" s="193">
        <v>2.2365049448624464E-4</v>
      </c>
      <c r="H101" s="194">
        <v>2.0588323662893314E-5</v>
      </c>
      <c r="I101" s="194">
        <v>1.7157573443401235E-5</v>
      </c>
      <c r="J101" s="165">
        <v>-0.23693573392770451</v>
      </c>
      <c r="K101" s="191">
        <v>9.9320633906518713E-2</v>
      </c>
      <c r="L101" s="192">
        <v>0.10154729608669018</v>
      </c>
      <c r="M101" s="192">
        <v>8.1024092212981763E-2</v>
      </c>
      <c r="N101" s="162">
        <v>2.4953156027787138E-3</v>
      </c>
      <c r="O101" s="193">
        <v>1.1041208724386128E-6</v>
      </c>
      <c r="P101" s="194">
        <v>1.051997997141731E-7</v>
      </c>
      <c r="Q101" s="194">
        <v>5.20121228724607E-8</v>
      </c>
      <c r="R101" s="165">
        <v>-0.36711620172026116</v>
      </c>
      <c r="S101" s="191">
        <v>3.7522929092451314E-7</v>
      </c>
      <c r="T101" s="192">
        <v>3.5076225971679502E-8</v>
      </c>
      <c r="U101" s="192">
        <v>2.9770737855909199E-8</v>
      </c>
      <c r="V101" s="162">
        <v>-0.37840521006440864</v>
      </c>
      <c r="W101" s="193">
        <v>8.2185647428214582E-7</v>
      </c>
      <c r="X101" s="194">
        <v>8.01986160648544E-8</v>
      </c>
      <c r="Y101" s="194">
        <v>6.0319694471951037E-8</v>
      </c>
      <c r="Z101" s="165">
        <v>-0.36408373779750292</v>
      </c>
      <c r="AA101" s="191">
        <v>4.7339844730258851E-4</v>
      </c>
      <c r="AB101" s="192">
        <v>5.7929652108919605E-5</v>
      </c>
      <c r="AC101" s="192">
        <v>5.3524532912731235E-5</v>
      </c>
      <c r="AD101" s="162">
        <v>-0.20841103793574878</v>
      </c>
      <c r="AE101" s="195">
        <v>1.4541718065983812E-4</v>
      </c>
      <c r="AF101" s="196">
        <v>1.6082556676427237E-5</v>
      </c>
      <c r="AG101" s="196">
        <v>1.2544006139336021E-5</v>
      </c>
      <c r="AH101" s="168">
        <v>-0.24460625053556317</v>
      </c>
    </row>
    <row r="102" spans="1:34" ht="12" x14ac:dyDescent="0.15">
      <c r="A102" s="131" t="s">
        <v>691</v>
      </c>
      <c r="B102" s="190">
        <v>0.28047839999999996</v>
      </c>
      <c r="C102" s="191">
        <v>1.3675842616356488</v>
      </c>
      <c r="D102" s="192">
        <v>1.9007002468653516</v>
      </c>
      <c r="E102" s="192">
        <v>2.3944590905612313</v>
      </c>
      <c r="F102" s="162">
        <v>7.1623412949242793E-2</v>
      </c>
      <c r="G102" s="193">
        <v>0.48741016944148219</v>
      </c>
      <c r="H102" s="194">
        <v>0.52544573915452197</v>
      </c>
      <c r="I102" s="194">
        <v>0.55573611682154223</v>
      </c>
      <c r="J102" s="165">
        <v>2.2303038566970912E-2</v>
      </c>
      <c r="K102" s="191">
        <v>1.0594565862541527</v>
      </c>
      <c r="L102" s="192">
        <v>2.1325102478619038</v>
      </c>
      <c r="M102" s="192">
        <v>1.3110150557249509</v>
      </c>
      <c r="N102" s="162">
        <v>5.1001878323847949E-2</v>
      </c>
      <c r="O102" s="193">
        <v>0.46805064270016589</v>
      </c>
      <c r="P102" s="194">
        <v>0.67098955586709152</v>
      </c>
      <c r="Q102" s="194">
        <v>0.6709709221742951</v>
      </c>
      <c r="R102" s="165">
        <v>2.8535989864675315E-2</v>
      </c>
      <c r="S102" s="191">
        <v>0.50579073853607814</v>
      </c>
      <c r="T102" s="192">
        <v>0.52618853728342663</v>
      </c>
      <c r="U102" s="192">
        <v>0.55567646685231198</v>
      </c>
      <c r="V102" s="162">
        <v>2.2299498739328572E-2</v>
      </c>
      <c r="W102" s="193">
        <v>0.48139053122104131</v>
      </c>
      <c r="X102" s="194">
        <v>0.5428717859208767</v>
      </c>
      <c r="Y102" s="194">
        <v>0.56100010303427839</v>
      </c>
      <c r="Z102" s="165">
        <v>2.2613981972045671E-2</v>
      </c>
      <c r="AA102" s="191">
        <v>0.50742009331605475</v>
      </c>
      <c r="AB102" s="192">
        <v>0.82446497211794167</v>
      </c>
      <c r="AC102" s="192">
        <v>1.0233227505801412</v>
      </c>
      <c r="AD102" s="162">
        <v>4.2635923228621531E-2</v>
      </c>
      <c r="AE102" s="195">
        <v>0.50399569931455879</v>
      </c>
      <c r="AF102" s="196">
        <v>0.55093669026506298</v>
      </c>
      <c r="AG102" s="196">
        <v>0.55563821832924365</v>
      </c>
      <c r="AH102" s="168">
        <v>2.2297228751208431E-2</v>
      </c>
    </row>
    <row r="103" spans="1:34" ht="12" x14ac:dyDescent="0.15">
      <c r="A103" s="131" t="s">
        <v>706</v>
      </c>
      <c r="B103" s="190">
        <v>0</v>
      </c>
      <c r="C103" s="191">
        <v>0</v>
      </c>
      <c r="D103" s="192">
        <v>0</v>
      </c>
      <c r="E103" s="192">
        <v>0</v>
      </c>
      <c r="F103" s="162" t="s">
        <v>672</v>
      </c>
      <c r="G103" s="193">
        <v>0</v>
      </c>
      <c r="H103" s="194">
        <v>0.13044360920144843</v>
      </c>
      <c r="I103" s="194">
        <v>0.26799398917978318</v>
      </c>
      <c r="J103" s="165" t="s">
        <v>672</v>
      </c>
      <c r="K103" s="191">
        <v>0</v>
      </c>
      <c r="L103" s="192">
        <v>2.68544747311572E-2</v>
      </c>
      <c r="M103" s="192">
        <v>0.46130440111989368</v>
      </c>
      <c r="N103" s="162" t="s">
        <v>672</v>
      </c>
      <c r="O103" s="193">
        <v>0</v>
      </c>
      <c r="P103" s="194">
        <v>3.631557062854663E-3</v>
      </c>
      <c r="Q103" s="194">
        <v>0.20495087679849486</v>
      </c>
      <c r="R103" s="165" t="s">
        <v>672</v>
      </c>
      <c r="S103" s="191">
        <v>0</v>
      </c>
      <c r="T103" s="192">
        <v>0.13096375123435941</v>
      </c>
      <c r="U103" s="192">
        <v>0.26796744068803457</v>
      </c>
      <c r="V103" s="162" t="s">
        <v>672</v>
      </c>
      <c r="W103" s="193">
        <v>0</v>
      </c>
      <c r="X103" s="194">
        <v>0.12673921672148089</v>
      </c>
      <c r="Y103" s="194">
        <v>0.26258831962964885</v>
      </c>
      <c r="Z103" s="165" t="s">
        <v>672</v>
      </c>
      <c r="AA103" s="191">
        <v>0</v>
      </c>
      <c r="AB103" s="192">
        <v>1.0815560821304801E-4</v>
      </c>
      <c r="AC103" s="192">
        <v>2.5468228469410728E-2</v>
      </c>
      <c r="AD103" s="162" t="s">
        <v>672</v>
      </c>
      <c r="AE103" s="195">
        <v>0</v>
      </c>
      <c r="AF103" s="196">
        <v>0.10486246127895024</v>
      </c>
      <c r="AG103" s="196">
        <v>0.2680908599608981</v>
      </c>
      <c r="AH103" s="168" t="s">
        <v>672</v>
      </c>
    </row>
    <row r="104" spans="1:34" x14ac:dyDescent="0.15">
      <c r="A104" s="131" t="s">
        <v>713</v>
      </c>
      <c r="B104" s="190">
        <v>2.96</v>
      </c>
      <c r="C104" s="191">
        <v>2.5950000000000002</v>
      </c>
      <c r="D104" s="192">
        <v>1.22</v>
      </c>
      <c r="E104" s="192">
        <v>0</v>
      </c>
      <c r="F104" s="162">
        <v>-1</v>
      </c>
      <c r="G104" s="193">
        <v>2.5950000000000002</v>
      </c>
      <c r="H104" s="194">
        <v>1.22</v>
      </c>
      <c r="I104" s="194">
        <v>0</v>
      </c>
      <c r="J104" s="165">
        <v>-1</v>
      </c>
      <c r="K104" s="191">
        <v>2.5950000000000002</v>
      </c>
      <c r="L104" s="192">
        <v>1.22</v>
      </c>
      <c r="M104" s="192">
        <v>0</v>
      </c>
      <c r="N104" s="162">
        <v>-1</v>
      </c>
      <c r="O104" s="193">
        <v>2.5950000000000002</v>
      </c>
      <c r="P104" s="194">
        <v>1.22</v>
      </c>
      <c r="Q104" s="194">
        <v>0</v>
      </c>
      <c r="R104" s="165">
        <v>-1</v>
      </c>
      <c r="S104" s="191">
        <v>2.5950000000000002</v>
      </c>
      <c r="T104" s="192">
        <v>1.22</v>
      </c>
      <c r="U104" s="192">
        <v>0</v>
      </c>
      <c r="V104" s="162">
        <v>-1</v>
      </c>
      <c r="W104" s="193">
        <v>2.5950000000000002</v>
      </c>
      <c r="X104" s="194">
        <v>1.22</v>
      </c>
      <c r="Y104" s="194">
        <v>0</v>
      </c>
      <c r="Z104" s="165">
        <v>-1</v>
      </c>
      <c r="AA104" s="191">
        <v>2.5950000000000002</v>
      </c>
      <c r="AB104" s="192">
        <v>1.22</v>
      </c>
      <c r="AC104" s="192">
        <v>0</v>
      </c>
      <c r="AD104" s="162">
        <v>-1</v>
      </c>
      <c r="AE104" s="195">
        <v>2.5950000000000002</v>
      </c>
      <c r="AF104" s="196">
        <v>1.22</v>
      </c>
      <c r="AG104" s="196">
        <v>0</v>
      </c>
      <c r="AH104" s="168">
        <v>-1</v>
      </c>
    </row>
    <row r="105" spans="1:34" x14ac:dyDescent="0.15">
      <c r="A105" s="131" t="s">
        <v>669</v>
      </c>
      <c r="B105" s="190">
        <v>9.3492799999999987E-2</v>
      </c>
      <c r="C105" s="191">
        <v>0.15111271653128291</v>
      </c>
      <c r="D105" s="192">
        <v>0.15115238114954679</v>
      </c>
      <c r="E105" s="192">
        <v>0.15130809252525854</v>
      </c>
      <c r="F105" s="162">
        <v>1.5651337639885243E-2</v>
      </c>
      <c r="G105" s="193">
        <v>0.21812823001577131</v>
      </c>
      <c r="H105" s="194">
        <v>0.31980627788318933</v>
      </c>
      <c r="I105" s="194">
        <v>0.13881905078202289</v>
      </c>
      <c r="J105" s="165">
        <v>1.2832832224855872E-2</v>
      </c>
      <c r="K105" s="191">
        <v>0.23386735883017909</v>
      </c>
      <c r="L105" s="192">
        <v>0.25372951487489975</v>
      </c>
      <c r="M105" s="192">
        <v>0.15242550596158613</v>
      </c>
      <c r="N105" s="162">
        <v>1.5892432249696498E-2</v>
      </c>
      <c r="O105" s="193">
        <v>0.21812503485445614</v>
      </c>
      <c r="P105" s="194">
        <v>0.17689678781608395</v>
      </c>
      <c r="Q105" s="194">
        <v>0.11384459831161367</v>
      </c>
      <c r="R105" s="165">
        <v>6.3734476828223308E-3</v>
      </c>
      <c r="S105" s="191">
        <v>0.21812398657754642</v>
      </c>
      <c r="T105" s="192">
        <v>0.27675447980900486</v>
      </c>
      <c r="U105" s="192">
        <v>0.11160625318648443</v>
      </c>
      <c r="V105" s="162">
        <v>5.7290146044879364E-3</v>
      </c>
      <c r="W105" s="193">
        <v>0.22362935811911641</v>
      </c>
      <c r="X105" s="194">
        <v>0.30831028391783571</v>
      </c>
      <c r="Y105" s="194">
        <v>0.13777615617554798</v>
      </c>
      <c r="Z105" s="165">
        <v>1.2586483067709819E-2</v>
      </c>
      <c r="AA105" s="191">
        <v>0.22176772682791157</v>
      </c>
      <c r="AB105" s="192">
        <v>0.32667515959276461</v>
      </c>
      <c r="AC105" s="192">
        <v>0.12335958034724426</v>
      </c>
      <c r="AD105" s="162">
        <v>8.9826550308373942E-3</v>
      </c>
      <c r="AE105" s="195">
        <v>0.21812751375977082</v>
      </c>
      <c r="AF105" s="196">
        <v>0.33173684825069705</v>
      </c>
      <c r="AG105" s="196">
        <v>0.14197147052127784</v>
      </c>
      <c r="AH105" s="168">
        <v>1.3566742918522001E-2</v>
      </c>
    </row>
    <row r="106" spans="1:34" x14ac:dyDescent="0.15">
      <c r="A106" s="131" t="s">
        <v>708</v>
      </c>
      <c r="B106" s="190">
        <v>0</v>
      </c>
      <c r="C106" s="191">
        <v>0</v>
      </c>
      <c r="D106" s="192">
        <v>0</v>
      </c>
      <c r="E106" s="192">
        <v>0</v>
      </c>
      <c r="F106" s="162" t="s">
        <v>672</v>
      </c>
      <c r="G106" s="193">
        <v>0</v>
      </c>
      <c r="H106" s="194">
        <v>1.1029428108566899E-5</v>
      </c>
      <c r="I106" s="194">
        <v>0.13080535804302501</v>
      </c>
      <c r="J106" s="165" t="s">
        <v>672</v>
      </c>
      <c r="K106" s="191">
        <v>0</v>
      </c>
      <c r="L106" s="192">
        <v>9.7271404981364596E-3</v>
      </c>
      <c r="M106" s="192">
        <v>6.8290137878191409E-2</v>
      </c>
      <c r="N106" s="162" t="s">
        <v>672</v>
      </c>
      <c r="O106" s="193">
        <v>0</v>
      </c>
      <c r="P106" s="194">
        <v>0.18703363587862701</v>
      </c>
      <c r="Q106" s="194">
        <v>0.18703363587862701</v>
      </c>
      <c r="R106" s="165" t="s">
        <v>672</v>
      </c>
      <c r="S106" s="191">
        <v>0</v>
      </c>
      <c r="T106" s="192">
        <v>4.8633576785774298E-2</v>
      </c>
      <c r="U106" s="192">
        <v>0.14824414531938701</v>
      </c>
      <c r="V106" s="162" t="s">
        <v>672</v>
      </c>
      <c r="W106" s="193">
        <v>0</v>
      </c>
      <c r="X106" s="194">
        <v>2.4754750440281501E-2</v>
      </c>
      <c r="Y106" s="194">
        <v>0.110591325388011</v>
      </c>
      <c r="Z106" s="165" t="s">
        <v>672</v>
      </c>
      <c r="AA106" s="191">
        <v>0</v>
      </c>
      <c r="AB106" s="192">
        <v>4.0897871273623897E-2</v>
      </c>
      <c r="AC106" s="192">
        <v>0.24615660372817599</v>
      </c>
      <c r="AD106" s="162" t="s">
        <v>672</v>
      </c>
      <c r="AE106" s="195">
        <v>0</v>
      </c>
      <c r="AF106" s="196">
        <v>5.66493010516501E-5</v>
      </c>
      <c r="AG106" s="196">
        <v>0.14548161893054401</v>
      </c>
      <c r="AH106" s="168" t="s">
        <v>672</v>
      </c>
    </row>
    <row r="107" spans="1:34" x14ac:dyDescent="0.15">
      <c r="A107" s="131" t="s">
        <v>686</v>
      </c>
      <c r="B107" s="190">
        <v>0.4516075</v>
      </c>
      <c r="C107" s="191">
        <v>0.47530241769211468</v>
      </c>
      <c r="D107" s="192">
        <v>0.4825659807976152</v>
      </c>
      <c r="E107" s="192">
        <v>0.49139347601410083</v>
      </c>
      <c r="F107" s="162">
        <v>2.7273170232733346E-3</v>
      </c>
      <c r="G107" s="193">
        <v>0.47530068195198616</v>
      </c>
      <c r="H107" s="194">
        <v>0.38219077869552776</v>
      </c>
      <c r="I107" s="194">
        <v>0.22181393391072818</v>
      </c>
      <c r="J107" s="165">
        <v>-2.267366248496383E-2</v>
      </c>
      <c r="K107" s="191">
        <v>0.45803826886929011</v>
      </c>
      <c r="L107" s="192">
        <v>0.45849647767309942</v>
      </c>
      <c r="M107" s="192">
        <v>0.19967701337092736</v>
      </c>
      <c r="N107" s="162">
        <v>-2.5982690176919232E-2</v>
      </c>
      <c r="O107" s="193">
        <v>0.48538215026134174</v>
      </c>
      <c r="P107" s="194">
        <v>0.41050210683197907</v>
      </c>
      <c r="Q107" s="194">
        <v>0.22179830873763207</v>
      </c>
      <c r="R107" s="165">
        <v>-2.2675883383537099E-2</v>
      </c>
      <c r="S107" s="191">
        <v>0.47530239544246278</v>
      </c>
      <c r="T107" s="192">
        <v>0.38713984214665692</v>
      </c>
      <c r="U107" s="192">
        <v>0.22181788567531968</v>
      </c>
      <c r="V107" s="162">
        <v>-2.2673100821199554E-2</v>
      </c>
      <c r="W107" s="193">
        <v>0.47525968521391593</v>
      </c>
      <c r="X107" s="194">
        <v>0.38460388592689571</v>
      </c>
      <c r="Y107" s="194">
        <v>0.22180199568961251</v>
      </c>
      <c r="Z107" s="165">
        <v>-2.2675359321525312E-2</v>
      </c>
      <c r="AA107" s="191">
        <v>0.47530253024594249</v>
      </c>
      <c r="AB107" s="192">
        <v>0.32326063274092875</v>
      </c>
      <c r="AC107" s="192">
        <v>0.22181426272084509</v>
      </c>
      <c r="AD107" s="162">
        <v>-2.2673615750857246E-2</v>
      </c>
      <c r="AE107" s="195">
        <v>0.4753011893530491</v>
      </c>
      <c r="AF107" s="196">
        <v>0.39152136515891989</v>
      </c>
      <c r="AG107" s="196">
        <v>0.22181660789062285</v>
      </c>
      <c r="AH107" s="168">
        <v>-2.2673282431505459E-2</v>
      </c>
    </row>
    <row r="108" spans="1:34" x14ac:dyDescent="0.15">
      <c r="A108" s="131" t="s">
        <v>709</v>
      </c>
      <c r="B108" s="190">
        <v>0</v>
      </c>
      <c r="C108" s="191">
        <v>0</v>
      </c>
      <c r="D108" s="192">
        <v>0</v>
      </c>
      <c r="E108" s="192">
        <v>0</v>
      </c>
      <c r="F108" s="162" t="s">
        <v>672</v>
      </c>
      <c r="G108" s="193">
        <v>0</v>
      </c>
      <c r="H108" s="194">
        <v>9.3680476672585597E-2</v>
      </c>
      <c r="I108" s="194">
        <v>0.2839166455284558</v>
      </c>
      <c r="J108" s="165" t="s">
        <v>672</v>
      </c>
      <c r="K108" s="191">
        <v>0</v>
      </c>
      <c r="L108" s="192">
        <v>6.2701978476292601E-3</v>
      </c>
      <c r="M108" s="192">
        <v>0.27495350751736114</v>
      </c>
      <c r="N108" s="162" t="s">
        <v>672</v>
      </c>
      <c r="O108" s="193">
        <v>0</v>
      </c>
      <c r="P108" s="194">
        <v>8.0007326114789085E-2</v>
      </c>
      <c r="Q108" s="194">
        <v>0.2840807879454158</v>
      </c>
      <c r="R108" s="165" t="s">
        <v>672</v>
      </c>
      <c r="S108" s="191">
        <v>0</v>
      </c>
      <c r="T108" s="192">
        <v>8.9217057472004216E-2</v>
      </c>
      <c r="U108" s="192">
        <v>0.28385686603233551</v>
      </c>
      <c r="V108" s="162" t="s">
        <v>672</v>
      </c>
      <c r="W108" s="193">
        <v>0</v>
      </c>
      <c r="X108" s="194">
        <v>9.1521595158871996E-2</v>
      </c>
      <c r="Y108" s="194">
        <v>0.2840189231056976</v>
      </c>
      <c r="Z108" s="165" t="s">
        <v>672</v>
      </c>
      <c r="AA108" s="191">
        <v>0</v>
      </c>
      <c r="AB108" s="192">
        <v>0.14648711292220609</v>
      </c>
      <c r="AC108" s="192">
        <v>0.28392531911764268</v>
      </c>
      <c r="AD108" s="162" t="s">
        <v>672</v>
      </c>
      <c r="AE108" s="195">
        <v>0</v>
      </c>
      <c r="AF108" s="196">
        <v>0.1027863871660802</v>
      </c>
      <c r="AG108" s="196">
        <v>0.28387294094855409</v>
      </c>
      <c r="AH108" s="168" t="s">
        <v>672</v>
      </c>
    </row>
    <row r="109" spans="1:34" x14ac:dyDescent="0.15">
      <c r="A109" s="131" t="s">
        <v>692</v>
      </c>
      <c r="B109" s="190">
        <v>4.2221300000000003E-2</v>
      </c>
      <c r="C109" s="191">
        <v>2.5786712287109149E-2</v>
      </c>
      <c r="D109" s="192">
        <v>2.5786716914521401E-2</v>
      </c>
      <c r="E109" s="192">
        <v>2.57867170864018E-2</v>
      </c>
      <c r="F109" s="162">
        <v>-1.5779510909355476E-2</v>
      </c>
      <c r="G109" s="193">
        <v>2.6600289484823465E-2</v>
      </c>
      <c r="H109" s="194">
        <v>6.0582893889736901E-2</v>
      </c>
      <c r="I109" s="194">
        <v>6.2191034931502798E-2</v>
      </c>
      <c r="J109" s="165">
        <v>1.2571462270821288E-2</v>
      </c>
      <c r="K109" s="191">
        <v>1.9730067129721821E-2</v>
      </c>
      <c r="L109" s="192">
        <v>3.0179528874771704E-2</v>
      </c>
      <c r="M109" s="192">
        <v>3.9756064384417568E-2</v>
      </c>
      <c r="N109" s="162">
        <v>-1.938841898444843E-3</v>
      </c>
      <c r="O109" s="193">
        <v>2.2701715995537317E-2</v>
      </c>
      <c r="P109" s="194">
        <v>2.7652140216288E-2</v>
      </c>
      <c r="Q109" s="194">
        <v>0.19076343451439201</v>
      </c>
      <c r="R109" s="165">
        <v>4.9851458382679681E-2</v>
      </c>
      <c r="S109" s="191">
        <v>3.245713560666235E-2</v>
      </c>
      <c r="T109" s="192">
        <v>0.14204386404165001</v>
      </c>
      <c r="U109" s="192">
        <v>0.14523942290830999</v>
      </c>
      <c r="V109" s="162">
        <v>4.065831464362657E-2</v>
      </c>
      <c r="W109" s="193">
        <v>2.8433528302654405E-2</v>
      </c>
      <c r="X109" s="194">
        <v>0.11082793355758799</v>
      </c>
      <c r="Y109" s="194">
        <v>0.113780924442045</v>
      </c>
      <c r="Z109" s="165">
        <v>3.2495857672423689E-2</v>
      </c>
      <c r="AA109" s="191">
        <v>2.6660847805766188E-2</v>
      </c>
      <c r="AB109" s="192">
        <v>2.6698310681322553E-2</v>
      </c>
      <c r="AC109" s="192">
        <v>2.7483105913155201E-2</v>
      </c>
      <c r="AD109" s="162">
        <v>-1.3754636512389617E-2</v>
      </c>
      <c r="AE109" s="195">
        <v>2.428712045456316E-2</v>
      </c>
      <c r="AF109" s="196">
        <v>4.5924694537523299E-2</v>
      </c>
      <c r="AG109" s="196">
        <v>4.7050716360198502E-2</v>
      </c>
      <c r="AH109" s="168">
        <v>3.4996986749615822E-3</v>
      </c>
    </row>
    <row r="110" spans="1:34" x14ac:dyDescent="0.15">
      <c r="A110" s="131" t="s">
        <v>693</v>
      </c>
      <c r="B110" s="214">
        <v>12.449579999999999</v>
      </c>
      <c r="C110" s="219">
        <v>12.449579999999999</v>
      </c>
      <c r="D110" s="220">
        <v>12.449579999999999</v>
      </c>
      <c r="E110" s="220">
        <v>12.449579999999999</v>
      </c>
      <c r="F110" s="246">
        <v>0</v>
      </c>
      <c r="G110" s="221">
        <v>12.449579999999999</v>
      </c>
      <c r="H110" s="222">
        <v>12.449579999999999</v>
      </c>
      <c r="I110" s="222">
        <v>12.674454401522127</v>
      </c>
      <c r="J110" s="247">
        <v>5.7763824953127596E-4</v>
      </c>
      <c r="K110" s="219">
        <v>12.449579999999999</v>
      </c>
      <c r="L110" s="220">
        <v>12.449579999999999</v>
      </c>
      <c r="M110" s="220">
        <v>12.656095530960528</v>
      </c>
      <c r="N110" s="246">
        <v>5.3085284831033697E-4</v>
      </c>
      <c r="O110" s="221">
        <v>12.449579999999999</v>
      </c>
      <c r="P110" s="222">
        <v>12.542556481916442</v>
      </c>
      <c r="Q110" s="222">
        <v>12.916033435051046</v>
      </c>
      <c r="R110" s="247">
        <v>1.1872382146271843E-3</v>
      </c>
      <c r="S110" s="219">
        <v>12.449579999999999</v>
      </c>
      <c r="T110" s="220">
        <v>12.454594974740509</v>
      </c>
      <c r="U110" s="220">
        <v>12.455571931465006</v>
      </c>
      <c r="V110" s="246">
        <v>1.5522058740780054E-5</v>
      </c>
      <c r="W110" s="221">
        <v>12.449579999999999</v>
      </c>
      <c r="X110" s="222">
        <v>12.449579999999999</v>
      </c>
      <c r="Y110" s="222">
        <v>12.449579999999999</v>
      </c>
      <c r="Z110" s="247">
        <v>0</v>
      </c>
      <c r="AA110" s="219">
        <v>12.449579999999999</v>
      </c>
      <c r="AB110" s="220">
        <v>12.449579999999999</v>
      </c>
      <c r="AC110" s="220">
        <v>12.517622519464783</v>
      </c>
      <c r="AD110" s="246">
        <v>1.7584015569149791E-4</v>
      </c>
      <c r="AE110" s="223">
        <v>12.449579999999999</v>
      </c>
      <c r="AF110" s="224">
        <v>12.449579999999999</v>
      </c>
      <c r="AG110" s="224">
        <v>12.545579172345946</v>
      </c>
      <c r="AH110" s="248">
        <v>2.4781970013743049E-4</v>
      </c>
    </row>
    <row r="111" spans="1:34" x14ac:dyDescent="0.15">
      <c r="A111" s="131" t="s">
        <v>674</v>
      </c>
      <c r="B111" s="190">
        <v>2.4980500000000001</v>
      </c>
      <c r="C111" s="219">
        <v>4.4101262560986321</v>
      </c>
      <c r="D111" s="220">
        <v>7.5222459040974972</v>
      </c>
      <c r="E111" s="220">
        <v>12.252948470046842</v>
      </c>
      <c r="F111" s="162">
        <v>5.2637149282366735E-2</v>
      </c>
      <c r="G111" s="221">
        <v>7.7808736631104463</v>
      </c>
      <c r="H111" s="222">
        <v>16.004804102763984</v>
      </c>
      <c r="I111" s="222">
        <v>26.825704105317836</v>
      </c>
      <c r="J111" s="165">
        <v>7.9584030457064525E-2</v>
      </c>
      <c r="K111" s="219">
        <v>6.2340877094256841</v>
      </c>
      <c r="L111" s="220">
        <v>12.771342857970263</v>
      </c>
      <c r="M111" s="220">
        <v>20.756144004875715</v>
      </c>
      <c r="N111" s="162">
        <v>7.0687567045370381E-2</v>
      </c>
      <c r="O111" s="221">
        <v>14.007744524549038</v>
      </c>
      <c r="P111" s="222">
        <v>30.414524530424341</v>
      </c>
      <c r="Q111" s="222">
        <v>47.404642308209127</v>
      </c>
      <c r="R111" s="165">
        <v>9.9595351142358624E-2</v>
      </c>
      <c r="S111" s="219">
        <v>11.975281808145965</v>
      </c>
      <c r="T111" s="220">
        <v>21.845068370620773</v>
      </c>
      <c r="U111" s="220">
        <v>32.433863597102153</v>
      </c>
      <c r="V111" s="162">
        <v>8.6215636383512262E-2</v>
      </c>
      <c r="W111" s="221">
        <v>8.7252224613655454</v>
      </c>
      <c r="X111" s="222">
        <v>18.506130281066682</v>
      </c>
      <c r="Y111" s="222">
        <v>28.183602978212164</v>
      </c>
      <c r="Z111" s="165">
        <v>8.1305067353218519E-2</v>
      </c>
      <c r="AA111" s="219">
        <v>7.7808764421062584</v>
      </c>
      <c r="AB111" s="220">
        <v>15.861383353286273</v>
      </c>
      <c r="AC111" s="220">
        <v>25.836798762825229</v>
      </c>
      <c r="AD111" s="162">
        <v>7.8276758459359552E-2</v>
      </c>
      <c r="AE111" s="223">
        <v>9.6686584716906978</v>
      </c>
      <c r="AF111" s="224">
        <v>18.165009731044286</v>
      </c>
      <c r="AG111" s="224">
        <v>28.138196812858439</v>
      </c>
      <c r="AH111" s="168">
        <v>8.1248827569508464E-2</v>
      </c>
    </row>
    <row r="112" spans="1:34" x14ac:dyDescent="0.15">
      <c r="A112" s="131" t="s">
        <v>675</v>
      </c>
      <c r="B112" s="190">
        <v>7.5370000000000006E-2</v>
      </c>
      <c r="C112" s="219">
        <v>4.30645071243047E-2</v>
      </c>
      <c r="D112" s="220">
        <v>7.0147543573436805E-2</v>
      </c>
      <c r="E112" s="220">
        <v>0.11426295634507599</v>
      </c>
      <c r="F112" s="162">
        <v>1.3512842589069596E-2</v>
      </c>
      <c r="G112" s="221">
        <v>0.29276061351415361</v>
      </c>
      <c r="H112" s="222">
        <v>1.1843798821516101</v>
      </c>
      <c r="I112" s="222">
        <v>2.5569871435492599</v>
      </c>
      <c r="J112" s="165">
        <v>0.12039699780048219</v>
      </c>
      <c r="K112" s="219">
        <v>0.26990979916894159</v>
      </c>
      <c r="L112" s="220">
        <v>0.62062251948764402</v>
      </c>
      <c r="M112" s="220">
        <v>1.0109239082791399</v>
      </c>
      <c r="N112" s="162">
        <v>8.7355639786730555E-2</v>
      </c>
      <c r="O112" s="221">
        <v>0.37679698028293962</v>
      </c>
      <c r="P112" s="222">
        <v>1.5243539384552001</v>
      </c>
      <c r="Q112" s="222">
        <v>2.5569871209768502</v>
      </c>
      <c r="R112" s="165">
        <v>0.1203969974814314</v>
      </c>
      <c r="S112" s="219">
        <v>4.3063988303645204E-2</v>
      </c>
      <c r="T112" s="220">
        <v>7.0146699180445402E-2</v>
      </c>
      <c r="U112" s="220">
        <v>0.114261581409736</v>
      </c>
      <c r="V112" s="162">
        <v>1.3512449177697894E-2</v>
      </c>
      <c r="W112" s="221">
        <v>4.3774950088092804E-2</v>
      </c>
      <c r="X112" s="222">
        <v>7.1304781470405795E-2</v>
      </c>
      <c r="Y112" s="222">
        <v>0.116147975479967</v>
      </c>
      <c r="Z112" s="165">
        <v>1.4047942096580224E-2</v>
      </c>
      <c r="AA112" s="219">
        <v>0.2927608081020896</v>
      </c>
      <c r="AB112" s="220">
        <v>1.1843803951210701</v>
      </c>
      <c r="AC112" s="220">
        <v>2.5569871125937098</v>
      </c>
      <c r="AD112" s="162">
        <v>0.12039699736293952</v>
      </c>
      <c r="AE112" s="223">
        <v>0.37679698459395361</v>
      </c>
      <c r="AF112" s="224">
        <v>1.52435397134476</v>
      </c>
      <c r="AG112" s="224">
        <v>2.5569871168012499</v>
      </c>
      <c r="AH112" s="168">
        <v>0.12039699742241128</v>
      </c>
    </row>
    <row r="113" spans="1:34" x14ac:dyDescent="0.15">
      <c r="A113" s="131" t="s">
        <v>676</v>
      </c>
      <c r="B113" s="190">
        <v>0</v>
      </c>
      <c r="C113" s="191">
        <v>0</v>
      </c>
      <c r="D113" s="192">
        <v>5.4899151802278296E-7</v>
      </c>
      <c r="E113" s="192">
        <v>5.4899151802278296E-7</v>
      </c>
      <c r="F113" s="162" t="s">
        <v>672</v>
      </c>
      <c r="G113" s="193">
        <v>0</v>
      </c>
      <c r="H113" s="194">
        <v>1.9220185517450501E-5</v>
      </c>
      <c r="I113" s="194">
        <v>1.65731428226615E-2</v>
      </c>
      <c r="J113" s="165" t="s">
        <v>672</v>
      </c>
      <c r="K113" s="191">
        <v>0</v>
      </c>
      <c r="L113" s="192">
        <v>3.55911333925973E-5</v>
      </c>
      <c r="M113" s="192">
        <v>2.0033934745946298E-5</v>
      </c>
      <c r="N113" s="162" t="s">
        <v>672</v>
      </c>
      <c r="O113" s="193">
        <v>0</v>
      </c>
      <c r="P113" s="194">
        <v>5.3800347862036004E-7</v>
      </c>
      <c r="Q113" s="194">
        <v>0.63098307900650497</v>
      </c>
      <c r="R113" s="165" t="s">
        <v>672</v>
      </c>
      <c r="S113" s="191">
        <v>0</v>
      </c>
      <c r="T113" s="192">
        <v>2.0081225488568599E-8</v>
      </c>
      <c r="U113" s="192">
        <v>2.0081225488568599E-8</v>
      </c>
      <c r="V113" s="162" t="s">
        <v>672</v>
      </c>
      <c r="W113" s="193">
        <v>0</v>
      </c>
      <c r="X113" s="194">
        <v>6.1339562193449293E-8</v>
      </c>
      <c r="Y113" s="194">
        <v>6.1339562193449293E-8</v>
      </c>
      <c r="Z113" s="165" t="s">
        <v>672</v>
      </c>
      <c r="AA113" s="191">
        <v>0</v>
      </c>
      <c r="AB113" s="192">
        <v>3.2937394598536097E-5</v>
      </c>
      <c r="AC113" s="192">
        <v>3.93637027089627E-4</v>
      </c>
      <c r="AD113" s="162" t="s">
        <v>672</v>
      </c>
      <c r="AE113" s="195">
        <v>0</v>
      </c>
      <c r="AF113" s="196">
        <v>1.9089230937256702E-2</v>
      </c>
      <c r="AG113" s="196">
        <v>1.9089230937256702E-2</v>
      </c>
      <c r="AH113" s="168" t="s">
        <v>672</v>
      </c>
    </row>
    <row r="114" spans="1:34" x14ac:dyDescent="0.15">
      <c r="A114" s="134" t="s">
        <v>684</v>
      </c>
      <c r="B114" s="197">
        <v>0</v>
      </c>
      <c r="C114" s="198">
        <v>2.634795385154477E-6</v>
      </c>
      <c r="D114" s="199">
        <v>7.4636856059198426E-6</v>
      </c>
      <c r="E114" s="199">
        <v>7.8085512254699005E-6</v>
      </c>
      <c r="F114" s="216" t="s">
        <v>672</v>
      </c>
      <c r="G114" s="200">
        <v>0.25907043763775206</v>
      </c>
      <c r="H114" s="201">
        <v>0.26929166133739746</v>
      </c>
      <c r="I114" s="201">
        <v>0.59318698357265709</v>
      </c>
      <c r="J114" s="217" t="s">
        <v>672</v>
      </c>
      <c r="K114" s="198">
        <v>7.1006808554766503E-3</v>
      </c>
      <c r="L114" s="199">
        <v>8.1466405981394339E-3</v>
      </c>
      <c r="M114" s="199">
        <v>0.32481503474991036</v>
      </c>
      <c r="N114" s="216" t="s">
        <v>672</v>
      </c>
      <c r="O114" s="200">
        <v>0.41120875776419813</v>
      </c>
      <c r="P114" s="201">
        <v>0.39345535036272278</v>
      </c>
      <c r="Q114" s="201">
        <v>0.42712648985484963</v>
      </c>
      <c r="R114" s="217" t="s">
        <v>672</v>
      </c>
      <c r="S114" s="198">
        <v>0.25913264680752401</v>
      </c>
      <c r="T114" s="199">
        <v>0.26931892161824666</v>
      </c>
      <c r="U114" s="199">
        <v>0.50829187391551534</v>
      </c>
      <c r="V114" s="216" t="s">
        <v>672</v>
      </c>
      <c r="W114" s="200">
        <v>0.22364750142799203</v>
      </c>
      <c r="X114" s="201">
        <v>0.28178501158000402</v>
      </c>
      <c r="Y114" s="201">
        <v>0.56782688639667422</v>
      </c>
      <c r="Z114" s="217" t="s">
        <v>672</v>
      </c>
      <c r="AA114" s="198">
        <v>2.798200291611927E-2</v>
      </c>
      <c r="AB114" s="199">
        <v>5.2121815960280544E-2</v>
      </c>
      <c r="AC114" s="199">
        <v>0.55984503919474804</v>
      </c>
      <c r="AD114" s="216" t="s">
        <v>672</v>
      </c>
      <c r="AE114" s="202">
        <v>0.25882235502452622</v>
      </c>
      <c r="AF114" s="203">
        <v>0.31339296500741592</v>
      </c>
      <c r="AG114" s="203">
        <v>0.59260702686163302</v>
      </c>
      <c r="AH114" s="218" t="s">
        <v>672</v>
      </c>
    </row>
    <row r="115" spans="1:34" x14ac:dyDescent="0.15">
      <c r="A115" s="235" t="s">
        <v>714</v>
      </c>
      <c r="B115" s="177">
        <v>3.2282029668540768</v>
      </c>
      <c r="C115" s="178">
        <v>4.143957915208186</v>
      </c>
      <c r="D115" s="179">
        <v>4.3123985869879249</v>
      </c>
      <c r="E115" s="179">
        <v>4.6887945823562545</v>
      </c>
      <c r="F115" s="181">
        <v>1.2113095964691123E-2</v>
      </c>
      <c r="G115" s="182">
        <v>4.2551613434766837</v>
      </c>
      <c r="H115" s="183">
        <v>4.6191038531241766</v>
      </c>
      <c r="I115" s="183">
        <v>6.6651798561613811</v>
      </c>
      <c r="J115" s="185">
        <v>2.3661772116249313E-2</v>
      </c>
      <c r="K115" s="178">
        <v>4.768350666866124</v>
      </c>
      <c r="L115" s="179">
        <v>5.4343974705815778</v>
      </c>
      <c r="M115" s="179">
        <v>11.255652839711498</v>
      </c>
      <c r="N115" s="181">
        <v>4.1111136815017435E-2</v>
      </c>
      <c r="O115" s="182">
        <v>4.264145013663458</v>
      </c>
      <c r="P115" s="183">
        <v>4.8563117775350211</v>
      </c>
      <c r="Q115" s="183">
        <v>7.5834087783747002</v>
      </c>
      <c r="R115" s="185">
        <v>2.7932585375469943E-2</v>
      </c>
      <c r="S115" s="178">
        <v>4.2628322703077748</v>
      </c>
      <c r="T115" s="179">
        <v>4.8178774051977262</v>
      </c>
      <c r="U115" s="179">
        <v>7.0201903586937204</v>
      </c>
      <c r="V115" s="181">
        <v>2.5376797031778198E-2</v>
      </c>
      <c r="W115" s="182">
        <v>4.2536375436090266</v>
      </c>
      <c r="X115" s="183">
        <v>4.7409751933707183</v>
      </c>
      <c r="Y115" s="183">
        <v>6.4775737180484452</v>
      </c>
      <c r="Z115" s="185">
        <v>2.2719416140438931E-2</v>
      </c>
      <c r="AA115" s="178">
        <v>4.2551864501805667</v>
      </c>
      <c r="AB115" s="179">
        <v>4.5953435472941724</v>
      </c>
      <c r="AC115" s="179">
        <v>6.0439921316727689</v>
      </c>
      <c r="AD115" s="181">
        <v>2.0436313433908282E-2</v>
      </c>
      <c r="AE115" s="186">
        <v>4.2562948472341597</v>
      </c>
      <c r="AF115" s="187">
        <v>4.7272974475429832</v>
      </c>
      <c r="AG115" s="187">
        <v>6.9786834169094663</v>
      </c>
      <c r="AH115" s="189">
        <v>2.5180669230078001E-2</v>
      </c>
    </row>
    <row r="116" spans="1:34" x14ac:dyDescent="0.15">
      <c r="A116" s="131" t="s">
        <v>715</v>
      </c>
      <c r="B116" s="190">
        <v>3.1244999999999998</v>
      </c>
      <c r="C116" s="191">
        <v>4.1313480094816502</v>
      </c>
      <c r="D116" s="192">
        <v>4.2713480095463199</v>
      </c>
      <c r="E116" s="192">
        <v>4.4713479301451704</v>
      </c>
      <c r="F116" s="162">
        <v>1.1628890825043925E-2</v>
      </c>
      <c r="G116" s="193">
        <v>4.1313480094816502</v>
      </c>
      <c r="H116" s="194">
        <v>4.2713480095463199</v>
      </c>
      <c r="I116" s="194">
        <v>4.4713479301451704</v>
      </c>
      <c r="J116" s="165">
        <v>1.1628890825043925E-2</v>
      </c>
      <c r="K116" s="191">
        <v>4.1313480094816502</v>
      </c>
      <c r="L116" s="192">
        <v>4.2713480095463199</v>
      </c>
      <c r="M116" s="192">
        <v>4.4713479301451704</v>
      </c>
      <c r="N116" s="162">
        <v>1.1628890825043925E-2</v>
      </c>
      <c r="O116" s="193">
        <v>4.1313480094816502</v>
      </c>
      <c r="P116" s="194">
        <v>4.2713480095463199</v>
      </c>
      <c r="Q116" s="194">
        <v>4.4713479301451704</v>
      </c>
      <c r="R116" s="165">
        <v>1.1628890825043925E-2</v>
      </c>
      <c r="S116" s="191">
        <v>4.1313480094816502</v>
      </c>
      <c r="T116" s="192">
        <v>4.2713480095463199</v>
      </c>
      <c r="U116" s="192">
        <v>4.4713479301451704</v>
      </c>
      <c r="V116" s="162">
        <v>1.1628890825043925E-2</v>
      </c>
      <c r="W116" s="193">
        <v>4.1313480094816502</v>
      </c>
      <c r="X116" s="194">
        <v>4.2713480095463199</v>
      </c>
      <c r="Y116" s="194">
        <v>4.4713479301451704</v>
      </c>
      <c r="Z116" s="165">
        <v>1.1628890825043925E-2</v>
      </c>
      <c r="AA116" s="191">
        <v>4.1313480094816502</v>
      </c>
      <c r="AB116" s="192">
        <v>4.2713480095463199</v>
      </c>
      <c r="AC116" s="192">
        <v>4.4713479301451704</v>
      </c>
      <c r="AD116" s="162">
        <v>1.1628890825043925E-2</v>
      </c>
      <c r="AE116" s="195">
        <v>4.1313480094816502</v>
      </c>
      <c r="AF116" s="196">
        <v>4.2713480095463199</v>
      </c>
      <c r="AG116" s="196">
        <v>4.4713479301451704</v>
      </c>
      <c r="AH116" s="168">
        <v>1.1628890825043925E-2</v>
      </c>
    </row>
    <row r="117" spans="1:34" x14ac:dyDescent="0.15">
      <c r="A117" s="134" t="s">
        <v>716</v>
      </c>
      <c r="B117" s="197">
        <v>0.10370296685407693</v>
      </c>
      <c r="C117" s="198">
        <v>1.2609905726536129E-2</v>
      </c>
      <c r="D117" s="199">
        <v>4.105057744160466E-2</v>
      </c>
      <c r="E117" s="199">
        <v>0.21744665221108431</v>
      </c>
      <c r="F117" s="216">
        <v>2.4172128825265649E-2</v>
      </c>
      <c r="G117" s="200">
        <v>0.12381333399503353</v>
      </c>
      <c r="H117" s="201">
        <v>0.34775584357785627</v>
      </c>
      <c r="I117" s="201">
        <v>2.1938319260162107</v>
      </c>
      <c r="J117" s="217">
        <v>0.10343207062993054</v>
      </c>
      <c r="K117" s="198">
        <v>0.63700265738447415</v>
      </c>
      <c r="L117" s="199">
        <v>1.1630494610352584</v>
      </c>
      <c r="M117" s="199">
        <v>6.7843049095663268</v>
      </c>
      <c r="N117" s="216">
        <v>0.1443576997068825</v>
      </c>
      <c r="O117" s="200">
        <v>0.13279700418180743</v>
      </c>
      <c r="P117" s="201">
        <v>0.58496376798870131</v>
      </c>
      <c r="Q117" s="201">
        <v>3.1120608482295302</v>
      </c>
      <c r="R117" s="217">
        <v>0.11594764324454143</v>
      </c>
      <c r="S117" s="198">
        <v>0.13148426082612474</v>
      </c>
      <c r="T117" s="199">
        <v>0.54652939565140668</v>
      </c>
      <c r="U117" s="199">
        <v>2.54884242854855</v>
      </c>
      <c r="V117" s="216">
        <v>0.10878382268512299</v>
      </c>
      <c r="W117" s="200">
        <v>0.12228953412737678</v>
      </c>
      <c r="X117" s="201">
        <v>0.46962718382439861</v>
      </c>
      <c r="Y117" s="201">
        <v>2.0062257879032752</v>
      </c>
      <c r="Z117" s="217">
        <v>0.10025469370872653</v>
      </c>
      <c r="AA117" s="198">
        <v>0.12383844069891692</v>
      </c>
      <c r="AB117" s="199">
        <v>0.32399553774785256</v>
      </c>
      <c r="AC117" s="199">
        <v>1.5726442015275983</v>
      </c>
      <c r="AD117" s="216">
        <v>9.1646335440485505E-2</v>
      </c>
      <c r="AE117" s="202">
        <v>0.12494683775250938</v>
      </c>
      <c r="AF117" s="203">
        <v>0.45594943799666371</v>
      </c>
      <c r="AG117" s="203">
        <v>2.5073354867642959</v>
      </c>
      <c r="AH117" s="218">
        <v>0.10820425748705942</v>
      </c>
    </row>
    <row r="118" spans="1:34" hidden="1" x14ac:dyDescent="0.15">
      <c r="A118" s="235" t="s">
        <v>717</v>
      </c>
      <c r="B118" s="236">
        <v>23.57</v>
      </c>
      <c r="C118" s="237">
        <v>24.350481053801179</v>
      </c>
      <c r="D118" s="180">
        <v>25.584352299703024</v>
      </c>
      <c r="E118" s="180">
        <v>27.167467534107001</v>
      </c>
      <c r="F118" s="181">
        <v>4.5926266399849425E-3</v>
      </c>
      <c r="G118" s="238">
        <v>23.748955673773523</v>
      </c>
      <c r="H118" s="184">
        <v>25.275771574168967</v>
      </c>
      <c r="I118" s="184">
        <v>27.183951420505565</v>
      </c>
      <c r="J118" s="185">
        <v>6.627974296623762E-3</v>
      </c>
      <c r="K118" s="237">
        <v>23.75244835798901</v>
      </c>
      <c r="L118" s="180">
        <v>24.775597333653071</v>
      </c>
      <c r="M118" s="180">
        <v>28.579315088331754</v>
      </c>
      <c r="N118" s="181">
        <v>8.2547131924970429E-3</v>
      </c>
      <c r="O118" s="238">
        <v>24.179705907257752</v>
      </c>
      <c r="P118" s="184">
        <v>25.416396428158972</v>
      </c>
      <c r="Q118" s="184">
        <v>38.410764199384062</v>
      </c>
      <c r="R118" s="185">
        <v>1.7916684363324054E-2</v>
      </c>
      <c r="S118" s="237">
        <v>24.17969513323396</v>
      </c>
      <c r="T118" s="180">
        <v>26.080251330132079</v>
      </c>
      <c r="U118" s="180">
        <v>28.025043534169299</v>
      </c>
      <c r="V118" s="181">
        <v>7.6179352928638089E-3</v>
      </c>
      <c r="W118" s="238">
        <v>24.172860295453361</v>
      </c>
      <c r="X118" s="184">
        <v>25.743650625148973</v>
      </c>
      <c r="Y118" s="184">
        <v>28.137020548943248</v>
      </c>
      <c r="Z118" s="185">
        <v>7.74755723489573E-3</v>
      </c>
      <c r="AA118" s="237">
        <v>24.172860295453361</v>
      </c>
      <c r="AB118" s="180">
        <v>25.743650625148973</v>
      </c>
      <c r="AC118" s="180">
        <v>28.137020548943248</v>
      </c>
      <c r="AD118" s="181">
        <v>7.74755723489573E-3</v>
      </c>
      <c r="AE118" s="239">
        <v>23.748955673773523</v>
      </c>
      <c r="AF118" s="188">
        <v>25.275771574168967</v>
      </c>
      <c r="AG118" s="188">
        <v>27.183951420505565</v>
      </c>
      <c r="AH118" s="189">
        <v>6.627974296623762E-3</v>
      </c>
    </row>
    <row r="119" spans="1:34" hidden="1" x14ac:dyDescent="0.15">
      <c r="A119" s="131" t="s">
        <v>698</v>
      </c>
      <c r="B119" s="190">
        <v>0.139264</v>
      </c>
      <c r="C119" s="191">
        <v>0</v>
      </c>
      <c r="D119" s="192">
        <v>0</v>
      </c>
      <c r="E119" s="192">
        <v>0</v>
      </c>
      <c r="F119" s="162">
        <v>-1</v>
      </c>
      <c r="G119" s="193">
        <v>6.0564768463203974E-6</v>
      </c>
      <c r="H119" s="194">
        <v>5.4172848713487629E-6</v>
      </c>
      <c r="I119" s="194">
        <v>0</v>
      </c>
      <c r="J119" s="165">
        <v>-1</v>
      </c>
      <c r="K119" s="191">
        <v>5.7435921564361454E-2</v>
      </c>
      <c r="L119" s="192">
        <v>1.9878202345743886E-2</v>
      </c>
      <c r="M119" s="192">
        <v>2.5787791411682086E-4</v>
      </c>
      <c r="N119" s="162">
        <v>-0.18368595791919307</v>
      </c>
      <c r="O119" s="193">
        <v>0</v>
      </c>
      <c r="P119" s="194">
        <v>0</v>
      </c>
      <c r="Q119" s="194">
        <v>0</v>
      </c>
      <c r="R119" s="165">
        <v>-1</v>
      </c>
      <c r="S119" s="191">
        <v>0</v>
      </c>
      <c r="T119" s="192">
        <v>0</v>
      </c>
      <c r="U119" s="192">
        <v>0</v>
      </c>
      <c r="V119" s="162">
        <v>-1</v>
      </c>
      <c r="W119" s="193">
        <v>0</v>
      </c>
      <c r="X119" s="194">
        <v>0</v>
      </c>
      <c r="Y119" s="194">
        <v>0</v>
      </c>
      <c r="Z119" s="165">
        <v>-1</v>
      </c>
      <c r="AA119" s="191">
        <v>2.2852695212513646E-5</v>
      </c>
      <c r="AB119" s="192">
        <v>2.8908835923601642E-5</v>
      </c>
      <c r="AC119" s="192">
        <v>9.9450802515028567E-6</v>
      </c>
      <c r="AD119" s="162">
        <v>-0.26506212945332919</v>
      </c>
      <c r="AE119" s="195">
        <v>3.1940788343779602E-6</v>
      </c>
      <c r="AF119" s="196">
        <v>4.2201645497581969E-6</v>
      </c>
      <c r="AG119" s="196">
        <v>0</v>
      </c>
      <c r="AH119" s="168">
        <v>-1</v>
      </c>
    </row>
    <row r="120" spans="1:34" ht="12" hidden="1" x14ac:dyDescent="0.15">
      <c r="A120" s="131" t="s">
        <v>691</v>
      </c>
      <c r="B120" s="190">
        <v>5.1081760000000003</v>
      </c>
      <c r="C120" s="191">
        <v>8.4077137859059583</v>
      </c>
      <c r="D120" s="192">
        <v>9.4984267250997192</v>
      </c>
      <c r="E120" s="192">
        <v>10.973149015549577</v>
      </c>
      <c r="F120" s="162">
        <v>2.4971495691379353E-2</v>
      </c>
      <c r="G120" s="193">
        <v>0.38566758412476337</v>
      </c>
      <c r="H120" s="194">
        <v>0.20945811098019007</v>
      </c>
      <c r="I120" s="194">
        <v>4.8643853272043458E-2</v>
      </c>
      <c r="J120" s="165">
        <v>-0.13031532524565703</v>
      </c>
      <c r="K120" s="191">
        <v>6.5785359962510848</v>
      </c>
      <c r="L120" s="192">
        <v>6.8385755445346099</v>
      </c>
      <c r="M120" s="192">
        <v>0.43036767838392997</v>
      </c>
      <c r="N120" s="162">
        <v>-6.6951692655369155E-2</v>
      </c>
      <c r="O120" s="193">
        <v>0.35912125018728602</v>
      </c>
      <c r="P120" s="194">
        <v>0.44810686918745191</v>
      </c>
      <c r="Q120" s="194">
        <v>3.0801583069078475</v>
      </c>
      <c r="R120" s="165">
        <v>-5.7944705623212966E-3</v>
      </c>
      <c r="S120" s="191">
        <v>0.88823908414302721</v>
      </c>
      <c r="T120" s="192">
        <v>2.4571496826846264</v>
      </c>
      <c r="U120" s="192">
        <v>2.3524921150927263</v>
      </c>
      <c r="V120" s="162">
        <v>-1.4400366066121384E-2</v>
      </c>
      <c r="W120" s="193">
        <v>0.84137073543568519</v>
      </c>
      <c r="X120" s="194">
        <v>1.9741159222014488</v>
      </c>
      <c r="Y120" s="194">
        <v>1.862242350216043</v>
      </c>
      <c r="Z120" s="165">
        <v>-2.1802386914496208E-2</v>
      </c>
      <c r="AA120" s="191">
        <v>0.84134788274047267</v>
      </c>
      <c r="AB120" s="192">
        <v>1.9740870133655253</v>
      </c>
      <c r="AC120" s="192">
        <v>1.8622324051357915</v>
      </c>
      <c r="AD120" s="162">
        <v>-2.1802555429323744E-2</v>
      </c>
      <c r="AE120" s="195">
        <v>0.38567044652277532</v>
      </c>
      <c r="AF120" s="196">
        <v>0.20945930810051167</v>
      </c>
      <c r="AG120" s="196">
        <v>4.8643853272043458E-2</v>
      </c>
      <c r="AH120" s="168">
        <v>-0.13031532524565703</v>
      </c>
    </row>
    <row r="121" spans="1:34" hidden="1" x14ac:dyDescent="0.15">
      <c r="A121" s="131" t="s">
        <v>718</v>
      </c>
      <c r="B121" s="190">
        <v>1.42</v>
      </c>
      <c r="C121" s="191">
        <v>1.0419308174244757</v>
      </c>
      <c r="D121" s="192">
        <v>0</v>
      </c>
      <c r="E121" s="192">
        <v>0</v>
      </c>
      <c r="F121" s="162">
        <v>-1</v>
      </c>
      <c r="G121" s="193">
        <v>1.041928545588132</v>
      </c>
      <c r="H121" s="194">
        <v>0</v>
      </c>
      <c r="I121" s="194">
        <v>0</v>
      </c>
      <c r="J121" s="165">
        <v>-1</v>
      </c>
      <c r="K121" s="191">
        <v>1.0085834857337166</v>
      </c>
      <c r="L121" s="192">
        <v>0</v>
      </c>
      <c r="M121" s="192">
        <v>0</v>
      </c>
      <c r="N121" s="162">
        <v>-1</v>
      </c>
      <c r="O121" s="193">
        <v>0.96899695138670894</v>
      </c>
      <c r="P121" s="194">
        <v>0</v>
      </c>
      <c r="Q121" s="194">
        <v>0</v>
      </c>
      <c r="R121" s="165">
        <v>-1</v>
      </c>
      <c r="S121" s="191">
        <v>1.0419321928084662</v>
      </c>
      <c r="T121" s="192">
        <v>0</v>
      </c>
      <c r="U121" s="192">
        <v>0</v>
      </c>
      <c r="V121" s="162">
        <v>-1</v>
      </c>
      <c r="W121" s="193">
        <v>1.0419321858827686</v>
      </c>
      <c r="X121" s="194">
        <v>0</v>
      </c>
      <c r="Y121" s="194">
        <v>0</v>
      </c>
      <c r="Z121" s="165">
        <v>-1</v>
      </c>
      <c r="AA121" s="191">
        <v>1.0419321858827686</v>
      </c>
      <c r="AB121" s="192">
        <v>0</v>
      </c>
      <c r="AC121" s="192">
        <v>0</v>
      </c>
      <c r="AD121" s="162">
        <v>-1</v>
      </c>
      <c r="AE121" s="195">
        <v>1.041928545588132</v>
      </c>
      <c r="AF121" s="196">
        <v>0</v>
      </c>
      <c r="AG121" s="196">
        <v>0</v>
      </c>
      <c r="AH121" s="168">
        <v>-1</v>
      </c>
    </row>
    <row r="122" spans="1:34" hidden="1" x14ac:dyDescent="0.15">
      <c r="A122" s="131" t="s">
        <v>669</v>
      </c>
      <c r="B122" s="190">
        <v>2.556</v>
      </c>
      <c r="C122" s="191">
        <v>2.5284291694822203</v>
      </c>
      <c r="D122" s="192">
        <v>2.5282467597532268</v>
      </c>
      <c r="E122" s="192">
        <v>2.5282486390882757</v>
      </c>
      <c r="F122" s="162">
        <v>-3.5208996943147941E-4</v>
      </c>
      <c r="G122" s="193">
        <v>5.2925850113817354</v>
      </c>
      <c r="H122" s="194">
        <v>6.6784499757465774</v>
      </c>
      <c r="I122" s="194">
        <v>4.1380066588502915</v>
      </c>
      <c r="J122" s="165">
        <v>1.5662377961061624E-2</v>
      </c>
      <c r="K122" s="191">
        <v>4.6922656234858966</v>
      </c>
      <c r="L122" s="192">
        <v>3.8359393388185339</v>
      </c>
      <c r="M122" s="192">
        <v>3.0778943567024037</v>
      </c>
      <c r="N122" s="162">
        <v>6.0116162598049527E-3</v>
      </c>
      <c r="O122" s="193">
        <v>5.6671160997702632</v>
      </c>
      <c r="P122" s="194">
        <v>4.5652427726189364</v>
      </c>
      <c r="Q122" s="194">
        <v>4.7066088201178333</v>
      </c>
      <c r="R122" s="165">
        <v>1.9889539003784762E-2</v>
      </c>
      <c r="S122" s="191">
        <v>5.1028026512882336</v>
      </c>
      <c r="T122" s="192">
        <v>7.5256264748045778</v>
      </c>
      <c r="U122" s="192">
        <v>4.1103645092990426</v>
      </c>
      <c r="V122" s="162">
        <v>1.5442806464597059E-2</v>
      </c>
      <c r="W122" s="193">
        <v>5.5034872866709144</v>
      </c>
      <c r="X122" s="194">
        <v>7.1164009962301904</v>
      </c>
      <c r="Y122" s="194">
        <v>4.0646488185601974</v>
      </c>
      <c r="Z122" s="165">
        <v>1.5076515022816706E-2</v>
      </c>
      <c r="AA122" s="191">
        <v>5.5034872866709144</v>
      </c>
      <c r="AB122" s="192">
        <v>7.1164009962301904</v>
      </c>
      <c r="AC122" s="192">
        <v>4.0646488185601974</v>
      </c>
      <c r="AD122" s="162">
        <v>1.5076515022816706E-2</v>
      </c>
      <c r="AE122" s="195">
        <v>5.2925850113817354</v>
      </c>
      <c r="AF122" s="196">
        <v>6.6784499757465774</v>
      </c>
      <c r="AG122" s="196">
        <v>4.1380066588502915</v>
      </c>
      <c r="AH122" s="168">
        <v>1.5662377961061624E-2</v>
      </c>
    </row>
    <row r="123" spans="1:34" hidden="1" x14ac:dyDescent="0.15">
      <c r="A123" s="131" t="s">
        <v>719</v>
      </c>
      <c r="B123" s="190">
        <v>14.318</v>
      </c>
      <c r="C123" s="191">
        <v>11.878989826393726</v>
      </c>
      <c r="D123" s="192">
        <v>12.541386927395335</v>
      </c>
      <c r="E123" s="192">
        <v>13.157753375024322</v>
      </c>
      <c r="F123" s="162">
        <v>0</v>
      </c>
      <c r="G123" s="193">
        <v>11.878816043501953</v>
      </c>
      <c r="H123" s="194">
        <v>12.200124394857037</v>
      </c>
      <c r="I123" s="194">
        <v>10.986184882880551</v>
      </c>
      <c r="J123" s="165">
        <v>0</v>
      </c>
      <c r="K123" s="191">
        <v>11.129971866178042</v>
      </c>
      <c r="L123" s="192">
        <v>11.339082038692057</v>
      </c>
      <c r="M123" s="192">
        <v>10.03219883214939</v>
      </c>
      <c r="N123" s="162">
        <v>0</v>
      </c>
      <c r="O123" s="193">
        <v>12.211198500129012</v>
      </c>
      <c r="P123" s="194">
        <v>12.44962011090888</v>
      </c>
      <c r="Q123" s="194">
        <v>10.973721940427168</v>
      </c>
      <c r="R123" s="165">
        <v>0</v>
      </c>
      <c r="S123" s="191">
        <v>11.878760580642666</v>
      </c>
      <c r="T123" s="192">
        <v>12.225906772700979</v>
      </c>
      <c r="U123" s="192">
        <v>10.973722166119439</v>
      </c>
      <c r="V123" s="162">
        <v>0</v>
      </c>
      <c r="W123" s="193">
        <v>11.880022906663955</v>
      </c>
      <c r="X123" s="194">
        <v>12.210260983421357</v>
      </c>
      <c r="Y123" s="194">
        <v>10.973722751389143</v>
      </c>
      <c r="Z123" s="165">
        <v>0</v>
      </c>
      <c r="AA123" s="191">
        <v>11.880022906663955</v>
      </c>
      <c r="AB123" s="192">
        <v>12.210260983421357</v>
      </c>
      <c r="AC123" s="192">
        <v>10.973722751389143</v>
      </c>
      <c r="AD123" s="162">
        <v>0</v>
      </c>
      <c r="AE123" s="195">
        <v>11.878816043501953</v>
      </c>
      <c r="AF123" s="196">
        <v>12.200124394857037</v>
      </c>
      <c r="AG123" s="196">
        <v>10.986184882880551</v>
      </c>
      <c r="AH123" s="168">
        <v>0</v>
      </c>
    </row>
    <row r="124" spans="1:34" hidden="1" x14ac:dyDescent="0.15">
      <c r="A124" s="131" t="s">
        <v>692</v>
      </c>
      <c r="B124" s="190">
        <v>0</v>
      </c>
      <c r="C124" s="191">
        <v>0.49341641985472268</v>
      </c>
      <c r="D124" s="192">
        <v>1.0162870263928956</v>
      </c>
      <c r="E124" s="192">
        <v>0.50830978152794182</v>
      </c>
      <c r="F124" s="162" t="s">
        <v>672</v>
      </c>
      <c r="G124" s="193">
        <v>2.3045922804625909</v>
      </c>
      <c r="H124" s="194">
        <v>2.4376525902707127</v>
      </c>
      <c r="I124" s="194">
        <v>3.6313568233836677</v>
      </c>
      <c r="J124" s="165" t="s">
        <v>672</v>
      </c>
      <c r="K124" s="191">
        <v>0.2350504531106879</v>
      </c>
      <c r="L124" s="192">
        <v>1.2004896237379701</v>
      </c>
      <c r="M124" s="192">
        <v>8.7647270068475132E-4</v>
      </c>
      <c r="N124" s="162" t="s">
        <v>672</v>
      </c>
      <c r="O124" s="193">
        <v>1.4210239414907622</v>
      </c>
      <c r="P124" s="194">
        <v>2.8124397479917587</v>
      </c>
      <c r="Q124" s="194">
        <v>6.386022119396483E-3</v>
      </c>
      <c r="R124" s="165" t="s">
        <v>672</v>
      </c>
      <c r="S124" s="191">
        <v>1.4189641422461228</v>
      </c>
      <c r="T124" s="192">
        <v>2.2571699852163576E-2</v>
      </c>
      <c r="U124" s="192">
        <v>6.4278415821537891</v>
      </c>
      <c r="V124" s="162" t="s">
        <v>672</v>
      </c>
      <c r="W124" s="193">
        <v>0.74611765959479459</v>
      </c>
      <c r="X124" s="194">
        <v>0.19020240567962032</v>
      </c>
      <c r="Y124" s="194">
        <v>6.4423085182774678</v>
      </c>
      <c r="Z124" s="165" t="s">
        <v>672</v>
      </c>
      <c r="AA124" s="191">
        <v>0.74611765959479459</v>
      </c>
      <c r="AB124" s="192">
        <v>0.19020240567962032</v>
      </c>
      <c r="AC124" s="192">
        <v>6.4423085182774678</v>
      </c>
      <c r="AD124" s="162" t="s">
        <v>672</v>
      </c>
      <c r="AE124" s="195">
        <v>2.3045922804625909</v>
      </c>
      <c r="AF124" s="196">
        <v>2.4376525902707127</v>
      </c>
      <c r="AG124" s="196">
        <v>3.6313568233836677</v>
      </c>
      <c r="AH124" s="168" t="s">
        <v>672</v>
      </c>
    </row>
    <row r="125" spans="1:34" hidden="1" x14ac:dyDescent="0.15">
      <c r="A125" s="131" t="s">
        <v>699</v>
      </c>
      <c r="B125" s="190">
        <v>0</v>
      </c>
      <c r="C125" s="191">
        <v>0</v>
      </c>
      <c r="D125" s="192">
        <v>0</v>
      </c>
      <c r="E125" s="192">
        <v>0</v>
      </c>
      <c r="F125" s="162" t="s">
        <v>672</v>
      </c>
      <c r="G125" s="193">
        <v>0.76027266307415231</v>
      </c>
      <c r="H125" s="194">
        <v>1.6619332772512163</v>
      </c>
      <c r="I125" s="194">
        <v>2.6805144549388373</v>
      </c>
      <c r="J125" s="165" t="s">
        <v>672</v>
      </c>
      <c r="K125" s="191">
        <v>7.0259484825965399E-4</v>
      </c>
      <c r="L125" s="192">
        <v>1.2888882658813039</v>
      </c>
      <c r="M125" s="192">
        <v>1.2891321315387543</v>
      </c>
      <c r="N125" s="162" t="s">
        <v>672</v>
      </c>
      <c r="O125" s="193">
        <v>3.5522491642937188</v>
      </c>
      <c r="P125" s="194">
        <v>3.5522491646455734</v>
      </c>
      <c r="Q125" s="194">
        <v>6.4017043048807611</v>
      </c>
      <c r="R125" s="165" t="s">
        <v>672</v>
      </c>
      <c r="S125" s="191">
        <v>2.4562369057470281</v>
      </c>
      <c r="T125" s="192">
        <v>2.4562369057866063</v>
      </c>
      <c r="U125" s="192">
        <v>2.45623690581556</v>
      </c>
      <c r="V125" s="162" t="s">
        <v>672</v>
      </c>
      <c r="W125" s="193">
        <v>0</v>
      </c>
      <c r="X125" s="194">
        <v>0</v>
      </c>
      <c r="Y125" s="194">
        <v>0</v>
      </c>
      <c r="Z125" s="165" t="s">
        <v>672</v>
      </c>
      <c r="AA125" s="191">
        <v>0</v>
      </c>
      <c r="AB125" s="192">
        <v>0</v>
      </c>
      <c r="AC125" s="192">
        <v>0</v>
      </c>
      <c r="AD125" s="162" t="s">
        <v>672</v>
      </c>
      <c r="AE125" s="195">
        <v>0.76027266307415231</v>
      </c>
      <c r="AF125" s="196">
        <v>1.6619332772512163</v>
      </c>
      <c r="AG125" s="196">
        <v>2.6805144549388373</v>
      </c>
      <c r="AH125" s="168" t="s">
        <v>672</v>
      </c>
    </row>
    <row r="126" spans="1:34" hidden="1" x14ac:dyDescent="0.15">
      <c r="A126" s="131" t="s">
        <v>676</v>
      </c>
      <c r="B126" s="190">
        <v>0</v>
      </c>
      <c r="C126" s="191">
        <v>0</v>
      </c>
      <c r="D126" s="192">
        <v>0</v>
      </c>
      <c r="E126" s="192">
        <v>0</v>
      </c>
      <c r="F126" s="162" t="s">
        <v>672</v>
      </c>
      <c r="G126" s="193">
        <v>0</v>
      </c>
      <c r="H126" s="194">
        <v>1.0594350162314796E-5</v>
      </c>
      <c r="I126" s="194">
        <v>2.2889841880452395</v>
      </c>
      <c r="J126" s="165" t="s">
        <v>672</v>
      </c>
      <c r="K126" s="191">
        <v>0</v>
      </c>
      <c r="L126" s="192">
        <v>0</v>
      </c>
      <c r="M126" s="192">
        <v>0</v>
      </c>
      <c r="N126" s="162" t="s">
        <v>672</v>
      </c>
      <c r="O126" s="193">
        <v>0</v>
      </c>
      <c r="P126" s="194">
        <v>1.2566466639216323</v>
      </c>
      <c r="Q126" s="194">
        <v>13.242184794707113</v>
      </c>
      <c r="R126" s="165" t="s">
        <v>672</v>
      </c>
      <c r="S126" s="191">
        <v>0</v>
      </c>
      <c r="T126" s="192">
        <v>0</v>
      </c>
      <c r="U126" s="192">
        <v>0</v>
      </c>
      <c r="V126" s="162" t="s">
        <v>672</v>
      </c>
      <c r="W126" s="193">
        <v>0</v>
      </c>
      <c r="X126" s="194">
        <v>0</v>
      </c>
      <c r="Y126" s="194">
        <v>0</v>
      </c>
      <c r="Z126" s="165" t="s">
        <v>672</v>
      </c>
      <c r="AA126" s="191">
        <v>0</v>
      </c>
      <c r="AB126" s="192">
        <v>0</v>
      </c>
      <c r="AC126" s="192">
        <v>0</v>
      </c>
      <c r="AD126" s="162" t="s">
        <v>672</v>
      </c>
      <c r="AE126" s="195">
        <v>0</v>
      </c>
      <c r="AF126" s="196">
        <v>1.0594350162314796E-5</v>
      </c>
      <c r="AG126" s="196">
        <v>2.2889841880452395</v>
      </c>
      <c r="AH126" s="168" t="s">
        <v>672</v>
      </c>
    </row>
    <row r="127" spans="1:34" hidden="1" x14ac:dyDescent="0.15">
      <c r="A127" s="131" t="s">
        <v>684</v>
      </c>
      <c r="B127" s="190">
        <v>0</v>
      </c>
      <c r="C127" s="191">
        <v>1.5595188565649703E-9</v>
      </c>
      <c r="D127" s="192">
        <v>3.8286209816186304E-6</v>
      </c>
      <c r="E127" s="192">
        <v>5.6787005941623446E-6</v>
      </c>
      <c r="F127" s="162" t="s">
        <v>672</v>
      </c>
      <c r="G127" s="193">
        <v>1.0343598721733581E-6</v>
      </c>
      <c r="H127" s="194">
        <v>3.0420360452873222E-3</v>
      </c>
      <c r="I127" s="194">
        <v>1.3251667838129999</v>
      </c>
      <c r="J127" s="165" t="s">
        <v>672</v>
      </c>
      <c r="K127" s="191">
        <v>0</v>
      </c>
      <c r="L127" s="192">
        <v>7.7257748960662884E-3</v>
      </c>
      <c r="M127" s="192">
        <v>3.0001836466917947E-3</v>
      </c>
      <c r="N127" s="162" t="s">
        <v>672</v>
      </c>
      <c r="O127" s="193">
        <v>0</v>
      </c>
      <c r="P127" s="194">
        <v>0.33209109888473937</v>
      </c>
      <c r="Q127" s="194">
        <v>1.0223942105758099E-8</v>
      </c>
      <c r="R127" s="165" t="s">
        <v>672</v>
      </c>
      <c r="S127" s="191">
        <v>0</v>
      </c>
      <c r="T127" s="192">
        <v>2.1189418767346652E-7</v>
      </c>
      <c r="U127" s="192">
        <v>0.31162667479748157</v>
      </c>
      <c r="V127" s="162" t="s">
        <v>672</v>
      </c>
      <c r="W127" s="193">
        <v>0</v>
      </c>
      <c r="X127" s="194">
        <v>9.2740740639935648E-2</v>
      </c>
      <c r="Y127" s="194">
        <v>0.634168546917945</v>
      </c>
      <c r="Z127" s="165" t="s">
        <v>672</v>
      </c>
      <c r="AA127" s="191">
        <v>0</v>
      </c>
      <c r="AB127" s="192">
        <v>9.2740740639935648E-2</v>
      </c>
      <c r="AC127" s="192">
        <v>0.634168546917945</v>
      </c>
      <c r="AD127" s="162" t="s">
        <v>672</v>
      </c>
      <c r="AE127" s="195">
        <v>1.0343598721733581E-6</v>
      </c>
      <c r="AF127" s="196">
        <v>3.0420360452873222E-3</v>
      </c>
      <c r="AG127" s="196">
        <v>1.3251667838129999</v>
      </c>
      <c r="AH127" s="168" t="s">
        <v>672</v>
      </c>
    </row>
    <row r="128" spans="1:34" hidden="1" x14ac:dyDescent="0.15">
      <c r="A128" s="134" t="s">
        <v>700</v>
      </c>
      <c r="B128" s="197">
        <v>2.8559999999999995E-2</v>
      </c>
      <c r="C128" s="198">
        <v>1.0331805583549658E-6</v>
      </c>
      <c r="D128" s="199">
        <v>1.0324408662403131E-6</v>
      </c>
      <c r="E128" s="199">
        <v>1.0442162916931154E-6</v>
      </c>
      <c r="F128" s="216">
        <v>-0.28076302061419256</v>
      </c>
      <c r="G128" s="200">
        <v>2.085086454803482</v>
      </c>
      <c r="H128" s="201">
        <v>2.0850951773829149</v>
      </c>
      <c r="I128" s="201">
        <v>2.0850937753219343</v>
      </c>
      <c r="J128" s="217">
        <v>0.14844083281828846</v>
      </c>
      <c r="K128" s="198">
        <v>4.9902416816957944E-2</v>
      </c>
      <c r="L128" s="199">
        <v>0.24501854474678517</v>
      </c>
      <c r="M128" s="199">
        <v>13.745587555295783</v>
      </c>
      <c r="N128" s="216">
        <v>0.22047586869664704</v>
      </c>
      <c r="O128" s="200">
        <v>0</v>
      </c>
      <c r="P128" s="201">
        <v>0</v>
      </c>
      <c r="Q128" s="201">
        <v>0</v>
      </c>
      <c r="R128" s="217">
        <v>-1</v>
      </c>
      <c r="S128" s="198">
        <v>1.3927595763584177</v>
      </c>
      <c r="T128" s="199">
        <v>1.3927595824089327</v>
      </c>
      <c r="U128" s="199">
        <v>1.3927595808912669</v>
      </c>
      <c r="V128" s="216">
        <v>0.13358846437320038</v>
      </c>
      <c r="W128" s="200">
        <v>4.1599295212052434</v>
      </c>
      <c r="X128" s="201">
        <v>4.1599295769764204</v>
      </c>
      <c r="Y128" s="201">
        <v>4.15992956358245</v>
      </c>
      <c r="Z128" s="217">
        <v>0.17431542876515405</v>
      </c>
      <c r="AA128" s="198">
        <v>4.1599295212052434</v>
      </c>
      <c r="AB128" s="199">
        <v>4.1599295769764204</v>
      </c>
      <c r="AC128" s="199">
        <v>4.15992956358245</v>
      </c>
      <c r="AD128" s="216">
        <v>0.17431542876515405</v>
      </c>
      <c r="AE128" s="202">
        <v>2.085086454803482</v>
      </c>
      <c r="AF128" s="203">
        <v>2.0850951773829149</v>
      </c>
      <c r="AG128" s="203">
        <v>2.0850937753219343</v>
      </c>
      <c r="AH128" s="218">
        <v>0.14844083281828846</v>
      </c>
    </row>
    <row r="129" spans="1:34" hidden="1" x14ac:dyDescent="0.15">
      <c r="A129" s="235" t="s">
        <v>720</v>
      </c>
      <c r="B129" s="236">
        <v>0</v>
      </c>
      <c r="C129" s="237">
        <v>7.7228163917941219E-5</v>
      </c>
      <c r="D129" s="180">
        <v>2.2023697874476667E-4</v>
      </c>
      <c r="E129" s="180">
        <v>2.2144212611569574E-4</v>
      </c>
      <c r="F129" s="181" t="s">
        <v>672</v>
      </c>
      <c r="G129" s="238">
        <v>9.5599149276143471</v>
      </c>
      <c r="H129" s="184">
        <v>15.672178437920154</v>
      </c>
      <c r="I129" s="184">
        <v>41.111974721012473</v>
      </c>
      <c r="J129" s="185" t="s">
        <v>672</v>
      </c>
      <c r="K129" s="237">
        <v>0.44255587960575016</v>
      </c>
      <c r="L129" s="180">
        <v>0.91109031316515288</v>
      </c>
      <c r="M129" s="180">
        <v>12.100376808392424</v>
      </c>
      <c r="N129" s="181" t="s">
        <v>672</v>
      </c>
      <c r="O129" s="238">
        <v>11.925104126374851</v>
      </c>
      <c r="P129" s="184">
        <v>34.529390840155173</v>
      </c>
      <c r="Q129" s="184">
        <v>102.67943008738631</v>
      </c>
      <c r="R129" s="185" t="s">
        <v>672</v>
      </c>
      <c r="S129" s="237">
        <v>9.6959530796279765</v>
      </c>
      <c r="T129" s="180">
        <v>16.924272266169957</v>
      </c>
      <c r="U129" s="180">
        <v>47.76116044649946</v>
      </c>
      <c r="V129" s="181" t="s">
        <v>672</v>
      </c>
      <c r="W129" s="238">
        <v>9.5779028601418954</v>
      </c>
      <c r="X129" s="184">
        <v>13.680346240786296</v>
      </c>
      <c r="Y129" s="184">
        <v>38.917426031906466</v>
      </c>
      <c r="Z129" s="185" t="s">
        <v>672</v>
      </c>
      <c r="AA129" s="237">
        <v>1.0634887841662357</v>
      </c>
      <c r="AB129" s="180">
        <v>4.0974234346083502</v>
      </c>
      <c r="AC129" s="180">
        <v>34.404995109010336</v>
      </c>
      <c r="AD129" s="181" t="s">
        <v>672</v>
      </c>
      <c r="AE129" s="239">
        <v>9.5242944130158289</v>
      </c>
      <c r="AF129" s="188">
        <v>16.247380281046514</v>
      </c>
      <c r="AG129" s="188">
        <v>46.180162845209374</v>
      </c>
      <c r="AH129" s="189" t="s">
        <v>672</v>
      </c>
    </row>
    <row r="130" spans="1:34" ht="12" hidden="1" x14ac:dyDescent="0.15">
      <c r="A130" s="131" t="s">
        <v>691</v>
      </c>
      <c r="B130" s="190">
        <v>0</v>
      </c>
      <c r="C130" s="191">
        <v>7.7228163917941219E-5</v>
      </c>
      <c r="D130" s="192">
        <v>2.141250623565162E-4</v>
      </c>
      <c r="E130" s="192">
        <v>2.143405786550468E-4</v>
      </c>
      <c r="F130" s="240" t="s">
        <v>672</v>
      </c>
      <c r="G130" s="193">
        <v>6.8778631637136138</v>
      </c>
      <c r="H130" s="194">
        <v>8.0172856260058083</v>
      </c>
      <c r="I130" s="194">
        <v>6.5337968102596733E-6</v>
      </c>
      <c r="J130" s="241" t="s">
        <v>672</v>
      </c>
      <c r="K130" s="191">
        <v>0.43545570204504297</v>
      </c>
      <c r="L130" s="192">
        <v>0.88494791650332272</v>
      </c>
      <c r="M130" s="192">
        <v>7.8331780223872549E-4</v>
      </c>
      <c r="N130" s="240" t="s">
        <v>672</v>
      </c>
      <c r="O130" s="193">
        <v>0</v>
      </c>
      <c r="P130" s="194">
        <v>0</v>
      </c>
      <c r="Q130" s="194">
        <v>0</v>
      </c>
      <c r="R130" s="241" t="s">
        <v>672</v>
      </c>
      <c r="S130" s="191">
        <v>6.030227406789062</v>
      </c>
      <c r="T130" s="192">
        <v>6.0302273811688476</v>
      </c>
      <c r="U130" s="192">
        <v>0</v>
      </c>
      <c r="V130" s="240" t="s">
        <v>672</v>
      </c>
      <c r="W130" s="193">
        <v>6.8778626646144394</v>
      </c>
      <c r="X130" s="194">
        <v>6.877862779924099</v>
      </c>
      <c r="Y130" s="194">
        <v>0</v>
      </c>
      <c r="Z130" s="241" t="s">
        <v>672</v>
      </c>
      <c r="AA130" s="191">
        <v>2.0984118422533548E-4</v>
      </c>
      <c r="AB130" s="192">
        <v>1.349925031001161E-4</v>
      </c>
      <c r="AC130" s="192">
        <v>0</v>
      </c>
      <c r="AD130" s="240" t="s">
        <v>672</v>
      </c>
      <c r="AE130" s="195">
        <v>6.8778629385236236</v>
      </c>
      <c r="AF130" s="196">
        <v>12.155639579168541</v>
      </c>
      <c r="AG130" s="196">
        <v>4.1874875105207821E-6</v>
      </c>
      <c r="AH130" s="242" t="s">
        <v>672</v>
      </c>
    </row>
    <row r="131" spans="1:34" ht="12" hidden="1" x14ac:dyDescent="0.15">
      <c r="A131" s="131" t="s">
        <v>706</v>
      </c>
      <c r="B131" s="190">
        <v>0</v>
      </c>
      <c r="C131" s="191">
        <v>0</v>
      </c>
      <c r="D131" s="192">
        <v>0</v>
      </c>
      <c r="E131" s="192">
        <v>0</v>
      </c>
      <c r="F131" s="240">
        <v>0</v>
      </c>
      <c r="G131" s="193">
        <v>0</v>
      </c>
      <c r="H131" s="194">
        <v>3.7009383269185246E-5</v>
      </c>
      <c r="I131" s="194">
        <v>10.410440079731082</v>
      </c>
      <c r="J131" s="241">
        <v>0</v>
      </c>
      <c r="K131" s="191">
        <v>0</v>
      </c>
      <c r="L131" s="192">
        <v>1.3328399586111093E-2</v>
      </c>
      <c r="M131" s="192">
        <v>0.85161889473087116</v>
      </c>
      <c r="N131" s="240">
        <v>0</v>
      </c>
      <c r="O131" s="193">
        <v>0</v>
      </c>
      <c r="P131" s="194">
        <v>0</v>
      </c>
      <c r="Q131" s="194">
        <v>0</v>
      </c>
      <c r="R131" s="241">
        <v>0</v>
      </c>
      <c r="S131" s="191">
        <v>0</v>
      </c>
      <c r="T131" s="192">
        <v>0</v>
      </c>
      <c r="U131" s="192">
        <v>6.0302272842517395</v>
      </c>
      <c r="V131" s="240">
        <v>0</v>
      </c>
      <c r="W131" s="193">
        <v>0</v>
      </c>
      <c r="X131" s="194">
        <v>0</v>
      </c>
      <c r="Y131" s="194">
        <v>6.8778625907826552</v>
      </c>
      <c r="Z131" s="241">
        <v>0</v>
      </c>
      <c r="AA131" s="191">
        <v>0</v>
      </c>
      <c r="AB131" s="192">
        <v>1.3575547092534228E-4</v>
      </c>
      <c r="AC131" s="192">
        <v>7.1512751629955016</v>
      </c>
      <c r="AD131" s="240">
        <v>0</v>
      </c>
      <c r="AE131" s="195">
        <v>0</v>
      </c>
      <c r="AF131" s="196">
        <v>0.40905850431278196</v>
      </c>
      <c r="AG131" s="196">
        <v>12.56468535312861</v>
      </c>
      <c r="AH131" s="242">
        <v>0</v>
      </c>
    </row>
    <row r="132" spans="1:34" hidden="1" x14ac:dyDescent="0.15">
      <c r="A132" s="131" t="s">
        <v>669</v>
      </c>
      <c r="B132" s="190">
        <v>0</v>
      </c>
      <c r="C132" s="191">
        <v>0</v>
      </c>
      <c r="D132" s="192">
        <v>0</v>
      </c>
      <c r="E132" s="192">
        <v>4.0064207695655498E-8</v>
      </c>
      <c r="F132" s="240" t="s">
        <v>672</v>
      </c>
      <c r="G132" s="193">
        <v>0</v>
      </c>
      <c r="H132" s="194">
        <v>0</v>
      </c>
      <c r="I132" s="194">
        <v>1.9235650228210943E-7</v>
      </c>
      <c r="J132" s="241" t="s">
        <v>672</v>
      </c>
      <c r="K132" s="191">
        <v>0</v>
      </c>
      <c r="L132" s="192">
        <v>0</v>
      </c>
      <c r="M132" s="192">
        <v>4.1145843890255662E-4</v>
      </c>
      <c r="N132" s="240" t="s">
        <v>672</v>
      </c>
      <c r="O132" s="193">
        <v>0.57908226550277719</v>
      </c>
      <c r="P132" s="194">
        <v>3.6124877925652568</v>
      </c>
      <c r="Q132" s="194">
        <v>0</v>
      </c>
      <c r="R132" s="241" t="s">
        <v>672</v>
      </c>
      <c r="S132" s="191">
        <v>0</v>
      </c>
      <c r="T132" s="192">
        <v>0</v>
      </c>
      <c r="U132" s="192">
        <v>0</v>
      </c>
      <c r="V132" s="240" t="s">
        <v>672</v>
      </c>
      <c r="W132" s="193">
        <v>0.49701880741160948</v>
      </c>
      <c r="X132" s="194">
        <v>0.4818547593633658</v>
      </c>
      <c r="Y132" s="194">
        <v>0</v>
      </c>
      <c r="Z132" s="241" t="s">
        <v>672</v>
      </c>
      <c r="AA132" s="191">
        <v>0</v>
      </c>
      <c r="AB132" s="192">
        <v>0</v>
      </c>
      <c r="AC132" s="192">
        <v>4.8865179778090351E-6</v>
      </c>
      <c r="AD132" s="240" t="s">
        <v>672</v>
      </c>
      <c r="AE132" s="195">
        <v>0</v>
      </c>
      <c r="AF132" s="196">
        <v>0</v>
      </c>
      <c r="AG132" s="196">
        <v>0</v>
      </c>
      <c r="AH132" s="242" t="s">
        <v>672</v>
      </c>
    </row>
    <row r="133" spans="1:34" hidden="1" x14ac:dyDescent="0.15">
      <c r="A133" s="131" t="s">
        <v>708</v>
      </c>
      <c r="B133" s="190">
        <v>0</v>
      </c>
      <c r="C133" s="191">
        <v>0</v>
      </c>
      <c r="D133" s="192">
        <v>0</v>
      </c>
      <c r="E133" s="192">
        <v>0</v>
      </c>
      <c r="F133" s="240">
        <v>0</v>
      </c>
      <c r="G133" s="193">
        <v>0</v>
      </c>
      <c r="H133" s="194">
        <v>0</v>
      </c>
      <c r="I133" s="194">
        <v>8.9593883643920318</v>
      </c>
      <c r="J133" s="241">
        <v>0</v>
      </c>
      <c r="K133" s="191">
        <v>0</v>
      </c>
      <c r="L133" s="192">
        <v>0</v>
      </c>
      <c r="M133" s="192">
        <v>11.229168063993178</v>
      </c>
      <c r="N133" s="240">
        <v>0</v>
      </c>
      <c r="O133" s="193">
        <v>0</v>
      </c>
      <c r="P133" s="194">
        <v>0</v>
      </c>
      <c r="Q133" s="194">
        <v>8.2861554411738485</v>
      </c>
      <c r="R133" s="241">
        <v>0</v>
      </c>
      <c r="S133" s="191">
        <v>0</v>
      </c>
      <c r="T133" s="192">
        <v>0</v>
      </c>
      <c r="U133" s="192">
        <v>9.5005461734181793</v>
      </c>
      <c r="V133" s="240">
        <v>0</v>
      </c>
      <c r="W133" s="193">
        <v>0</v>
      </c>
      <c r="X133" s="194">
        <v>0</v>
      </c>
      <c r="Y133" s="194">
        <v>8.7673774104951079</v>
      </c>
      <c r="Z133" s="241">
        <v>0</v>
      </c>
      <c r="AA133" s="191">
        <v>0</v>
      </c>
      <c r="AB133" s="192">
        <v>0</v>
      </c>
      <c r="AC133" s="192">
        <v>11.200403018527446</v>
      </c>
      <c r="AD133" s="240">
        <v>0</v>
      </c>
      <c r="AE133" s="195">
        <v>0</v>
      </c>
      <c r="AF133" s="196">
        <v>0</v>
      </c>
      <c r="AG133" s="196">
        <v>8.3123740840656133</v>
      </c>
      <c r="AH133" s="242">
        <v>0</v>
      </c>
    </row>
    <row r="134" spans="1:34" hidden="1" x14ac:dyDescent="0.15">
      <c r="A134" s="134" t="s">
        <v>354</v>
      </c>
      <c r="B134" s="197">
        <v>0</v>
      </c>
      <c r="C134" s="198">
        <v>0</v>
      </c>
      <c r="D134" s="199">
        <v>6.1119163882504613E-6</v>
      </c>
      <c r="E134" s="199">
        <v>7.0614832529533033E-6</v>
      </c>
      <c r="F134" s="243" t="s">
        <v>672</v>
      </c>
      <c r="G134" s="200">
        <v>2.6820517639007342</v>
      </c>
      <c r="H134" s="201">
        <v>7.6548558025310758</v>
      </c>
      <c r="I134" s="201">
        <v>21.742139550736049</v>
      </c>
      <c r="J134" s="244" t="s">
        <v>672</v>
      </c>
      <c r="K134" s="198">
        <v>7.1001775607071977E-3</v>
      </c>
      <c r="L134" s="199">
        <v>1.2813997075719112E-2</v>
      </c>
      <c r="M134" s="199">
        <v>1.8395073427234482E-2</v>
      </c>
      <c r="N134" s="243" t="s">
        <v>672</v>
      </c>
      <c r="O134" s="200">
        <v>11.346021860872074</v>
      </c>
      <c r="P134" s="201">
        <v>30.916903047589919</v>
      </c>
      <c r="Q134" s="201">
        <v>94.393274646212461</v>
      </c>
      <c r="R134" s="244" t="s">
        <v>672</v>
      </c>
      <c r="S134" s="198">
        <v>3.6657256728389149</v>
      </c>
      <c r="T134" s="199">
        <v>10.89404488500111</v>
      </c>
      <c r="U134" s="199">
        <v>32.230386988829537</v>
      </c>
      <c r="V134" s="243" t="s">
        <v>672</v>
      </c>
      <c r="W134" s="200">
        <v>2.2030213881158471</v>
      </c>
      <c r="X134" s="201">
        <v>6.3206287014988316</v>
      </c>
      <c r="Y134" s="201">
        <v>23.272186030628703</v>
      </c>
      <c r="Z134" s="244" t="s">
        <v>672</v>
      </c>
      <c r="AA134" s="198">
        <v>1.0632789429820104</v>
      </c>
      <c r="AB134" s="199">
        <v>4.0971526866343249</v>
      </c>
      <c r="AC134" s="199">
        <v>16.053312040969409</v>
      </c>
      <c r="AD134" s="243" t="s">
        <v>672</v>
      </c>
      <c r="AE134" s="202">
        <v>2.6464314744922057</v>
      </c>
      <c r="AF134" s="203">
        <v>3.682682197565192</v>
      </c>
      <c r="AG134" s="203">
        <v>25.303099220527642</v>
      </c>
      <c r="AH134" s="245" t="s">
        <v>672</v>
      </c>
    </row>
    <row r="135" spans="1:34" ht="12" hidden="1" x14ac:dyDescent="0.15">
      <c r="A135" s="146" t="s">
        <v>721</v>
      </c>
      <c r="B135" s="177">
        <v>5.9899999999999993</v>
      </c>
      <c r="C135" s="178">
        <v>6.1335949349871779</v>
      </c>
      <c r="D135" s="179">
        <v>7.1596258015806429</v>
      </c>
      <c r="E135" s="179">
        <v>8.0384306679016966</v>
      </c>
      <c r="F135" s="181">
        <v>9.5336247110835437E-3</v>
      </c>
      <c r="G135" s="182">
        <v>12.761638893782242</v>
      </c>
      <c r="H135" s="183">
        <v>21.581042038173432</v>
      </c>
      <c r="I135" s="183">
        <v>30.909773125916303</v>
      </c>
      <c r="J135" s="185">
        <v>5.43609735148185E-2</v>
      </c>
      <c r="K135" s="178">
        <v>7.8567059637218071</v>
      </c>
      <c r="L135" s="179">
        <v>15.472284524472469</v>
      </c>
      <c r="M135" s="179">
        <v>18.714697768038484</v>
      </c>
      <c r="N135" s="181">
        <v>3.7432551744223108E-2</v>
      </c>
      <c r="O135" s="182">
        <v>16.670318600069052</v>
      </c>
      <c r="P135" s="183">
        <v>27.762237086755995</v>
      </c>
      <c r="Q135" s="183">
        <v>72.63925291401587</v>
      </c>
      <c r="R135" s="185">
        <v>8.3825841200870554E-2</v>
      </c>
      <c r="S135" s="178">
        <v>12.725085910391275</v>
      </c>
      <c r="T135" s="179">
        <v>21.850766164264776</v>
      </c>
      <c r="U135" s="179">
        <v>38.976568707861851</v>
      </c>
      <c r="V135" s="181">
        <v>6.2277445834231004E-2</v>
      </c>
      <c r="W135" s="182">
        <v>9.9796298725537209</v>
      </c>
      <c r="X135" s="183">
        <v>16.868795459124968</v>
      </c>
      <c r="Y135" s="183">
        <v>38.960711185313073</v>
      </c>
      <c r="Z135" s="185">
        <v>6.2263501637178642E-2</v>
      </c>
      <c r="AA135" s="178">
        <v>9.1250991972917781</v>
      </c>
      <c r="AB135" s="179">
        <v>10.557983085190186</v>
      </c>
      <c r="AC135" s="179">
        <v>24.06158351123138</v>
      </c>
      <c r="AD135" s="181">
        <v>4.5876875380655102E-2</v>
      </c>
      <c r="AE135" s="186">
        <v>12.902528192539068</v>
      </c>
      <c r="AF135" s="187">
        <v>19.505919385041029</v>
      </c>
      <c r="AG135" s="187">
        <v>33.850985012522244</v>
      </c>
      <c r="AH135" s="189">
        <v>5.7457021892061366E-2</v>
      </c>
    </row>
    <row r="136" spans="1:34" hidden="1" x14ac:dyDescent="0.15">
      <c r="A136" s="131" t="s">
        <v>722</v>
      </c>
      <c r="B136" s="190">
        <v>5.5629999999999997</v>
      </c>
      <c r="C136" s="191">
        <v>6.1335949349871779</v>
      </c>
      <c r="D136" s="192">
        <v>7.1596254973024749</v>
      </c>
      <c r="E136" s="192">
        <v>8.038429185283853</v>
      </c>
      <c r="F136" s="162">
        <v>1.1944846237053275E-2</v>
      </c>
      <c r="G136" s="193">
        <v>12.761611748296808</v>
      </c>
      <c r="H136" s="194">
        <v>15.954339345629934</v>
      </c>
      <c r="I136" s="194">
        <v>20.24369660465911</v>
      </c>
      <c r="J136" s="165">
        <v>4.2548225813684892E-2</v>
      </c>
      <c r="K136" s="191">
        <v>7.8550518387994952</v>
      </c>
      <c r="L136" s="192">
        <v>15.396498694729305</v>
      </c>
      <c r="M136" s="192">
        <v>18.642730544046479</v>
      </c>
      <c r="N136" s="162">
        <v>3.9781175089794507E-2</v>
      </c>
      <c r="O136" s="193">
        <v>12.90251365913986</v>
      </c>
      <c r="P136" s="194">
        <v>15.954291977662388</v>
      </c>
      <c r="Q136" s="194">
        <v>20.243682348294726</v>
      </c>
      <c r="R136" s="165">
        <v>4.2548202129765622E-2</v>
      </c>
      <c r="S136" s="191">
        <v>12.725085910391275</v>
      </c>
      <c r="T136" s="192">
        <v>15.954291938255295</v>
      </c>
      <c r="U136" s="192">
        <v>20.237092425498609</v>
      </c>
      <c r="V136" s="162">
        <v>4.2537252645107992E-2</v>
      </c>
      <c r="W136" s="193">
        <v>9.9796298725537209</v>
      </c>
      <c r="X136" s="194">
        <v>11.966978409823891</v>
      </c>
      <c r="Y136" s="194">
        <v>20.24368285757183</v>
      </c>
      <c r="Z136" s="165">
        <v>4.2548202975821514E-2</v>
      </c>
      <c r="AA136" s="191">
        <v>9.1250388629877044</v>
      </c>
      <c r="AB136" s="192">
        <v>10.045114097710268</v>
      </c>
      <c r="AC136" s="192">
        <v>19.285322424512628</v>
      </c>
      <c r="AD136" s="162">
        <v>4.0918445906563017E-2</v>
      </c>
      <c r="AE136" s="195">
        <v>12.902513740225265</v>
      </c>
      <c r="AF136" s="196">
        <v>15.954315529536682</v>
      </c>
      <c r="AG136" s="196">
        <v>20.24368404596548</v>
      </c>
      <c r="AH136" s="168">
        <v>4.25482049500856E-2</v>
      </c>
    </row>
    <row r="137" spans="1:34" hidden="1" x14ac:dyDescent="0.15">
      <c r="A137" s="131" t="s">
        <v>723</v>
      </c>
      <c r="B137" s="190">
        <v>0</v>
      </c>
      <c r="C137" s="191">
        <v>0</v>
      </c>
      <c r="D137" s="192">
        <v>3.0427816816846347E-7</v>
      </c>
      <c r="E137" s="192">
        <v>1.4826178430583867E-6</v>
      </c>
      <c r="F137" s="162" t="s">
        <v>672</v>
      </c>
      <c r="G137" s="193">
        <v>2.5840436309710607E-5</v>
      </c>
      <c r="H137" s="194">
        <v>4.2831038487319741</v>
      </c>
      <c r="I137" s="194">
        <v>7.2600950121295877</v>
      </c>
      <c r="J137" s="165" t="s">
        <v>672</v>
      </c>
      <c r="K137" s="191">
        <v>7.6241639921615723E-4</v>
      </c>
      <c r="L137" s="192">
        <v>2.1255199774021044E-2</v>
      </c>
      <c r="M137" s="192">
        <v>2.880003220627237E-2</v>
      </c>
      <c r="N137" s="162" t="s">
        <v>672</v>
      </c>
      <c r="O137" s="193">
        <v>3.4632780517300166</v>
      </c>
      <c r="P137" s="194">
        <v>5.5342764823640715</v>
      </c>
      <c r="Q137" s="194">
        <v>12.164571128196016</v>
      </c>
      <c r="R137" s="165" t="s">
        <v>672</v>
      </c>
      <c r="S137" s="191">
        <v>0</v>
      </c>
      <c r="T137" s="192">
        <v>4.1770438504843712</v>
      </c>
      <c r="U137" s="192">
        <v>7.6401536596353807</v>
      </c>
      <c r="V137" s="162" t="s">
        <v>672</v>
      </c>
      <c r="W137" s="193">
        <v>0</v>
      </c>
      <c r="X137" s="194">
        <v>3.6790616187553171</v>
      </c>
      <c r="Y137" s="194">
        <v>7.9769256385088312</v>
      </c>
      <c r="Z137" s="165" t="s">
        <v>672</v>
      </c>
      <c r="AA137" s="191">
        <v>5.0632093415063288E-5</v>
      </c>
      <c r="AB137" s="192">
        <v>7.4683558536134758E-5</v>
      </c>
      <c r="AC137" s="192">
        <v>8.273450610500156E-5</v>
      </c>
      <c r="AD137" s="162" t="s">
        <v>672</v>
      </c>
      <c r="AE137" s="195">
        <v>1.4452313802898696E-5</v>
      </c>
      <c r="AF137" s="196">
        <v>3.5515648864582769</v>
      </c>
      <c r="AG137" s="196">
        <v>7.0804146598538251</v>
      </c>
      <c r="AH137" s="168" t="s">
        <v>672</v>
      </c>
    </row>
    <row r="138" spans="1:34" hidden="1" x14ac:dyDescent="0.15">
      <c r="A138" s="131" t="s">
        <v>724</v>
      </c>
      <c r="B138" s="190">
        <v>0.42699999999999999</v>
      </c>
      <c r="C138" s="191">
        <v>0</v>
      </c>
      <c r="D138" s="192">
        <v>0</v>
      </c>
      <c r="E138" s="192">
        <v>0</v>
      </c>
      <c r="F138" s="162">
        <v>-1</v>
      </c>
      <c r="G138" s="193">
        <v>1.3050491241127978E-6</v>
      </c>
      <c r="H138" s="194">
        <v>3.2060253571638853E-5</v>
      </c>
      <c r="I138" s="194">
        <v>2.8077355423755354E-5</v>
      </c>
      <c r="J138" s="165">
        <v>-0.26701605506824622</v>
      </c>
      <c r="K138" s="191">
        <v>8.9170852309508749E-4</v>
      </c>
      <c r="L138" s="192">
        <v>4.5261489803298069E-2</v>
      </c>
      <c r="M138" s="192">
        <v>4.1419845658688774E-2</v>
      </c>
      <c r="N138" s="162">
        <v>-7.2496615037755507E-2</v>
      </c>
      <c r="O138" s="193">
        <v>0.30452688919917337</v>
      </c>
      <c r="P138" s="194">
        <v>0.18233089619072032</v>
      </c>
      <c r="Q138" s="194">
        <v>0.10916864361717983</v>
      </c>
      <c r="R138" s="165">
        <v>-4.304265112288741E-2</v>
      </c>
      <c r="S138" s="191">
        <v>0</v>
      </c>
      <c r="T138" s="192">
        <v>0</v>
      </c>
      <c r="U138" s="192">
        <v>0</v>
      </c>
      <c r="V138" s="162">
        <v>-1</v>
      </c>
      <c r="W138" s="193">
        <v>0</v>
      </c>
      <c r="X138" s="194">
        <v>0</v>
      </c>
      <c r="Y138" s="194">
        <v>0</v>
      </c>
      <c r="Z138" s="165">
        <v>-1</v>
      </c>
      <c r="AA138" s="191">
        <v>9.7022106574629527E-6</v>
      </c>
      <c r="AB138" s="192">
        <v>7.4724795417522563E-5</v>
      </c>
      <c r="AC138" s="192">
        <v>6.1206588310980698E-5</v>
      </c>
      <c r="AD138" s="162">
        <v>-0.24835643264625651</v>
      </c>
      <c r="AE138" s="195">
        <v>0</v>
      </c>
      <c r="AF138" s="196">
        <v>1.0235604238900046E-5</v>
      </c>
      <c r="AG138" s="196">
        <v>1.2507795123247516E-5</v>
      </c>
      <c r="AH138" s="168">
        <v>-0.28588817922443355</v>
      </c>
    </row>
    <row r="139" spans="1:34" ht="12" hidden="1" x14ac:dyDescent="0.15">
      <c r="A139" s="131" t="s">
        <v>725</v>
      </c>
      <c r="B139" s="190">
        <v>0</v>
      </c>
      <c r="C139" s="191">
        <v>0</v>
      </c>
      <c r="D139" s="192">
        <v>0</v>
      </c>
      <c r="E139" s="192">
        <v>0</v>
      </c>
      <c r="F139" s="162" t="s">
        <v>672</v>
      </c>
      <c r="G139" s="193">
        <v>0</v>
      </c>
      <c r="H139" s="194">
        <v>2.1316460528578357E-5</v>
      </c>
      <c r="I139" s="194">
        <v>1.2832335266270634</v>
      </c>
      <c r="J139" s="165" t="s">
        <v>672</v>
      </c>
      <c r="K139" s="191">
        <v>0</v>
      </c>
      <c r="L139" s="192">
        <v>2.1143113605996177E-3</v>
      </c>
      <c r="M139" s="192">
        <v>6.8323890619302607E-4</v>
      </c>
      <c r="N139" s="162" t="s">
        <v>672</v>
      </c>
      <c r="O139" s="193">
        <v>0</v>
      </c>
      <c r="P139" s="194">
        <v>0.65557119361028426</v>
      </c>
      <c r="Q139" s="194">
        <v>34.534030454319272</v>
      </c>
      <c r="R139" s="165" t="s">
        <v>672</v>
      </c>
      <c r="S139" s="191">
        <v>0</v>
      </c>
      <c r="T139" s="192">
        <v>0</v>
      </c>
      <c r="U139" s="192">
        <v>7.422418250564303</v>
      </c>
      <c r="V139" s="162" t="s">
        <v>672</v>
      </c>
      <c r="W139" s="193">
        <v>0</v>
      </c>
      <c r="X139" s="194">
        <v>0</v>
      </c>
      <c r="Y139" s="194">
        <v>9.1063314179533155</v>
      </c>
      <c r="Z139" s="165" t="s">
        <v>672</v>
      </c>
      <c r="AA139" s="191">
        <v>0</v>
      </c>
      <c r="AB139" s="192">
        <v>4.748408783917303E-5</v>
      </c>
      <c r="AC139" s="192">
        <v>1.1301156797131895</v>
      </c>
      <c r="AD139" s="162" t="s">
        <v>672</v>
      </c>
      <c r="AE139" s="195">
        <v>0</v>
      </c>
      <c r="AF139" s="196">
        <v>5.8122916415178284E-6</v>
      </c>
      <c r="AG139" s="196">
        <v>4.4369841190539878</v>
      </c>
      <c r="AH139" s="168" t="s">
        <v>672</v>
      </c>
    </row>
    <row r="140" spans="1:34" ht="12" hidden="1" x14ac:dyDescent="0.15">
      <c r="A140" s="134" t="s">
        <v>726</v>
      </c>
      <c r="B140" s="197">
        <v>0</v>
      </c>
      <c r="C140" s="198">
        <v>0</v>
      </c>
      <c r="D140" s="199">
        <v>0</v>
      </c>
      <c r="E140" s="199">
        <v>0</v>
      </c>
      <c r="F140" s="216" t="s">
        <v>672</v>
      </c>
      <c r="G140" s="200">
        <v>0</v>
      </c>
      <c r="H140" s="201">
        <v>1.3435454670974238</v>
      </c>
      <c r="I140" s="201">
        <v>2.1227199051451167</v>
      </c>
      <c r="J140" s="217" t="s">
        <v>672</v>
      </c>
      <c r="K140" s="198">
        <v>0</v>
      </c>
      <c r="L140" s="199">
        <v>7.1548288052447713E-3</v>
      </c>
      <c r="M140" s="199">
        <v>1.0641072208538642E-3</v>
      </c>
      <c r="N140" s="216" t="s">
        <v>672</v>
      </c>
      <c r="O140" s="200">
        <v>0</v>
      </c>
      <c r="P140" s="201">
        <v>5.4357665369285293</v>
      </c>
      <c r="Q140" s="201">
        <v>5.5878003395886644</v>
      </c>
      <c r="R140" s="217" t="s">
        <v>672</v>
      </c>
      <c r="S140" s="198">
        <v>0</v>
      </c>
      <c r="T140" s="199">
        <v>1.7194303755251097</v>
      </c>
      <c r="U140" s="199">
        <v>3.6769043721635573</v>
      </c>
      <c r="V140" s="216" t="s">
        <v>672</v>
      </c>
      <c r="W140" s="200">
        <v>0</v>
      </c>
      <c r="X140" s="201">
        <v>1.2227554305457602</v>
      </c>
      <c r="Y140" s="201">
        <v>1.6337712712790913</v>
      </c>
      <c r="Z140" s="217" t="s">
        <v>672</v>
      </c>
      <c r="AA140" s="198">
        <v>0</v>
      </c>
      <c r="AB140" s="199">
        <v>0.51267209503812516</v>
      </c>
      <c r="AC140" s="199">
        <v>3.646001465911147</v>
      </c>
      <c r="AD140" s="216" t="s">
        <v>672</v>
      </c>
      <c r="AE140" s="202">
        <v>0</v>
      </c>
      <c r="AF140" s="203">
        <v>2.2921150189945153E-5</v>
      </c>
      <c r="AG140" s="203">
        <v>2.0898896798538242</v>
      </c>
      <c r="AH140" s="218" t="s">
        <v>672</v>
      </c>
    </row>
    <row r="141" spans="1:34" hidden="1" x14ac:dyDescent="0.15">
      <c r="A141" s="249" t="s">
        <v>727</v>
      </c>
      <c r="B141" s="250">
        <v>1.3</v>
      </c>
      <c r="C141" s="251">
        <v>2.4509803966344768</v>
      </c>
      <c r="D141" s="252">
        <v>2.8155339843361848</v>
      </c>
      <c r="E141" s="252">
        <v>3.173076926912934</v>
      </c>
      <c r="F141" s="152">
        <v>2.9203374714869001E-2</v>
      </c>
      <c r="G141" s="253">
        <v>5.8711869540416801</v>
      </c>
      <c r="H141" s="254">
        <v>10.354210007849527</v>
      </c>
      <c r="I141" s="254">
        <v>14.071951251085707</v>
      </c>
      <c r="J141" s="155">
        <v>7.9861594797406177E-2</v>
      </c>
      <c r="K141" s="251">
        <v>3.534814206072574</v>
      </c>
      <c r="L141" s="252">
        <v>6.5244283011299631</v>
      </c>
      <c r="M141" s="252">
        <v>9.5270004444018408</v>
      </c>
      <c r="N141" s="152">
        <v>6.6359493687455862E-2</v>
      </c>
      <c r="O141" s="253">
        <v>8.3733516398585799</v>
      </c>
      <c r="P141" s="254">
        <v>10.723839428692616</v>
      </c>
      <c r="Q141" s="254">
        <v>16.58127584519433</v>
      </c>
      <c r="R141" s="155">
        <v>8.5592720111311138E-2</v>
      </c>
      <c r="S141" s="251">
        <v>6.0661482503745061</v>
      </c>
      <c r="T141" s="252">
        <v>10.299945027010185</v>
      </c>
      <c r="U141" s="252">
        <v>14.263042737606659</v>
      </c>
      <c r="V141" s="152">
        <v>8.033154915509666E-2</v>
      </c>
      <c r="W141" s="253">
        <v>5.105952303391379</v>
      </c>
      <c r="X141" s="254">
        <v>8.005099756641874</v>
      </c>
      <c r="Y141" s="254">
        <v>14.438719644377072</v>
      </c>
      <c r="Z141" s="155">
        <v>8.0758249160746365E-2</v>
      </c>
      <c r="AA141" s="251">
        <v>2.4509812594676244</v>
      </c>
      <c r="AB141" s="252">
        <v>2.8155446092027319</v>
      </c>
      <c r="AC141" s="252">
        <v>5.4722705386413351</v>
      </c>
      <c r="AD141" s="152">
        <v>4.745714791959732E-2</v>
      </c>
      <c r="AE141" s="255">
        <v>6.5141155584131063</v>
      </c>
      <c r="AF141" s="256">
        <v>9.9799275448703515</v>
      </c>
      <c r="AG141" s="256">
        <v>13.980023689908554</v>
      </c>
      <c r="AH141" s="158">
        <v>7.9633311393624728E-2</v>
      </c>
    </row>
    <row r="142" spans="1:34" hidden="1" x14ac:dyDescent="0.15">
      <c r="A142" s="148" t="s">
        <v>728</v>
      </c>
      <c r="B142" s="149"/>
      <c r="C142" s="150"/>
      <c r="D142" s="151"/>
      <c r="E142" s="151"/>
      <c r="F142" s="152"/>
      <c r="G142" s="153"/>
      <c r="H142" s="154"/>
      <c r="I142" s="154"/>
      <c r="J142" s="155"/>
      <c r="K142" s="150"/>
      <c r="L142" s="151"/>
      <c r="M142" s="151"/>
      <c r="N142" s="152"/>
      <c r="O142" s="153"/>
      <c r="P142" s="154"/>
      <c r="Q142" s="154"/>
      <c r="R142" s="155"/>
      <c r="S142" s="150"/>
      <c r="T142" s="151"/>
      <c r="U142" s="151"/>
      <c r="V142" s="152"/>
      <c r="W142" s="153"/>
      <c r="X142" s="154"/>
      <c r="Y142" s="154"/>
      <c r="Z142" s="155"/>
      <c r="AA142" s="150"/>
      <c r="AB142" s="151"/>
      <c r="AC142" s="151"/>
      <c r="AD142" s="152"/>
      <c r="AE142" s="156"/>
      <c r="AF142" s="157"/>
      <c r="AG142" s="157"/>
      <c r="AH142" s="158"/>
    </row>
    <row r="143" spans="1:34" ht="12" hidden="1" x14ac:dyDescent="0.15">
      <c r="A143" s="235" t="s">
        <v>729</v>
      </c>
      <c r="B143" s="177">
        <v>751.2740298074774</v>
      </c>
      <c r="C143" s="178">
        <v>705.67817033350127</v>
      </c>
      <c r="D143" s="179">
        <v>665.42060969616432</v>
      </c>
      <c r="E143" s="179">
        <v>636.03476565130688</v>
      </c>
      <c r="F143" s="181">
        <v>-5.3571232559821436E-3</v>
      </c>
      <c r="G143" s="182">
        <v>652.05965677502684</v>
      </c>
      <c r="H143" s="183">
        <v>577.45555589393973</v>
      </c>
      <c r="I143" s="183">
        <v>508.42516161837887</v>
      </c>
      <c r="J143" s="185">
        <v>-1.2516251997668593E-2</v>
      </c>
      <c r="K143" s="178">
        <v>614.6587595855159</v>
      </c>
      <c r="L143" s="179">
        <v>542.93258833281971</v>
      </c>
      <c r="M143" s="179">
        <v>477.39123014530577</v>
      </c>
      <c r="N143" s="181">
        <v>-1.4520453808424039E-2</v>
      </c>
      <c r="O143" s="182">
        <v>586.35536103788286</v>
      </c>
      <c r="P143" s="183">
        <v>530.35038780981552</v>
      </c>
      <c r="Q143" s="183">
        <v>479.86010319963378</v>
      </c>
      <c r="R143" s="185">
        <v>-1.4356460626561818E-2</v>
      </c>
      <c r="S143" s="178">
        <v>654.00459461512662</v>
      </c>
      <c r="T143" s="179">
        <v>583.29552678992491</v>
      </c>
      <c r="U143" s="179">
        <v>514.93604310090507</v>
      </c>
      <c r="V143" s="181">
        <v>-1.2110832999908006E-2</v>
      </c>
      <c r="W143" s="182">
        <v>654.51870343909877</v>
      </c>
      <c r="X143" s="183">
        <v>574.19672618176844</v>
      </c>
      <c r="Y143" s="183">
        <v>504.90131272617452</v>
      </c>
      <c r="Z143" s="185">
        <v>-1.2737775178883526E-2</v>
      </c>
      <c r="AA143" s="178">
        <v>650.8558009102411</v>
      </c>
      <c r="AB143" s="179">
        <v>575.12195438808124</v>
      </c>
      <c r="AC143" s="179">
        <v>513.33247503208815</v>
      </c>
      <c r="AD143" s="181">
        <v>-1.2210221443530789E-2</v>
      </c>
      <c r="AE143" s="186">
        <v>643.36643792945222</v>
      </c>
      <c r="AF143" s="187">
        <v>566.56630858109736</v>
      </c>
      <c r="AG143" s="187">
        <v>507.64002086167022</v>
      </c>
      <c r="AH143" s="189">
        <v>-1.2565480142778251E-2</v>
      </c>
    </row>
    <row r="144" spans="1:34" hidden="1" x14ac:dyDescent="0.15">
      <c r="A144" s="131" t="s">
        <v>354</v>
      </c>
      <c r="B144" s="190">
        <v>205.91</v>
      </c>
      <c r="C144" s="191">
        <v>225.51732701086877</v>
      </c>
      <c r="D144" s="192">
        <v>234.51366804624195</v>
      </c>
      <c r="E144" s="192">
        <v>238.41277514008408</v>
      </c>
      <c r="F144" s="162">
        <v>4.7390760242369545E-3</v>
      </c>
      <c r="G144" s="193">
        <v>233.50237328474734</v>
      </c>
      <c r="H144" s="194">
        <v>242.71321285062808</v>
      </c>
      <c r="I144" s="194">
        <v>243.97348917478809</v>
      </c>
      <c r="J144" s="165">
        <v>5.4866221125806636E-3</v>
      </c>
      <c r="K144" s="191">
        <v>221.66800024955793</v>
      </c>
      <c r="L144" s="192">
        <v>230.02133570819473</v>
      </c>
      <c r="M144" s="192">
        <v>232.36773859263604</v>
      </c>
      <c r="N144" s="162">
        <v>3.9070325254058069E-3</v>
      </c>
      <c r="O144" s="193">
        <v>232.98474865575855</v>
      </c>
      <c r="P144" s="194">
        <v>239.34155960136314</v>
      </c>
      <c r="Q144" s="194">
        <v>235.27400824056843</v>
      </c>
      <c r="R144" s="165">
        <v>4.3096356037863881E-3</v>
      </c>
      <c r="S144" s="191">
        <v>233.97783464498789</v>
      </c>
      <c r="T144" s="192">
        <v>245.16113901536329</v>
      </c>
      <c r="U144" s="192">
        <v>248.25679241616922</v>
      </c>
      <c r="V144" s="162">
        <v>6.0512833454806625E-3</v>
      </c>
      <c r="W144" s="193">
        <v>234.59646275540146</v>
      </c>
      <c r="X144" s="194">
        <v>243.71485706385366</v>
      </c>
      <c r="Y144" s="194">
        <v>248.5092582138393</v>
      </c>
      <c r="Z144" s="165">
        <v>6.0842706038135574E-3</v>
      </c>
      <c r="AA144" s="191">
        <v>232.9612242900759</v>
      </c>
      <c r="AB144" s="192">
        <v>241.69506244640951</v>
      </c>
      <c r="AC144" s="192">
        <v>247.07978534977758</v>
      </c>
      <c r="AD144" s="162">
        <v>5.897065503780885E-3</v>
      </c>
      <c r="AE144" s="195">
        <v>229.05772023459673</v>
      </c>
      <c r="AF144" s="196">
        <v>236.96722243616961</v>
      </c>
      <c r="AG144" s="196">
        <v>243.25947886962632</v>
      </c>
      <c r="AH144" s="168">
        <v>5.3915633420811293E-3</v>
      </c>
    </row>
    <row r="145" spans="1:34" hidden="1" x14ac:dyDescent="0.15">
      <c r="A145" s="131" t="s">
        <v>698</v>
      </c>
      <c r="B145" s="190">
        <v>328.56034980747745</v>
      </c>
      <c r="C145" s="191">
        <v>238.63546920246361</v>
      </c>
      <c r="D145" s="192">
        <v>170.38754298403597</v>
      </c>
      <c r="E145" s="192">
        <v>120.78041667914452</v>
      </c>
      <c r="F145" s="162">
        <v>-3.1766634933541149E-2</v>
      </c>
      <c r="G145" s="193">
        <v>181.99115843378576</v>
      </c>
      <c r="H145" s="194">
        <v>84.138203887967904</v>
      </c>
      <c r="I145" s="194">
        <v>2.0915227320337868</v>
      </c>
      <c r="J145" s="165">
        <v>-0.15051372012889752</v>
      </c>
      <c r="K145" s="191">
        <v>174.79006008667045</v>
      </c>
      <c r="L145" s="192">
        <v>50.22755214170013</v>
      </c>
      <c r="M145" s="192">
        <v>-4.1967732229244124E-4</v>
      </c>
      <c r="N145" s="162">
        <v>-1.6454768284863883</v>
      </c>
      <c r="O145" s="193">
        <v>141.29860483886401</v>
      </c>
      <c r="P145" s="194">
        <v>61.913628844669269</v>
      </c>
      <c r="Q145" s="194">
        <v>5.5056814461694659</v>
      </c>
      <c r="R145" s="165">
        <v>-0.123572496891033</v>
      </c>
      <c r="S145" s="191">
        <v>182.44837558103561</v>
      </c>
      <c r="T145" s="192">
        <v>86.920248518621804</v>
      </c>
      <c r="U145" s="192">
        <v>3.6228682192216448</v>
      </c>
      <c r="V145" s="162">
        <v>-0.13532516667043415</v>
      </c>
      <c r="W145" s="193">
        <v>182.11141498540204</v>
      </c>
      <c r="X145" s="194">
        <v>85.78164869174627</v>
      </c>
      <c r="Y145" s="194">
        <v>1.609761206783674</v>
      </c>
      <c r="Z145" s="165">
        <v>-0.15765773834697427</v>
      </c>
      <c r="AA145" s="191">
        <v>179.95192230707823</v>
      </c>
      <c r="AB145" s="192">
        <v>80.289668070230945</v>
      </c>
      <c r="AC145" s="192">
        <v>5.5776923662767359</v>
      </c>
      <c r="AD145" s="162">
        <v>-0.12320503879817268</v>
      </c>
      <c r="AE145" s="195">
        <v>183.24312978087048</v>
      </c>
      <c r="AF145" s="196">
        <v>79.385143168773439</v>
      </c>
      <c r="AG145" s="196">
        <v>2.0591757997273881</v>
      </c>
      <c r="AH145" s="168">
        <v>-0.15094072830995775</v>
      </c>
    </row>
    <row r="146" spans="1:34" ht="12" hidden="1" x14ac:dyDescent="0.15">
      <c r="A146" s="131" t="s">
        <v>730</v>
      </c>
      <c r="B146" s="190">
        <v>7.8010000000000002</v>
      </c>
      <c r="C146" s="191">
        <v>5.3713128195573434</v>
      </c>
      <c r="D146" s="192">
        <v>5.7265250510543959</v>
      </c>
      <c r="E146" s="192">
        <v>6.0789361844856931</v>
      </c>
      <c r="F146" s="162">
        <v>-8.0135966101427814E-3</v>
      </c>
      <c r="G146" s="193">
        <v>11.784153554990969</v>
      </c>
      <c r="H146" s="194">
        <v>16.663792321927733</v>
      </c>
      <c r="I146" s="194">
        <v>36.811019848156008</v>
      </c>
      <c r="J146" s="165">
        <v>5.13235026014911E-2</v>
      </c>
      <c r="K146" s="191">
        <v>10.798801138279234</v>
      </c>
      <c r="L146" s="192">
        <v>52.254446334851345</v>
      </c>
      <c r="M146" s="192">
        <v>58.517282863055868</v>
      </c>
      <c r="N146" s="162">
        <v>6.7161441452419535E-2</v>
      </c>
      <c r="O146" s="193">
        <v>8.6991868960051892</v>
      </c>
      <c r="P146" s="194">
        <v>7.5229027036819129</v>
      </c>
      <c r="Q146" s="194">
        <v>10.53266508355048</v>
      </c>
      <c r="R146" s="165">
        <v>9.7318708691704892E-3</v>
      </c>
      <c r="S146" s="191">
        <v>11.814345667650837</v>
      </c>
      <c r="T146" s="192">
        <v>12.499604474476945</v>
      </c>
      <c r="U146" s="192">
        <v>36.806953670429408</v>
      </c>
      <c r="V146" s="162">
        <v>5.1319756268296768E-2</v>
      </c>
      <c r="W146" s="193">
        <v>11.711655969582678</v>
      </c>
      <c r="X146" s="194">
        <v>12.348435697581081</v>
      </c>
      <c r="Y146" s="194">
        <v>38.41814332039953</v>
      </c>
      <c r="Z146" s="165">
        <v>5.2773720077948116E-2</v>
      </c>
      <c r="AA146" s="191">
        <v>12.45944197688206</v>
      </c>
      <c r="AB146" s="192">
        <v>20.358977215911178</v>
      </c>
      <c r="AC146" s="192">
        <v>39.352063606993887</v>
      </c>
      <c r="AD146" s="162">
        <v>5.3589717947055471E-2</v>
      </c>
      <c r="AE146" s="195">
        <v>10.108426110592527</v>
      </c>
      <c r="AF146" s="196">
        <v>18.65000940791565</v>
      </c>
      <c r="AG146" s="196">
        <v>36.811300802680748</v>
      </c>
      <c r="AH146" s="168">
        <v>5.1323761441411042E-2</v>
      </c>
    </row>
    <row r="147" spans="1:34" ht="12" hidden="1" x14ac:dyDescent="0.15">
      <c r="A147" s="131" t="s">
        <v>731</v>
      </c>
      <c r="B147" s="190">
        <v>114.60000000000001</v>
      </c>
      <c r="C147" s="191">
        <v>112.61346810753453</v>
      </c>
      <c r="D147" s="192">
        <v>119.62266652062461</v>
      </c>
      <c r="E147" s="192">
        <v>131.60248397311133</v>
      </c>
      <c r="F147" s="162">
        <v>4.4724908853108758E-3</v>
      </c>
      <c r="G147" s="193">
        <v>76.125284456285087</v>
      </c>
      <c r="H147" s="194">
        <v>54.009201670439339</v>
      </c>
      <c r="I147" s="194">
        <v>22.546957561057869</v>
      </c>
      <c r="J147" s="165">
        <v>-5.1095102654659996E-2</v>
      </c>
      <c r="K147" s="191">
        <v>77.206904709649521</v>
      </c>
      <c r="L147" s="192">
        <v>51.046599758594894</v>
      </c>
      <c r="M147" s="192">
        <v>26.594448732386358</v>
      </c>
      <c r="N147" s="162">
        <v>-4.602786473268794E-2</v>
      </c>
      <c r="O147" s="193">
        <v>50.754002010689121</v>
      </c>
      <c r="P147" s="194">
        <v>45.734571554512534</v>
      </c>
      <c r="Q147" s="194">
        <v>19.574072059850774</v>
      </c>
      <c r="R147" s="165">
        <v>-5.5413303553794702E-2</v>
      </c>
      <c r="S147" s="191">
        <v>76.843844509011774</v>
      </c>
      <c r="T147" s="192">
        <v>53.412811083142131</v>
      </c>
      <c r="U147" s="192">
        <v>22.736433009278311</v>
      </c>
      <c r="V147" s="162">
        <v>-5.0838910308469654E-2</v>
      </c>
      <c r="W147" s="193">
        <v>73.77267079226857</v>
      </c>
      <c r="X147" s="194">
        <v>51.190766486457179</v>
      </c>
      <c r="Y147" s="194">
        <v>22.318149783969943</v>
      </c>
      <c r="Z147" s="165">
        <v>-5.1407268496904357E-2</v>
      </c>
      <c r="AA147" s="191">
        <v>80.235450775191111</v>
      </c>
      <c r="AB147" s="192">
        <v>64.548011419419765</v>
      </c>
      <c r="AC147" s="192">
        <v>27.018385754147481</v>
      </c>
      <c r="AD147" s="162">
        <v>-4.5541058192392292E-2</v>
      </c>
      <c r="AE147" s="195">
        <v>75.086299114200884</v>
      </c>
      <c r="AF147" s="196">
        <v>53.290331222037949</v>
      </c>
      <c r="AG147" s="196">
        <v>22.468604309757072</v>
      </c>
      <c r="AH147" s="168">
        <v>-5.1201654601971569E-2</v>
      </c>
    </row>
    <row r="148" spans="1:34" hidden="1" x14ac:dyDescent="0.15">
      <c r="A148" s="131" t="s">
        <v>692</v>
      </c>
      <c r="B148" s="190">
        <v>1.889</v>
      </c>
      <c r="C148" s="191">
        <v>2.1459945092222608</v>
      </c>
      <c r="D148" s="192">
        <v>2.5415401922444469</v>
      </c>
      <c r="E148" s="192">
        <v>2.8533861844646768</v>
      </c>
      <c r="F148" s="162">
        <v>1.3394030749559471E-2</v>
      </c>
      <c r="G148" s="193">
        <v>2.9323630027733678</v>
      </c>
      <c r="H148" s="194">
        <v>5.4031273698658762</v>
      </c>
      <c r="I148" s="194">
        <v>5.4031246537390452</v>
      </c>
      <c r="J148" s="165">
        <v>3.4482149121604744E-2</v>
      </c>
      <c r="K148" s="191">
        <v>3.0880450455945705</v>
      </c>
      <c r="L148" s="192">
        <v>6.5224467329181355</v>
      </c>
      <c r="M148" s="192">
        <v>6.1459516102585745</v>
      </c>
      <c r="N148" s="162">
        <v>3.8789738609570801E-2</v>
      </c>
      <c r="O148" s="193">
        <v>4.0980898855286521</v>
      </c>
      <c r="P148" s="194">
        <v>4.588893230531343</v>
      </c>
      <c r="Q148" s="194">
        <v>4.4166707953556852</v>
      </c>
      <c r="R148" s="165">
        <v>2.7776796754751532E-2</v>
      </c>
      <c r="S148" s="191">
        <v>2.9787874285039755</v>
      </c>
      <c r="T148" s="192">
        <v>10.711757322542393</v>
      </c>
      <c r="U148" s="192">
        <v>10.711757323418686</v>
      </c>
      <c r="V148" s="162">
        <v>5.7573610527436037E-2</v>
      </c>
      <c r="W148" s="193">
        <v>2.3851116131819108</v>
      </c>
      <c r="X148" s="194">
        <v>8.1001287239093855</v>
      </c>
      <c r="Y148" s="194">
        <v>8.100128720483637</v>
      </c>
      <c r="Z148" s="165">
        <v>4.808253161287368E-2</v>
      </c>
      <c r="AA148" s="191">
        <v>5.4911821425618292</v>
      </c>
      <c r="AB148" s="192">
        <v>7.1787424055529456</v>
      </c>
      <c r="AC148" s="192">
        <v>11.877344706443861</v>
      </c>
      <c r="AD148" s="162">
        <v>6.1103282844983564E-2</v>
      </c>
      <c r="AE148" s="195">
        <v>2.9575531926452108</v>
      </c>
      <c r="AF148" s="196">
        <v>4.4838410507838846</v>
      </c>
      <c r="AG148" s="196">
        <v>4.4838438077897091</v>
      </c>
      <c r="AH148" s="168">
        <v>2.8277362125475713E-2</v>
      </c>
    </row>
    <row r="149" spans="1:34" hidden="1" x14ac:dyDescent="0.15">
      <c r="A149" s="131" t="s">
        <v>679</v>
      </c>
      <c r="B149" s="190">
        <v>3.81</v>
      </c>
      <c r="C149" s="191">
        <v>3.4071903674903248</v>
      </c>
      <c r="D149" s="192">
        <v>2.8906623354426593</v>
      </c>
      <c r="E149" s="192">
        <v>2.355004635401833</v>
      </c>
      <c r="F149" s="162">
        <v>-1.5399121226624124E-2</v>
      </c>
      <c r="G149" s="193">
        <v>1.9070153159369363</v>
      </c>
      <c r="H149" s="194">
        <v>1.0240723545891148</v>
      </c>
      <c r="I149" s="194">
        <v>0.20177511740799425</v>
      </c>
      <c r="J149" s="165">
        <v>-9.0428468218658797E-2</v>
      </c>
      <c r="K149" s="191">
        <v>1.9430569724175137</v>
      </c>
      <c r="L149" s="192">
        <v>0.97950007094468861</v>
      </c>
      <c r="M149" s="192">
        <v>0.1895853606095966</v>
      </c>
      <c r="N149" s="162">
        <v>-9.2255000339901305E-2</v>
      </c>
      <c r="O149" s="193">
        <v>1.907009827608612</v>
      </c>
      <c r="P149" s="194">
        <v>0.97879893376108806</v>
      </c>
      <c r="Q149" s="194">
        <v>0.19079423460044526</v>
      </c>
      <c r="R149" s="165">
        <v>-9.2068859368849565E-2</v>
      </c>
      <c r="S149" s="191">
        <v>1.9070068731804524</v>
      </c>
      <c r="T149" s="192">
        <v>1.0247661826254861</v>
      </c>
      <c r="U149" s="192">
        <v>0.20179685085314797</v>
      </c>
      <c r="V149" s="162">
        <v>-9.0425308026447215E-2</v>
      </c>
      <c r="W149" s="193">
        <v>1.9069979861291124</v>
      </c>
      <c r="X149" s="194">
        <v>1.0246113284100609</v>
      </c>
      <c r="Y149" s="194">
        <v>0.20146669979462978</v>
      </c>
      <c r="Z149" s="165">
        <v>-9.0473349798884994E-2</v>
      </c>
      <c r="AA149" s="191">
        <v>1.9070186049408067</v>
      </c>
      <c r="AB149" s="192">
        <v>0.9841494921529873</v>
      </c>
      <c r="AC149" s="192">
        <v>0.18960567908847611</v>
      </c>
      <c r="AD149" s="162">
        <v>-9.2251862245213867E-2</v>
      </c>
      <c r="AE149" s="195">
        <v>1.9070111800784624</v>
      </c>
      <c r="AF149" s="196">
        <v>1.0242096197759598</v>
      </c>
      <c r="AG149" s="196">
        <v>0.20180237858974281</v>
      </c>
      <c r="AH149" s="168">
        <v>-9.0424504308116771E-2</v>
      </c>
    </row>
    <row r="150" spans="1:34" hidden="1" x14ac:dyDescent="0.15">
      <c r="A150" s="131" t="s">
        <v>732</v>
      </c>
      <c r="B150" s="190">
        <v>7.4446799999999991</v>
      </c>
      <c r="C150" s="191">
        <v>5.4925397461575995</v>
      </c>
      <c r="D150" s="192">
        <v>5.4735005078193302</v>
      </c>
      <c r="E150" s="192">
        <v>5.454510850463822</v>
      </c>
      <c r="F150" s="162">
        <v>-9.9839148144582612E-3</v>
      </c>
      <c r="G150" s="193">
        <v>5.4925402515682293</v>
      </c>
      <c r="H150" s="194">
        <v>5.4734657782655027</v>
      </c>
      <c r="I150" s="194">
        <v>2.8739748890472705</v>
      </c>
      <c r="J150" s="165">
        <v>-3.0236782545455809E-2</v>
      </c>
      <c r="K150" s="191">
        <v>4.8115913339733982</v>
      </c>
      <c r="L150" s="192">
        <v>3.7662914773277412</v>
      </c>
      <c r="M150" s="192">
        <v>1.0163769791395137E-3</v>
      </c>
      <c r="N150" s="162">
        <v>-0.24953694727952014</v>
      </c>
      <c r="O150" s="193">
        <v>5.492539740570531</v>
      </c>
      <c r="P150" s="194">
        <v>5.8972433689358787</v>
      </c>
      <c r="Q150" s="194">
        <v>2.8500035282459653</v>
      </c>
      <c r="R150" s="165">
        <v>-3.0498765225312363E-2</v>
      </c>
      <c r="S150" s="191">
        <v>5.4925397398359719</v>
      </c>
      <c r="T150" s="192">
        <v>5.473500499160564</v>
      </c>
      <c r="U150" s="192">
        <v>2.8824738036457744</v>
      </c>
      <c r="V150" s="162">
        <v>-3.0144405549300424E-2</v>
      </c>
      <c r="W150" s="193">
        <v>5.4925397427570442</v>
      </c>
      <c r="X150" s="194">
        <v>5.4735005109101129</v>
      </c>
      <c r="Y150" s="194">
        <v>2.8592497982500356</v>
      </c>
      <c r="Z150" s="165">
        <v>-3.0397461131816073E-2</v>
      </c>
      <c r="AA150" s="191">
        <v>5.4925405285605358</v>
      </c>
      <c r="AB150" s="192">
        <v>5.4734994071684566</v>
      </c>
      <c r="AC150" s="192">
        <v>2.8727773125047111</v>
      </c>
      <c r="AD150" s="162">
        <v>-3.0249820573355679E-2</v>
      </c>
      <c r="AE150" s="195">
        <v>5.4925399250429319</v>
      </c>
      <c r="AF150" s="196">
        <v>4.2427294434061453</v>
      </c>
      <c r="AG150" s="196">
        <v>2.8802855158995029</v>
      </c>
      <c r="AH150" s="168">
        <v>-3.0168165417373993E-2</v>
      </c>
    </row>
    <row r="151" spans="1:34" hidden="1" x14ac:dyDescent="0.15">
      <c r="A151" s="131" t="s">
        <v>733</v>
      </c>
      <c r="B151" s="190">
        <v>21.56</v>
      </c>
      <c r="C151" s="191">
        <v>34.571770869833813</v>
      </c>
      <c r="D151" s="192">
        <v>35.546200040773968</v>
      </c>
      <c r="E151" s="192">
        <v>35.318211516582934</v>
      </c>
      <c r="F151" s="162">
        <v>1.6048676349632807E-2</v>
      </c>
      <c r="G151" s="193">
        <v>36.069026157222595</v>
      </c>
      <c r="H151" s="194">
        <v>39.375980144265256</v>
      </c>
      <c r="I151" s="194">
        <v>44.150864167977076</v>
      </c>
      <c r="J151" s="165">
        <v>2.339108045476701E-2</v>
      </c>
      <c r="K151" s="191">
        <v>35.194697177822931</v>
      </c>
      <c r="L151" s="192">
        <v>39.705720063879944</v>
      </c>
      <c r="M151" s="192">
        <v>39.437934726211594</v>
      </c>
      <c r="N151" s="162">
        <v>1.9671250106531479E-2</v>
      </c>
      <c r="O151" s="193">
        <v>36.450012652517131</v>
      </c>
      <c r="P151" s="194">
        <v>34.789198197868494</v>
      </c>
      <c r="Q151" s="194">
        <v>41.924989326235234</v>
      </c>
      <c r="R151" s="165">
        <v>2.1684747187647568E-2</v>
      </c>
      <c r="S151" s="191">
        <v>36.320643295649809</v>
      </c>
      <c r="T151" s="192">
        <v>39.077264278029126</v>
      </c>
      <c r="U151" s="192">
        <v>44.92073315830735</v>
      </c>
      <c r="V151" s="162">
        <v>2.3961927065924815E-2</v>
      </c>
      <c r="W151" s="193">
        <v>38.037071424678359</v>
      </c>
      <c r="X151" s="194">
        <v>40.218504120735226</v>
      </c>
      <c r="Y151" s="194">
        <v>46.73801179760671</v>
      </c>
      <c r="Z151" s="165">
        <v>2.5272721137217014E-2</v>
      </c>
      <c r="AA151" s="191">
        <v>33.651425842246653</v>
      </c>
      <c r="AB151" s="192">
        <v>33.016018536603397</v>
      </c>
      <c r="AC151" s="192">
        <v>34.78260217918119</v>
      </c>
      <c r="AD151" s="162">
        <v>1.5547939779828601E-2</v>
      </c>
      <c r="AE151" s="195">
        <v>36.077384784401573</v>
      </c>
      <c r="AF151" s="196">
        <v>39.612463521614323</v>
      </c>
      <c r="AG151" s="196">
        <v>44.164832163839847</v>
      </c>
      <c r="AH151" s="168">
        <v>2.340152304769938E-2</v>
      </c>
    </row>
    <row r="152" spans="1:34" hidden="1" x14ac:dyDescent="0.15">
      <c r="A152" s="131" t="s">
        <v>669</v>
      </c>
      <c r="B152" s="190">
        <v>39.04</v>
      </c>
      <c r="C152" s="191">
        <v>33.08058758506052</v>
      </c>
      <c r="D152" s="192">
        <v>33.22210718556309</v>
      </c>
      <c r="E152" s="192">
        <v>32.918643162275174</v>
      </c>
      <c r="F152" s="162">
        <v>-5.4864298415697732E-3</v>
      </c>
      <c r="G152" s="193">
        <v>31.967284570258435</v>
      </c>
      <c r="H152" s="194">
        <v>29.490150981954571</v>
      </c>
      <c r="I152" s="194">
        <v>17.185971828665785</v>
      </c>
      <c r="J152" s="165">
        <v>-2.6120330779460854E-2</v>
      </c>
      <c r="K152" s="191">
        <v>26.154569509117628</v>
      </c>
      <c r="L152" s="192">
        <v>26.408029488751254</v>
      </c>
      <c r="M152" s="192">
        <v>13.239923023864732</v>
      </c>
      <c r="N152" s="162">
        <v>-3.4280885575947107E-2</v>
      </c>
      <c r="O152" s="193">
        <v>26.901963107002004</v>
      </c>
      <c r="P152" s="194">
        <v>25.385399122495802</v>
      </c>
      <c r="Q152" s="194">
        <v>16.391325907408632</v>
      </c>
      <c r="R152" s="165">
        <v>-2.7606441092765444E-2</v>
      </c>
      <c r="S152" s="191">
        <v>33.005949702052902</v>
      </c>
      <c r="T152" s="192">
        <v>30.246809940896171</v>
      </c>
      <c r="U152" s="192">
        <v>17.539619829925506</v>
      </c>
      <c r="V152" s="162">
        <v>-2.5480223366372678E-2</v>
      </c>
      <c r="W152" s="193">
        <v>32.550223260402475</v>
      </c>
      <c r="X152" s="194">
        <v>29.470778999818734</v>
      </c>
      <c r="Y152" s="194">
        <v>17.475346923868607</v>
      </c>
      <c r="Z152" s="165">
        <v>-2.5595623935210532E-2</v>
      </c>
      <c r="AA152" s="191">
        <v>32.718943559453137</v>
      </c>
      <c r="AB152" s="192">
        <v>30.754547374630171</v>
      </c>
      <c r="AC152" s="192">
        <v>16.905320671122162</v>
      </c>
      <c r="AD152" s="162">
        <v>-2.6637450922661121E-2</v>
      </c>
      <c r="AE152" s="195">
        <v>30.633201648544908</v>
      </c>
      <c r="AF152" s="196">
        <v>28.299643079634478</v>
      </c>
      <c r="AG152" s="196">
        <v>17.082364205058617</v>
      </c>
      <c r="AH152" s="168">
        <v>-2.6310277265819804E-2</v>
      </c>
    </row>
    <row r="153" spans="1:34" hidden="1" x14ac:dyDescent="0.15">
      <c r="A153" s="131" t="s">
        <v>674</v>
      </c>
      <c r="B153" s="190">
        <v>2.6419999999999999</v>
      </c>
      <c r="C153" s="191">
        <v>4.3502639731792678</v>
      </c>
      <c r="D153" s="192">
        <v>5.4227525555021243</v>
      </c>
      <c r="E153" s="192">
        <v>6.7044360805387182</v>
      </c>
      <c r="F153" s="162">
        <v>3.0495527007363465E-2</v>
      </c>
      <c r="G153" s="193">
        <v>8.4746735915948506</v>
      </c>
      <c r="H153" s="194">
        <v>8.8234597028913644</v>
      </c>
      <c r="I153" s="194">
        <v>10.324084353356401</v>
      </c>
      <c r="J153" s="165">
        <v>4.4946733271797434E-2</v>
      </c>
      <c r="K153" s="191">
        <v>9.046568231823418</v>
      </c>
      <c r="L153" s="192">
        <v>11.656378716823339</v>
      </c>
      <c r="M153" s="192">
        <v>9.3874942100572127</v>
      </c>
      <c r="N153" s="162">
        <v>4.1745982995723852E-2</v>
      </c>
      <c r="O153" s="193">
        <v>17.532543071158035</v>
      </c>
      <c r="P153" s="194">
        <v>15.579600199126375</v>
      </c>
      <c r="Q153" s="194">
        <v>15.555148788241125</v>
      </c>
      <c r="R153" s="165">
        <v>5.8855795346217876E-2</v>
      </c>
      <c r="S153" s="191">
        <v>6.9980784520145551</v>
      </c>
      <c r="T153" s="192">
        <v>8.849782644607572</v>
      </c>
      <c r="U153" s="192">
        <v>8.8253312370016506</v>
      </c>
      <c r="V153" s="162">
        <v>3.9672881620353539E-2</v>
      </c>
      <c r="W153" s="193">
        <v>8.0326404663057431</v>
      </c>
      <c r="X153" s="194">
        <v>8.8497827880072926</v>
      </c>
      <c r="Y153" s="194">
        <v>8.8263083960450963</v>
      </c>
      <c r="Z153" s="165">
        <v>3.9676594800307052E-2</v>
      </c>
      <c r="AA153" s="191">
        <v>7.2423663146175645</v>
      </c>
      <c r="AB153" s="192">
        <v>8.8722118858919004</v>
      </c>
      <c r="AC153" s="192">
        <v>8.8477003955071822</v>
      </c>
      <c r="AD153" s="162">
        <v>3.975778433458288E-2</v>
      </c>
      <c r="AE153" s="195">
        <v>8.6597793527744535</v>
      </c>
      <c r="AF153" s="196">
        <v>10.476122979882762</v>
      </c>
      <c r="AG153" s="196">
        <v>10.451672917109867</v>
      </c>
      <c r="AH153" s="168">
        <v>4.5360836713167707E-2</v>
      </c>
    </row>
    <row r="154" spans="1:34" hidden="1" x14ac:dyDescent="0.15">
      <c r="A154" s="131" t="s">
        <v>684</v>
      </c>
      <c r="B154" s="225">
        <v>0</v>
      </c>
      <c r="C154" s="191">
        <v>7.910875203070246E-6</v>
      </c>
      <c r="D154" s="192">
        <v>5.3882530284612991E-5</v>
      </c>
      <c r="E154" s="192">
        <v>4.9129761836589077E-5</v>
      </c>
      <c r="F154" s="162" t="s">
        <v>672</v>
      </c>
      <c r="G154" s="193">
        <v>3.3248012067426749</v>
      </c>
      <c r="H154" s="194">
        <v>8.2668309737168695</v>
      </c>
      <c r="I154" s="194">
        <v>24.6157268547935</v>
      </c>
      <c r="J154" s="165" t="s">
        <v>672</v>
      </c>
      <c r="K154" s="191">
        <v>0.27995526957292316</v>
      </c>
      <c r="L154" s="192">
        <v>0.77353769493602487</v>
      </c>
      <c r="M154" s="192">
        <v>7.0724853659600333</v>
      </c>
      <c r="N154" s="162" t="s">
        <v>672</v>
      </c>
      <c r="O154" s="193">
        <v>4.8668693713450004</v>
      </c>
      <c r="P154" s="194">
        <v>17.794203257919367</v>
      </c>
      <c r="Q154" s="194">
        <v>41.684566176015217</v>
      </c>
      <c r="R154" s="165" t="s">
        <v>672</v>
      </c>
      <c r="S154" s="191">
        <v>3.4068155144147658</v>
      </c>
      <c r="T154" s="192">
        <v>9.8648081347984089</v>
      </c>
      <c r="U154" s="192">
        <v>23.510188239680801</v>
      </c>
      <c r="V154" s="162" t="s">
        <v>672</v>
      </c>
      <c r="W154" s="193">
        <v>3.2925010515413677</v>
      </c>
      <c r="X154" s="194">
        <v>5.5957149402358128</v>
      </c>
      <c r="Y154" s="194">
        <v>13.183940749148423</v>
      </c>
      <c r="Z154" s="165" t="s">
        <v>672</v>
      </c>
      <c r="AA154" s="191">
        <v>0.39081237740867325</v>
      </c>
      <c r="AB154" s="192">
        <v>4.0841113313130499</v>
      </c>
      <c r="AC154" s="192">
        <v>16.610386380574095</v>
      </c>
      <c r="AD154" s="162" t="s">
        <v>672</v>
      </c>
      <c r="AE154" s="195">
        <v>3.2985964649123893</v>
      </c>
      <c r="AF154" s="196">
        <v>9.7210026320314711</v>
      </c>
      <c r="AG154" s="196">
        <v>25.321201285655285</v>
      </c>
      <c r="AH154" s="168" t="s">
        <v>672</v>
      </c>
    </row>
    <row r="155" spans="1:34" hidden="1" x14ac:dyDescent="0.15">
      <c r="A155" s="134" t="s">
        <v>677</v>
      </c>
      <c r="B155" s="197">
        <v>18.016999999999999</v>
      </c>
      <c r="C155" s="198">
        <v>40.492238231258028</v>
      </c>
      <c r="D155" s="199">
        <v>50.073390394331284</v>
      </c>
      <c r="E155" s="199">
        <v>53.555912114992211</v>
      </c>
      <c r="F155" s="216">
        <v>3.5767059162524983E-2</v>
      </c>
      <c r="G155" s="200">
        <v>58.488982949120683</v>
      </c>
      <c r="H155" s="201">
        <v>82.074057857428102</v>
      </c>
      <c r="I155" s="201">
        <v>98.246650437356067</v>
      </c>
      <c r="J155" s="217">
        <v>5.623955717797835E-2</v>
      </c>
      <c r="K155" s="198">
        <v>49.676509861036195</v>
      </c>
      <c r="L155" s="199">
        <v>69.57075014389747</v>
      </c>
      <c r="M155" s="199">
        <v>84.437788960608898</v>
      </c>
      <c r="N155" s="216">
        <v>5.1091353924375138E-2</v>
      </c>
      <c r="O155" s="200">
        <v>55.369790980835887</v>
      </c>
      <c r="P155" s="201">
        <v>70.824388794950252</v>
      </c>
      <c r="Q155" s="201">
        <v>85.960177613392318</v>
      </c>
      <c r="R155" s="217">
        <v>5.1697401371672669E-2</v>
      </c>
      <c r="S155" s="198">
        <v>58.810373206788086</v>
      </c>
      <c r="T155" s="199">
        <v>80.053034695661097</v>
      </c>
      <c r="U155" s="199">
        <v>94.921095342973473</v>
      </c>
      <c r="V155" s="216">
        <v>5.5066924507379156E-2</v>
      </c>
      <c r="W155" s="200">
        <v>60.629413391447855</v>
      </c>
      <c r="X155" s="201">
        <v>82.427996830103638</v>
      </c>
      <c r="Y155" s="201">
        <v>96.661547115984973</v>
      </c>
      <c r="Z155" s="217">
        <v>5.5685500945096278E-2</v>
      </c>
      <c r="AA155" s="198">
        <v>58.353472191224519</v>
      </c>
      <c r="AB155" s="199">
        <v>77.866954802796883</v>
      </c>
      <c r="AC155" s="199">
        <v>102.21881063047087</v>
      </c>
      <c r="AD155" s="216">
        <v>5.759085922574414E-2</v>
      </c>
      <c r="AE155" s="202">
        <v>56.844796140791765</v>
      </c>
      <c r="AF155" s="203">
        <v>80.413590019071748</v>
      </c>
      <c r="AG155" s="203">
        <v>98.455458805936118</v>
      </c>
      <c r="AH155" s="218">
        <v>5.6311898201369726E-2</v>
      </c>
    </row>
    <row r="156" spans="1:34" ht="12" hidden="1" x14ac:dyDescent="0.15">
      <c r="A156" s="235" t="s">
        <v>734</v>
      </c>
      <c r="B156" s="177">
        <v>145.23659283207252</v>
      </c>
      <c r="C156" s="178">
        <v>144.49525053476825</v>
      </c>
      <c r="D156" s="179">
        <v>144.32832775710767</v>
      </c>
      <c r="E156" s="179">
        <v>143.93516669160658</v>
      </c>
      <c r="F156" s="181">
        <v>-2.9031657599942751E-4</v>
      </c>
      <c r="G156" s="182">
        <v>129.72608611250641</v>
      </c>
      <c r="H156" s="183">
        <v>127.31651734445171</v>
      </c>
      <c r="I156" s="183">
        <v>123.6919713256306</v>
      </c>
      <c r="J156" s="185">
        <v>-5.1662768591350661E-3</v>
      </c>
      <c r="K156" s="178">
        <v>126.88561497492914</v>
      </c>
      <c r="L156" s="179">
        <v>119.7900716540114</v>
      </c>
      <c r="M156" s="179">
        <v>115.36989243217313</v>
      </c>
      <c r="N156" s="181">
        <v>-7.3989649459826889E-3</v>
      </c>
      <c r="O156" s="182">
        <v>130.15879129765241</v>
      </c>
      <c r="P156" s="183">
        <v>121.98286257806838</v>
      </c>
      <c r="Q156" s="183">
        <v>117.95032712819005</v>
      </c>
      <c r="R156" s="185">
        <v>-6.6904383041878068E-3</v>
      </c>
      <c r="S156" s="178">
        <v>129.84444855510398</v>
      </c>
      <c r="T156" s="179">
        <v>129.12370505866701</v>
      </c>
      <c r="U156" s="179">
        <v>127.68058778518996</v>
      </c>
      <c r="V156" s="181">
        <v>-4.1472585337184453E-3</v>
      </c>
      <c r="W156" s="182">
        <v>129.63124296889322</v>
      </c>
      <c r="X156" s="183">
        <v>129.08917606572706</v>
      </c>
      <c r="Y156" s="183">
        <v>128.39304111493126</v>
      </c>
      <c r="Z156" s="185">
        <v>-3.9684883492071554E-3</v>
      </c>
      <c r="AA156" s="178">
        <v>130.28183716688511</v>
      </c>
      <c r="AB156" s="179">
        <v>122.7157115997254</v>
      </c>
      <c r="AC156" s="179">
        <v>120.72898464941208</v>
      </c>
      <c r="AD156" s="181">
        <v>-5.9440653434748025E-3</v>
      </c>
      <c r="AE156" s="186">
        <v>128.57068118046791</v>
      </c>
      <c r="AF156" s="187">
        <v>125.14141475385475</v>
      </c>
      <c r="AG156" s="187">
        <v>123.29798901365329</v>
      </c>
      <c r="AH156" s="189">
        <v>-5.2686519372152629E-3</v>
      </c>
    </row>
    <row r="157" spans="1:34" hidden="1" x14ac:dyDescent="0.15">
      <c r="A157" s="131" t="s">
        <v>354</v>
      </c>
      <c r="B157" s="190">
        <v>62.17</v>
      </c>
      <c r="C157" s="191">
        <v>64.971513171798279</v>
      </c>
      <c r="D157" s="192">
        <v>65.411940496606192</v>
      </c>
      <c r="E157" s="192">
        <v>66.536679369382156</v>
      </c>
      <c r="F157" s="162">
        <v>2.1921022728474959E-3</v>
      </c>
      <c r="G157" s="193">
        <v>63.17173857425891</v>
      </c>
      <c r="H157" s="194">
        <v>62.517706071542555</v>
      </c>
      <c r="I157" s="194">
        <v>63.245004345669336</v>
      </c>
      <c r="J157" s="165">
        <v>5.5317144388866701E-4</v>
      </c>
      <c r="K157" s="191">
        <v>58.824419442472788</v>
      </c>
      <c r="L157" s="192">
        <v>58.913419327915889</v>
      </c>
      <c r="M157" s="192">
        <v>59.619786400977652</v>
      </c>
      <c r="N157" s="162">
        <v>-1.3502186886075185E-3</v>
      </c>
      <c r="O157" s="193">
        <v>62.800934270048693</v>
      </c>
      <c r="P157" s="194">
        <v>61.393842314941168</v>
      </c>
      <c r="Q157" s="194">
        <v>60.549053288834813</v>
      </c>
      <c r="R157" s="165">
        <v>-8.518541789868106E-4</v>
      </c>
      <c r="S157" s="191">
        <v>63.171770760176273</v>
      </c>
      <c r="T157" s="192">
        <v>63.963956399287731</v>
      </c>
      <c r="U157" s="192">
        <v>66.931016417110158</v>
      </c>
      <c r="V157" s="162">
        <v>2.3831550486754782E-3</v>
      </c>
      <c r="W157" s="193">
        <v>63.199006065454498</v>
      </c>
      <c r="X157" s="194">
        <v>64.238751029679591</v>
      </c>
      <c r="Y157" s="194">
        <v>67.325874226224556</v>
      </c>
      <c r="Z157" s="165">
        <v>2.573371757900178E-3</v>
      </c>
      <c r="AA157" s="191">
        <v>62.554586841739237</v>
      </c>
      <c r="AB157" s="192">
        <v>60.287744852852541</v>
      </c>
      <c r="AC157" s="192">
        <v>62.73252122464794</v>
      </c>
      <c r="AD157" s="162">
        <v>2.9060430462934939E-4</v>
      </c>
      <c r="AE157" s="195">
        <v>62.005730924446382</v>
      </c>
      <c r="AF157" s="196">
        <v>61.033582088085012</v>
      </c>
      <c r="AG157" s="196">
        <v>62.781797301609103</v>
      </c>
      <c r="AH157" s="168">
        <v>3.1594058557260496E-4</v>
      </c>
    </row>
    <row r="158" spans="1:34" hidden="1" x14ac:dyDescent="0.15">
      <c r="A158" s="131" t="s">
        <v>698</v>
      </c>
      <c r="B158" s="190">
        <v>12.77</v>
      </c>
      <c r="C158" s="191">
        <v>6.6230426587968934</v>
      </c>
      <c r="D158" s="192">
        <v>4.1816971908620086</v>
      </c>
      <c r="E158" s="192">
        <v>1.7583971876643931</v>
      </c>
      <c r="F158" s="162">
        <v>-6.1955541846328899E-2</v>
      </c>
      <c r="G158" s="193">
        <v>4.6737106091123843</v>
      </c>
      <c r="H158" s="194">
        <v>2.1537541870778223</v>
      </c>
      <c r="I158" s="194">
        <v>0</v>
      </c>
      <c r="J158" s="165">
        <v>-1</v>
      </c>
      <c r="K158" s="191">
        <v>5.9814914820081011</v>
      </c>
      <c r="L158" s="192">
        <v>2.6499282378740516</v>
      </c>
      <c r="M158" s="192">
        <v>6.5854445719230458E-4</v>
      </c>
      <c r="N158" s="162">
        <v>-0.27273927336982562</v>
      </c>
      <c r="O158" s="193">
        <v>4.673722466633599</v>
      </c>
      <c r="P158" s="194">
        <v>2.2623279611015272</v>
      </c>
      <c r="Q158" s="194">
        <v>0</v>
      </c>
      <c r="R158" s="165">
        <v>-1</v>
      </c>
      <c r="S158" s="191">
        <v>4.6737152257330603</v>
      </c>
      <c r="T158" s="192">
        <v>2.4234478887239024</v>
      </c>
      <c r="U158" s="192">
        <v>0</v>
      </c>
      <c r="V158" s="162">
        <v>-1</v>
      </c>
      <c r="W158" s="193">
        <v>4.6736934388343236</v>
      </c>
      <c r="X158" s="194">
        <v>2.4229106898711348</v>
      </c>
      <c r="Y158" s="194">
        <v>0</v>
      </c>
      <c r="Z158" s="165">
        <v>-1</v>
      </c>
      <c r="AA158" s="191">
        <v>5.8421321533908168</v>
      </c>
      <c r="AB158" s="192">
        <v>3.4494732241481256</v>
      </c>
      <c r="AC158" s="192">
        <v>1.1809909358337188E-4</v>
      </c>
      <c r="AD158" s="162">
        <v>-0.31195839709809237</v>
      </c>
      <c r="AE158" s="195">
        <v>4.6737105787308622</v>
      </c>
      <c r="AF158" s="196">
        <v>2.1540523112943166</v>
      </c>
      <c r="AG158" s="196">
        <v>0</v>
      </c>
      <c r="AH158" s="168">
        <v>-1</v>
      </c>
    </row>
    <row r="159" spans="1:34" ht="12" hidden="1" x14ac:dyDescent="0.15">
      <c r="A159" s="131" t="s">
        <v>730</v>
      </c>
      <c r="B159" s="190">
        <v>0</v>
      </c>
      <c r="C159" s="191">
        <v>0</v>
      </c>
      <c r="D159" s="192">
        <v>0</v>
      </c>
      <c r="E159" s="192">
        <v>0</v>
      </c>
      <c r="F159" s="162" t="s">
        <v>672</v>
      </c>
      <c r="G159" s="193">
        <v>1.1684276963828177</v>
      </c>
      <c r="H159" s="194">
        <v>1.4357187623373908</v>
      </c>
      <c r="I159" s="194">
        <v>1.5065775266584438</v>
      </c>
      <c r="J159" s="165" t="s">
        <v>672</v>
      </c>
      <c r="K159" s="191">
        <v>3.0672255319110536E-2</v>
      </c>
      <c r="L159" s="192">
        <v>0.95386476257444675</v>
      </c>
      <c r="M159" s="192">
        <v>6.8147788900584807</v>
      </c>
      <c r="N159" s="162" t="s">
        <v>672</v>
      </c>
      <c r="O159" s="193">
        <v>1.1684306145320082</v>
      </c>
      <c r="P159" s="194">
        <v>1.1684302375591722</v>
      </c>
      <c r="Q159" s="194">
        <v>1.4245889344878675</v>
      </c>
      <c r="R159" s="165" t="s">
        <v>672</v>
      </c>
      <c r="S159" s="191">
        <v>1.168428806091059</v>
      </c>
      <c r="T159" s="192">
        <v>1.1684287082632399</v>
      </c>
      <c r="U159" s="192">
        <v>1.5067413427200693</v>
      </c>
      <c r="V159" s="162" t="s">
        <v>672</v>
      </c>
      <c r="W159" s="193">
        <v>1.1684233612743509</v>
      </c>
      <c r="X159" s="194">
        <v>1.1684231177042146</v>
      </c>
      <c r="Y159" s="194">
        <v>1.5042762204710289</v>
      </c>
      <c r="Z159" s="165" t="s">
        <v>672</v>
      </c>
      <c r="AA159" s="191">
        <v>5.5066352914529805E-5</v>
      </c>
      <c r="AB159" s="192">
        <v>1.1712321184186176E-4</v>
      </c>
      <c r="AC159" s="192">
        <v>1.4156292889509348</v>
      </c>
      <c r="AD159" s="162" t="s">
        <v>672</v>
      </c>
      <c r="AE159" s="195">
        <v>1.1684275159932607</v>
      </c>
      <c r="AF159" s="196">
        <v>1.4358932740940173</v>
      </c>
      <c r="AG159" s="196">
        <v>1.5067819143351766</v>
      </c>
      <c r="AH159" s="168" t="s">
        <v>672</v>
      </c>
    </row>
    <row r="160" spans="1:34" ht="12" hidden="1" x14ac:dyDescent="0.15">
      <c r="A160" s="131" t="s">
        <v>691</v>
      </c>
      <c r="B160" s="190">
        <v>35.479039999999998</v>
      </c>
      <c r="C160" s="191">
        <v>39.041812993102617</v>
      </c>
      <c r="D160" s="192">
        <v>41.741335135157229</v>
      </c>
      <c r="E160" s="192">
        <v>43.88351447665454</v>
      </c>
      <c r="F160" s="162">
        <v>6.8815252890814804E-3</v>
      </c>
      <c r="G160" s="193">
        <v>19.890805043641819</v>
      </c>
      <c r="H160" s="194">
        <v>17.644484908017848</v>
      </c>
      <c r="I160" s="194">
        <v>15.703691921981044</v>
      </c>
      <c r="J160" s="165">
        <v>-2.5949194366033601E-2</v>
      </c>
      <c r="K160" s="191">
        <v>27.434446828765441</v>
      </c>
      <c r="L160" s="192">
        <v>20.467929007680247</v>
      </c>
      <c r="M160" s="192">
        <v>18.111847406197125</v>
      </c>
      <c r="N160" s="162">
        <v>-2.1456015943967177E-2</v>
      </c>
      <c r="O160" s="193">
        <v>19.710175432142833</v>
      </c>
      <c r="P160" s="194">
        <v>17.445049307649079</v>
      </c>
      <c r="Q160" s="194">
        <v>14.50757805000954</v>
      </c>
      <c r="R160" s="165">
        <v>-2.8435335040813969E-2</v>
      </c>
      <c r="S160" s="191">
        <v>19.890198377868554</v>
      </c>
      <c r="T160" s="192">
        <v>17.678921482970306</v>
      </c>
      <c r="U160" s="192">
        <v>15.704880395789665</v>
      </c>
      <c r="V160" s="162">
        <v>-2.5946816475481249E-2</v>
      </c>
      <c r="W160" s="193">
        <v>19.894002929667266</v>
      </c>
      <c r="X160" s="194">
        <v>17.625244910926273</v>
      </c>
      <c r="Y160" s="194">
        <v>15.535335959165074</v>
      </c>
      <c r="Z160" s="165">
        <v>-2.6287812029566426E-2</v>
      </c>
      <c r="AA160" s="191">
        <v>23.316424171904988</v>
      </c>
      <c r="AB160" s="192">
        <v>19.872451056478802</v>
      </c>
      <c r="AC160" s="192">
        <v>15.808965102565963</v>
      </c>
      <c r="AD160" s="162">
        <v>-2.5739237031357054E-2</v>
      </c>
      <c r="AE160" s="195">
        <v>19.893693338904868</v>
      </c>
      <c r="AF160" s="196">
        <v>17.716715613511557</v>
      </c>
      <c r="AG160" s="196">
        <v>15.709107128021103</v>
      </c>
      <c r="AH160" s="168">
        <v>-2.5938361068265636E-2</v>
      </c>
    </row>
    <row r="161" spans="1:34" hidden="1" x14ac:dyDescent="0.15">
      <c r="A161" s="131" t="s">
        <v>692</v>
      </c>
      <c r="B161" s="190">
        <v>0.42810029999999999</v>
      </c>
      <c r="C161" s="191">
        <v>0.44592335373734659</v>
      </c>
      <c r="D161" s="192">
        <v>0.56083250635862625</v>
      </c>
      <c r="E161" s="192">
        <v>0.65987567851499029</v>
      </c>
      <c r="F161" s="162">
        <v>1.4055734806264653E-2</v>
      </c>
      <c r="G161" s="193">
        <v>1.5149577448521574</v>
      </c>
      <c r="H161" s="194">
        <v>1.5149619291406573</v>
      </c>
      <c r="I161" s="194">
        <v>1.5149601290222257</v>
      </c>
      <c r="J161" s="165">
        <v>4.1609714462562897E-2</v>
      </c>
      <c r="K161" s="191">
        <v>1.7363039678905943</v>
      </c>
      <c r="L161" s="192">
        <v>4.5322398916294544</v>
      </c>
      <c r="M161" s="192">
        <v>4.5422396428742955</v>
      </c>
      <c r="N161" s="162">
        <v>7.9165088988791155E-2</v>
      </c>
      <c r="O161" s="193">
        <v>2.8095517478620127</v>
      </c>
      <c r="P161" s="194">
        <v>2.8095517576432241</v>
      </c>
      <c r="Q161" s="194">
        <v>2.809551753077546</v>
      </c>
      <c r="R161" s="165">
        <v>6.2570588020505857E-2</v>
      </c>
      <c r="S161" s="191">
        <v>1.5613826566844031</v>
      </c>
      <c r="T161" s="192">
        <v>1.5613826596537159</v>
      </c>
      <c r="U161" s="192">
        <v>1.5613826584591683</v>
      </c>
      <c r="V161" s="162">
        <v>4.2624354054633828E-2</v>
      </c>
      <c r="W161" s="193">
        <v>0.96770683104606392</v>
      </c>
      <c r="X161" s="194">
        <v>0.96770685797957212</v>
      </c>
      <c r="Y161" s="194">
        <v>0.96770684901584125</v>
      </c>
      <c r="Z161" s="165">
        <v>2.6657894590083053E-2</v>
      </c>
      <c r="AA161" s="191">
        <v>4.0737765475284125</v>
      </c>
      <c r="AB161" s="192">
        <v>5.4636399299229126</v>
      </c>
      <c r="AC161" s="192">
        <v>10.162240220526638</v>
      </c>
      <c r="AD161" s="162">
        <v>0.10756483587663523</v>
      </c>
      <c r="AE161" s="195">
        <v>1.5401481877409731</v>
      </c>
      <c r="AF161" s="196">
        <v>1.5401494341226207</v>
      </c>
      <c r="AG161" s="196">
        <v>1.5401493053275535</v>
      </c>
      <c r="AH161" s="168">
        <v>4.2163939159635788E-2</v>
      </c>
    </row>
    <row r="162" spans="1:34" hidden="1" x14ac:dyDescent="0.15">
      <c r="A162" s="131" t="s">
        <v>679</v>
      </c>
      <c r="B162" s="190">
        <v>3.71</v>
      </c>
      <c r="C162" s="191">
        <v>3.4071903378684607</v>
      </c>
      <c r="D162" s="192">
        <v>2.8906623354426593</v>
      </c>
      <c r="E162" s="192">
        <v>2.355004635401833</v>
      </c>
      <c r="F162" s="162">
        <v>-1.4553993009140509E-2</v>
      </c>
      <c r="G162" s="193">
        <v>1.9070053288425679</v>
      </c>
      <c r="H162" s="194">
        <v>1.0240723545891148</v>
      </c>
      <c r="I162" s="194">
        <v>0.20177511740799425</v>
      </c>
      <c r="J162" s="165">
        <v>-8.9647741140407633E-2</v>
      </c>
      <c r="K162" s="191">
        <v>1.9092904952451004</v>
      </c>
      <c r="L162" s="192">
        <v>0.97950007094468861</v>
      </c>
      <c r="M162" s="192">
        <v>0.1895853606095966</v>
      </c>
      <c r="N162" s="162">
        <v>-9.1475841058174745E-2</v>
      </c>
      <c r="O162" s="193">
        <v>1.907009827608612</v>
      </c>
      <c r="P162" s="194">
        <v>0.97879893376108806</v>
      </c>
      <c r="Q162" s="194">
        <v>0.19079423460044526</v>
      </c>
      <c r="R162" s="165">
        <v>-9.1289540313766682E-2</v>
      </c>
      <c r="S162" s="191">
        <v>1.9070068731804524</v>
      </c>
      <c r="T162" s="192">
        <v>1.0247661826254861</v>
      </c>
      <c r="U162" s="192">
        <v>0.20179685085314797</v>
      </c>
      <c r="V162" s="162">
        <v>-8.9644578235657746E-2</v>
      </c>
      <c r="W162" s="193">
        <v>1.9069979861291124</v>
      </c>
      <c r="X162" s="194">
        <v>1.0246113284100609</v>
      </c>
      <c r="Y162" s="194">
        <v>0.20146669979462978</v>
      </c>
      <c r="Z162" s="165">
        <v>-8.9692661244558325E-2</v>
      </c>
      <c r="AA162" s="191">
        <v>1.9070056705500786</v>
      </c>
      <c r="AB162" s="192">
        <v>0.9841494921529873</v>
      </c>
      <c r="AC162" s="192">
        <v>0.18960567908847611</v>
      </c>
      <c r="AD162" s="162">
        <v>-9.1472700269916274E-2</v>
      </c>
      <c r="AE162" s="195">
        <v>1.9070050789050241</v>
      </c>
      <c r="AF162" s="196">
        <v>1.0242096197759598</v>
      </c>
      <c r="AG162" s="196">
        <v>0.20180237858974281</v>
      </c>
      <c r="AH162" s="168">
        <v>-8.9643773827458806E-2</v>
      </c>
    </row>
    <row r="163" spans="1:34" hidden="1" x14ac:dyDescent="0.15">
      <c r="A163" s="131" t="s">
        <v>732</v>
      </c>
      <c r="B163" s="190">
        <v>7.4446799999999991</v>
      </c>
      <c r="C163" s="191">
        <v>5.4925397461575995</v>
      </c>
      <c r="D163" s="192">
        <v>5.4735005078193302</v>
      </c>
      <c r="E163" s="192">
        <v>5.454510850463822</v>
      </c>
      <c r="F163" s="162">
        <v>-9.9839148144582612E-3</v>
      </c>
      <c r="G163" s="193">
        <v>5.4925402515682293</v>
      </c>
      <c r="H163" s="194">
        <v>5.4734657782655027</v>
      </c>
      <c r="I163" s="194">
        <v>2.8739748890472705</v>
      </c>
      <c r="J163" s="165">
        <v>-3.0236782545455809E-2</v>
      </c>
      <c r="K163" s="191">
        <v>4.8115913339733982</v>
      </c>
      <c r="L163" s="192">
        <v>3.7662914773277412</v>
      </c>
      <c r="M163" s="192">
        <v>1.0163769791395137E-3</v>
      </c>
      <c r="N163" s="162">
        <v>-0.24953694727952014</v>
      </c>
      <c r="O163" s="193">
        <v>5.492539740570531</v>
      </c>
      <c r="P163" s="194">
        <v>5.8972433689358787</v>
      </c>
      <c r="Q163" s="194">
        <v>2.8500035282459653</v>
      </c>
      <c r="R163" s="165">
        <v>-3.0498765225312363E-2</v>
      </c>
      <c r="S163" s="191">
        <v>5.4925397398359719</v>
      </c>
      <c r="T163" s="192">
        <v>5.473500499160564</v>
      </c>
      <c r="U163" s="192">
        <v>2.8824738036457744</v>
      </c>
      <c r="V163" s="162">
        <v>-3.0144405549300424E-2</v>
      </c>
      <c r="W163" s="193">
        <v>5.4925397427570442</v>
      </c>
      <c r="X163" s="194">
        <v>5.4735005109101129</v>
      </c>
      <c r="Y163" s="194">
        <v>2.8592497982500356</v>
      </c>
      <c r="Z163" s="165">
        <v>-3.0397461131816073E-2</v>
      </c>
      <c r="AA163" s="191">
        <v>5.4925405285605358</v>
      </c>
      <c r="AB163" s="192">
        <v>5.4734994071684566</v>
      </c>
      <c r="AC163" s="192">
        <v>2.8727773125047111</v>
      </c>
      <c r="AD163" s="162">
        <v>-3.0249820573355679E-2</v>
      </c>
      <c r="AE163" s="195">
        <v>5.4925399250429319</v>
      </c>
      <c r="AF163" s="196">
        <v>4.2427294434061453</v>
      </c>
      <c r="AG163" s="196">
        <v>2.8802855158995029</v>
      </c>
      <c r="AH163" s="168">
        <v>-3.0168165417373993E-2</v>
      </c>
    </row>
    <row r="164" spans="1:34" ht="12" hidden="1" x14ac:dyDescent="0.15">
      <c r="A164" s="131" t="s">
        <v>735</v>
      </c>
      <c r="B164" s="190">
        <v>12.94387283207255</v>
      </c>
      <c r="C164" s="191">
        <v>15.27434452476075</v>
      </c>
      <c r="D164" s="192">
        <v>14.870511570484675</v>
      </c>
      <c r="E164" s="192">
        <v>14.219001241481457</v>
      </c>
      <c r="F164" s="162">
        <v>3.0354573740649649E-3</v>
      </c>
      <c r="G164" s="193">
        <v>16.358365418451566</v>
      </c>
      <c r="H164" s="194">
        <v>20.162175726121255</v>
      </c>
      <c r="I164" s="194">
        <v>25.064714448913428</v>
      </c>
      <c r="J164" s="165">
        <v>2.1546210043823288E-2</v>
      </c>
      <c r="K164" s="191">
        <v>14.838157358358938</v>
      </c>
      <c r="L164" s="192">
        <v>16.25282333591786</v>
      </c>
      <c r="M164" s="192">
        <v>16.384737227020125</v>
      </c>
      <c r="N164" s="162">
        <v>7.6331043780790697E-3</v>
      </c>
      <c r="O164" s="193">
        <v>16.571312108941125</v>
      </c>
      <c r="P164" s="194">
        <v>15.479553585267517</v>
      </c>
      <c r="Q164" s="194">
        <v>21.705946788120702</v>
      </c>
      <c r="R164" s="165">
        <v>1.6816074260799008E-2</v>
      </c>
      <c r="S164" s="191">
        <v>16.359125953332825</v>
      </c>
      <c r="T164" s="192">
        <v>20.366581057930713</v>
      </c>
      <c r="U164" s="192">
        <v>25.179692220298762</v>
      </c>
      <c r="V164" s="162">
        <v>2.1697039199724877E-2</v>
      </c>
      <c r="W164" s="193">
        <v>16.773662841755083</v>
      </c>
      <c r="X164" s="194">
        <v>20.713105612873061</v>
      </c>
      <c r="Y164" s="194">
        <v>25.954611041564856</v>
      </c>
      <c r="Z164" s="165">
        <v>2.2696532517328061E-2</v>
      </c>
      <c r="AA164" s="191">
        <v>14.811287620930131</v>
      </c>
      <c r="AB164" s="192">
        <v>14.902554663742944</v>
      </c>
      <c r="AC164" s="192">
        <v>15.300123220061119</v>
      </c>
      <c r="AD164" s="162">
        <v>5.4093634181064942E-3</v>
      </c>
      <c r="AE164" s="195">
        <v>16.35663794671845</v>
      </c>
      <c r="AF164" s="196">
        <v>20.674877535094417</v>
      </c>
      <c r="AG164" s="196">
        <v>25.099277781617484</v>
      </c>
      <c r="AH164" s="168">
        <v>2.159162088639599E-2</v>
      </c>
    </row>
    <row r="165" spans="1:34" hidden="1" x14ac:dyDescent="0.15">
      <c r="A165" s="131" t="s">
        <v>669</v>
      </c>
      <c r="B165" s="190">
        <v>8.9090000000000007</v>
      </c>
      <c r="C165" s="191">
        <v>7.8809552639397378</v>
      </c>
      <c r="D165" s="192">
        <v>7.8404575485518704</v>
      </c>
      <c r="E165" s="192">
        <v>7.7113290608138696</v>
      </c>
      <c r="F165" s="162">
        <v>-4.646315793219058E-3</v>
      </c>
      <c r="G165" s="193">
        <v>7.2380428913969794</v>
      </c>
      <c r="H165" s="194">
        <v>7.1272212885213602</v>
      </c>
      <c r="I165" s="194">
        <v>5.287252688856773</v>
      </c>
      <c r="J165" s="165">
        <v>-1.6690220816426016E-2</v>
      </c>
      <c r="K165" s="191">
        <v>6.6278442967812587</v>
      </c>
      <c r="L165" s="192">
        <v>6.5622071624445102</v>
      </c>
      <c r="M165" s="192">
        <v>4.957654081175412</v>
      </c>
      <c r="N165" s="162">
        <v>-1.8729774454576908E-2</v>
      </c>
      <c r="O165" s="193">
        <v>7.3091603532395002</v>
      </c>
      <c r="P165" s="194">
        <v>6.8963180531555102</v>
      </c>
      <c r="Q165" s="194">
        <v>6.2486672316301544</v>
      </c>
      <c r="R165" s="165">
        <v>-1.1376527878881881E-2</v>
      </c>
      <c r="S165" s="191">
        <v>7.3091483136895858</v>
      </c>
      <c r="T165" s="192">
        <v>7.220188852339593</v>
      </c>
      <c r="U165" s="192">
        <v>5.4177831113444821</v>
      </c>
      <c r="V165" s="162">
        <v>-1.5916338991339818E-2</v>
      </c>
      <c r="W165" s="193">
        <v>7.2381644053835537</v>
      </c>
      <c r="X165" s="194">
        <v>7.1523941676946645</v>
      </c>
      <c r="Y165" s="194">
        <v>5.6018678618490467</v>
      </c>
      <c r="Z165" s="165">
        <v>-1.4855071714184875E-2</v>
      </c>
      <c r="AA165" s="191">
        <v>7.1754683549074993</v>
      </c>
      <c r="AB165" s="192">
        <v>6.8240723898692108</v>
      </c>
      <c r="AC165" s="192">
        <v>4.9680360125490957</v>
      </c>
      <c r="AD165" s="162">
        <v>-1.8663554454390052E-2</v>
      </c>
      <c r="AE165" s="195">
        <v>7.2251979919438432</v>
      </c>
      <c r="AF165" s="196">
        <v>7.1256956434464573</v>
      </c>
      <c r="AG165" s="196">
        <v>5.2876240137129562</v>
      </c>
      <c r="AH165" s="168">
        <v>-1.668799321308112E-2</v>
      </c>
    </row>
    <row r="166" spans="1:34" hidden="1" x14ac:dyDescent="0.15">
      <c r="A166" s="131" t="s">
        <v>674</v>
      </c>
      <c r="B166" s="190">
        <v>7.8427137600000002E-2</v>
      </c>
      <c r="C166" s="191">
        <v>5.4452769534163122E-2</v>
      </c>
      <c r="D166" s="192">
        <v>5.3910687756717278E-2</v>
      </c>
      <c r="E166" s="192">
        <v>5.337400370177299E-2</v>
      </c>
      <c r="F166" s="162">
        <v>-1.2337653013951622E-2</v>
      </c>
      <c r="G166" s="193">
        <v>2.4808615930135236</v>
      </c>
      <c r="H166" s="194">
        <v>2.4561643289735162</v>
      </c>
      <c r="I166" s="194">
        <v>2.4317129061558358</v>
      </c>
      <c r="J166" s="165">
        <v>0.11714914944188748</v>
      </c>
      <c r="K166" s="191">
        <v>2.4587125795322016</v>
      </c>
      <c r="L166" s="192">
        <v>2.4786899409417584</v>
      </c>
      <c r="M166" s="192">
        <v>2.454019810840284</v>
      </c>
      <c r="N166" s="162">
        <v>0.11747827078864992</v>
      </c>
      <c r="O166" s="193">
        <v>2.4808615095974842</v>
      </c>
      <c r="P166" s="194">
        <v>2.4561642364444869</v>
      </c>
      <c r="Q166" s="194">
        <v>2.4317128272372073</v>
      </c>
      <c r="R166" s="165">
        <v>0.11714914827234302</v>
      </c>
      <c r="S166" s="191">
        <v>2.4808615093845572</v>
      </c>
      <c r="T166" s="192">
        <v>2.4561642358809688</v>
      </c>
      <c r="U166" s="192">
        <v>2.4317128267005876</v>
      </c>
      <c r="V166" s="162">
        <v>0.11714914826439049</v>
      </c>
      <c r="W166" s="193">
        <v>2.4808615086957557</v>
      </c>
      <c r="X166" s="194">
        <v>2.456164235098671</v>
      </c>
      <c r="Y166" s="194">
        <v>2.4317128258581011</v>
      </c>
      <c r="Z166" s="165">
        <v>0.11714914825190514</v>
      </c>
      <c r="AA166" s="191">
        <v>2.4808615407168131</v>
      </c>
      <c r="AB166" s="192">
        <v>2.4785174367077891</v>
      </c>
      <c r="AC166" s="192">
        <v>2.4538437955495471</v>
      </c>
      <c r="AD166" s="162">
        <v>0.11747568516805007</v>
      </c>
      <c r="AE166" s="195">
        <v>2.4808615461785699</v>
      </c>
      <c r="AF166" s="196">
        <v>2.4561643676510503</v>
      </c>
      <c r="AG166" s="196">
        <v>2.4317129573183549</v>
      </c>
      <c r="AH166" s="168">
        <v>0.11714915020009675</v>
      </c>
    </row>
    <row r="167" spans="1:34" hidden="1" x14ac:dyDescent="0.15">
      <c r="A167" s="131" t="s">
        <v>684</v>
      </c>
      <c r="B167" s="190">
        <v>0</v>
      </c>
      <c r="C167" s="191">
        <v>3.1526724265658108E-6</v>
      </c>
      <c r="D167" s="192">
        <v>7.2156683896427453E-6</v>
      </c>
      <c r="E167" s="192">
        <v>7.6251277263226747E-6</v>
      </c>
      <c r="F167" s="162" t="s">
        <v>672</v>
      </c>
      <c r="G167" s="193">
        <v>3.2077077438419761</v>
      </c>
      <c r="H167" s="194">
        <v>3.1409099520518859</v>
      </c>
      <c r="I167" s="194">
        <v>3.1556352464068347</v>
      </c>
      <c r="J167" s="165" t="s">
        <v>672</v>
      </c>
      <c r="K167" s="191">
        <v>6.2161719173179336E-2</v>
      </c>
      <c r="L167" s="192">
        <v>1.4671226193608434E-2</v>
      </c>
      <c r="M167" s="192">
        <v>3.0568916980561436E-2</v>
      </c>
      <c r="N167" s="162" t="s">
        <v>672</v>
      </c>
      <c r="O167" s="193">
        <v>3.3891826565126832</v>
      </c>
      <c r="P167" s="194">
        <v>3.3187549533825771</v>
      </c>
      <c r="Q167" s="194">
        <v>3.3268864874514481</v>
      </c>
      <c r="R167" s="165" t="s">
        <v>672</v>
      </c>
      <c r="S167" s="191">
        <v>3.2083316584019537</v>
      </c>
      <c r="T167" s="192">
        <v>3.120513399082292</v>
      </c>
      <c r="U167" s="192">
        <v>3.1564659908548824</v>
      </c>
      <c r="V167" s="162" t="s">
        <v>672</v>
      </c>
      <c r="W167" s="193">
        <v>3.2208163150067599</v>
      </c>
      <c r="X167" s="194">
        <v>3.1868411350788866</v>
      </c>
      <c r="Y167" s="194">
        <v>3.3104051320129444</v>
      </c>
      <c r="Z167" s="165" t="s">
        <v>672</v>
      </c>
      <c r="AA167" s="191">
        <v>0.33931078569773571</v>
      </c>
      <c r="AB167" s="192">
        <v>0.64055741116273424</v>
      </c>
      <c r="AC167" s="192">
        <v>2.4392417488189189</v>
      </c>
      <c r="AD167" s="162" t="s">
        <v>672</v>
      </c>
      <c r="AE167" s="195">
        <v>3.2048041260270979</v>
      </c>
      <c r="AF167" s="196">
        <v>3.0714600980074134</v>
      </c>
      <c r="AG167" s="196">
        <v>3.152775276076258</v>
      </c>
      <c r="AH167" s="168" t="s">
        <v>672</v>
      </c>
    </row>
    <row r="168" spans="1:34" hidden="1" x14ac:dyDescent="0.15">
      <c r="A168" s="134" t="s">
        <v>677</v>
      </c>
      <c r="B168" s="197">
        <v>1.3034725624000001</v>
      </c>
      <c r="C168" s="198">
        <v>1.3034725624000001</v>
      </c>
      <c r="D168" s="199">
        <v>1.3034725624000001</v>
      </c>
      <c r="E168" s="199">
        <v>1.3034725624000001</v>
      </c>
      <c r="F168" s="216">
        <v>0</v>
      </c>
      <c r="G168" s="200">
        <v>2.6219232171434341</v>
      </c>
      <c r="H168" s="201">
        <v>2.6658820578128197</v>
      </c>
      <c r="I168" s="201">
        <v>2.7066721055114233</v>
      </c>
      <c r="J168" s="217">
        <v>2.3850561236705259E-2</v>
      </c>
      <c r="K168" s="198">
        <v>2.1705232154090339</v>
      </c>
      <c r="L168" s="199">
        <v>2.2185072125671312</v>
      </c>
      <c r="M168" s="199">
        <v>2.2629997740032732</v>
      </c>
      <c r="N168" s="216">
        <v>1.7954745973926212E-2</v>
      </c>
      <c r="O168" s="200">
        <v>1.8459105699633178</v>
      </c>
      <c r="P168" s="201">
        <v>1.8768278682271555</v>
      </c>
      <c r="Q168" s="201">
        <v>1.9055440044943874</v>
      </c>
      <c r="R168" s="217">
        <v>1.2324869289584761E-2</v>
      </c>
      <c r="S168" s="198">
        <v>2.6219386807252816</v>
      </c>
      <c r="T168" s="199">
        <v>2.6658536927484939</v>
      </c>
      <c r="U168" s="199">
        <v>2.7066421674132668</v>
      </c>
      <c r="V168" s="216">
        <v>2.3850195923169615E-2</v>
      </c>
      <c r="W168" s="200">
        <v>2.615367542889417</v>
      </c>
      <c r="X168" s="201">
        <v>2.6595224695008102</v>
      </c>
      <c r="Y168" s="201">
        <v>2.7005345007251487</v>
      </c>
      <c r="Z168" s="217">
        <v>2.3775586471386001E-2</v>
      </c>
      <c r="AA168" s="198">
        <v>2.2883878846059451</v>
      </c>
      <c r="AB168" s="199">
        <v>2.3389346123070234</v>
      </c>
      <c r="AC168" s="199">
        <v>2.3858829450551573</v>
      </c>
      <c r="AD168" s="216">
        <v>1.9692595701533699E-2</v>
      </c>
      <c r="AE168" s="202">
        <v>2.6219240198356486</v>
      </c>
      <c r="AF168" s="203">
        <v>2.6658853253657639</v>
      </c>
      <c r="AG168" s="203">
        <v>2.7066754411460443</v>
      </c>
      <c r="AH168" s="218">
        <v>2.3850601938864235E-2</v>
      </c>
    </row>
    <row r="169" spans="1:34" ht="12" hidden="1" x14ac:dyDescent="0.15">
      <c r="A169" s="235" t="s">
        <v>736</v>
      </c>
      <c r="B169" s="177">
        <v>141.96465531390135</v>
      </c>
      <c r="C169" s="178">
        <v>142.60039681666305</v>
      </c>
      <c r="D169" s="179">
        <v>137.53278167180619</v>
      </c>
      <c r="E169" s="179">
        <v>130.7963580573371</v>
      </c>
      <c r="F169" s="181">
        <v>-2.6396237710851755E-3</v>
      </c>
      <c r="G169" s="182">
        <v>125.60387478252034</v>
      </c>
      <c r="H169" s="183">
        <v>115.90444933661126</v>
      </c>
      <c r="I169" s="183">
        <v>106.40094894880572</v>
      </c>
      <c r="J169" s="185">
        <v>-9.2589221608651018E-3</v>
      </c>
      <c r="K169" s="178">
        <v>123.16905335100998</v>
      </c>
      <c r="L169" s="179">
        <v>114.83640540920524</v>
      </c>
      <c r="M169" s="179">
        <v>103.28722342109809</v>
      </c>
      <c r="N169" s="181">
        <v>-1.0207687386522557E-2</v>
      </c>
      <c r="O169" s="182">
        <v>119.83604806715626</v>
      </c>
      <c r="P169" s="183">
        <v>114.83827689883488</v>
      </c>
      <c r="Q169" s="183">
        <v>104.20899874359949</v>
      </c>
      <c r="R169" s="185">
        <v>-9.9239658157184163E-3</v>
      </c>
      <c r="S169" s="178">
        <v>125.64588688611082</v>
      </c>
      <c r="T169" s="179">
        <v>117.9906462359819</v>
      </c>
      <c r="U169" s="179">
        <v>108.4682058871377</v>
      </c>
      <c r="V169" s="181">
        <v>-8.6437494646507407E-3</v>
      </c>
      <c r="W169" s="182">
        <v>125.5610779961584</v>
      </c>
      <c r="X169" s="183">
        <v>116.16452499255502</v>
      </c>
      <c r="Y169" s="183">
        <v>108.1311884693377</v>
      </c>
      <c r="Z169" s="185">
        <v>-8.7432606071358165E-3</v>
      </c>
      <c r="AA169" s="178">
        <v>125.9177271556583</v>
      </c>
      <c r="AB169" s="179">
        <v>116.15501086687055</v>
      </c>
      <c r="AC169" s="179">
        <v>107.55197384291809</v>
      </c>
      <c r="AD169" s="181">
        <v>-8.9149886240275089E-3</v>
      </c>
      <c r="AE169" s="186">
        <v>125.47925571156786</v>
      </c>
      <c r="AF169" s="187">
        <v>115.82644394442875</v>
      </c>
      <c r="AG169" s="187">
        <v>106.34036285052817</v>
      </c>
      <c r="AH169" s="189">
        <v>-9.2771252730635689E-3</v>
      </c>
    </row>
    <row r="170" spans="1:34" hidden="1" x14ac:dyDescent="0.15">
      <c r="A170" s="131" t="s">
        <v>354</v>
      </c>
      <c r="B170" s="190">
        <v>64.06</v>
      </c>
      <c r="C170" s="191">
        <v>67.106004872524935</v>
      </c>
      <c r="D170" s="192">
        <v>67.469498404280145</v>
      </c>
      <c r="E170" s="192">
        <v>67.549033980193599</v>
      </c>
      <c r="F170" s="162">
        <v>1.7122261012791906E-3</v>
      </c>
      <c r="G170" s="193">
        <v>71.128472649849073</v>
      </c>
      <c r="H170" s="194">
        <v>68.977477116103543</v>
      </c>
      <c r="I170" s="194">
        <v>65.541894652036916</v>
      </c>
      <c r="J170" s="165">
        <v>7.3799499095161813E-4</v>
      </c>
      <c r="K170" s="191">
        <v>69.799503682905538</v>
      </c>
      <c r="L170" s="192">
        <v>68.435449553944878</v>
      </c>
      <c r="M170" s="192">
        <v>64.971063386310561</v>
      </c>
      <c r="N170" s="162">
        <v>4.5564725701296993E-4</v>
      </c>
      <c r="O170" s="193">
        <v>70.174355008270652</v>
      </c>
      <c r="P170" s="194">
        <v>69.749572967074329</v>
      </c>
      <c r="Q170" s="194">
        <v>65.864493638642202</v>
      </c>
      <c r="R170" s="165">
        <v>8.9651003168467192E-4</v>
      </c>
      <c r="S170" s="191">
        <v>70.942228149126151</v>
      </c>
      <c r="T170" s="192">
        <v>68.085658523857632</v>
      </c>
      <c r="U170" s="192">
        <v>65.246614093285487</v>
      </c>
      <c r="V170" s="162">
        <v>5.9224012383318758E-4</v>
      </c>
      <c r="W170" s="193">
        <v>71.075434878168977</v>
      </c>
      <c r="X170" s="194">
        <v>68.180098362559576</v>
      </c>
      <c r="Y170" s="194">
        <v>65.592210596691956</v>
      </c>
      <c r="Z170" s="165">
        <v>7.6276830230526116E-4</v>
      </c>
      <c r="AA170" s="191">
        <v>70.42305035539988</v>
      </c>
      <c r="AB170" s="192">
        <v>67.939050170969011</v>
      </c>
      <c r="AC170" s="192">
        <v>66.601022420447933</v>
      </c>
      <c r="AD170" s="162">
        <v>1.2556194019577305E-3</v>
      </c>
      <c r="AE170" s="195">
        <v>70.532916671715995</v>
      </c>
      <c r="AF170" s="196">
        <v>68.915186774508982</v>
      </c>
      <c r="AG170" s="196">
        <v>65.752328172608756</v>
      </c>
      <c r="AH170" s="168">
        <v>8.4148080517021384E-4</v>
      </c>
    </row>
    <row r="171" spans="1:34" hidden="1" x14ac:dyDescent="0.15">
      <c r="A171" s="131" t="s">
        <v>698</v>
      </c>
      <c r="B171" s="190">
        <v>32.799999999999997</v>
      </c>
      <c r="C171" s="191">
        <v>28.732080033128135</v>
      </c>
      <c r="D171" s="192">
        <v>18.868165316288678</v>
      </c>
      <c r="E171" s="192">
        <v>8.352029988990358</v>
      </c>
      <c r="F171" s="162">
        <v>-4.3167163426663269E-2</v>
      </c>
      <c r="G171" s="193">
        <v>7.2227047820494059</v>
      </c>
      <c r="H171" s="194">
        <v>1.7384232602770253</v>
      </c>
      <c r="I171" s="194">
        <v>0</v>
      </c>
      <c r="J171" s="165">
        <v>-1</v>
      </c>
      <c r="K171" s="191">
        <v>10.206503698365459</v>
      </c>
      <c r="L171" s="192">
        <v>2.2332124373497018</v>
      </c>
      <c r="M171" s="192">
        <v>2.3120513855977735E-4</v>
      </c>
      <c r="N171" s="162">
        <v>-0.31795906680144914</v>
      </c>
      <c r="O171" s="193">
        <v>7.939153620219475</v>
      </c>
      <c r="P171" s="194">
        <v>2.8725062300777098</v>
      </c>
      <c r="Q171" s="194">
        <v>0</v>
      </c>
      <c r="R171" s="165">
        <v>-1</v>
      </c>
      <c r="S171" s="191">
        <v>7.3439163351935095</v>
      </c>
      <c r="T171" s="192">
        <v>2.9615036640380952</v>
      </c>
      <c r="U171" s="192">
        <v>0</v>
      </c>
      <c r="V171" s="162">
        <v>-1</v>
      </c>
      <c r="W171" s="193">
        <v>6.9865185011485469</v>
      </c>
      <c r="X171" s="194">
        <v>2.8973252545022974</v>
      </c>
      <c r="Y171" s="194">
        <v>0</v>
      </c>
      <c r="Z171" s="165">
        <v>-1</v>
      </c>
      <c r="AA171" s="191">
        <v>10.363391415364434</v>
      </c>
      <c r="AB171" s="192">
        <v>4.7016699720119925</v>
      </c>
      <c r="AC171" s="192">
        <v>7.9714839857289471E-5</v>
      </c>
      <c r="AD171" s="162">
        <v>-0.34098935450389289</v>
      </c>
      <c r="AE171" s="195">
        <v>7.4026620592766532</v>
      </c>
      <c r="AF171" s="196">
        <v>1.7408067490444445</v>
      </c>
      <c r="AG171" s="196">
        <v>0</v>
      </c>
      <c r="AH171" s="168">
        <v>-1</v>
      </c>
    </row>
    <row r="172" spans="1:34" ht="12" hidden="1" x14ac:dyDescent="0.15">
      <c r="A172" s="131" t="s">
        <v>730</v>
      </c>
      <c r="B172" s="190">
        <v>0</v>
      </c>
      <c r="C172" s="191">
        <v>0</v>
      </c>
      <c r="D172" s="192">
        <v>0</v>
      </c>
      <c r="E172" s="192">
        <v>0</v>
      </c>
      <c r="F172" s="162" t="s">
        <v>672</v>
      </c>
      <c r="G172" s="193">
        <v>1.8056237235577299</v>
      </c>
      <c r="H172" s="194">
        <v>1.1589046684794233</v>
      </c>
      <c r="I172" s="194">
        <v>1.0540095810112107</v>
      </c>
      <c r="J172" s="165" t="s">
        <v>672</v>
      </c>
      <c r="K172" s="191">
        <v>8.8470281899835079E-2</v>
      </c>
      <c r="L172" s="192">
        <v>0.84418143917340349</v>
      </c>
      <c r="M172" s="192">
        <v>1.0168109402189556</v>
      </c>
      <c r="N172" s="162" t="s">
        <v>672</v>
      </c>
      <c r="O172" s="193">
        <v>0</v>
      </c>
      <c r="P172" s="194">
        <v>0</v>
      </c>
      <c r="Q172" s="194">
        <v>1.0167593405570525</v>
      </c>
      <c r="R172" s="165" t="s">
        <v>672</v>
      </c>
      <c r="S172" s="191">
        <v>1.8359790368877194</v>
      </c>
      <c r="T172" s="192">
        <v>1.9009420967174794E-2</v>
      </c>
      <c r="U172" s="192">
        <v>1.0850711285141117</v>
      </c>
      <c r="V172" s="162" t="s">
        <v>672</v>
      </c>
      <c r="W172" s="193">
        <v>1.746629529722173</v>
      </c>
      <c r="X172" s="194">
        <v>0</v>
      </c>
      <c r="Y172" s="194">
        <v>1.0850711308268839</v>
      </c>
      <c r="Z172" s="165" t="s">
        <v>672</v>
      </c>
      <c r="AA172" s="191">
        <v>5.576380376103022E-5</v>
      </c>
      <c r="AB172" s="192">
        <v>1.1626316597367687E-4</v>
      </c>
      <c r="AC172" s="192">
        <v>1.0849909029672886</v>
      </c>
      <c r="AD172" s="162" t="s">
        <v>672</v>
      </c>
      <c r="AE172" s="195">
        <v>1.85064710989465</v>
      </c>
      <c r="AF172" s="196">
        <v>1.1604893847140063</v>
      </c>
      <c r="AG172" s="196">
        <v>1.0540093613761081</v>
      </c>
      <c r="AH172" s="168" t="s">
        <v>672</v>
      </c>
    </row>
    <row r="173" spans="1:34" ht="12" hidden="1" x14ac:dyDescent="0.15">
      <c r="A173" s="131" t="s">
        <v>691</v>
      </c>
      <c r="B173" s="190">
        <v>25.317</v>
      </c>
      <c r="C173" s="191">
        <v>24.128324029224899</v>
      </c>
      <c r="D173" s="192">
        <v>28.29362429382395</v>
      </c>
      <c r="E173" s="192">
        <v>35.423644744990817</v>
      </c>
      <c r="F173" s="162">
        <v>1.0894511886561764E-2</v>
      </c>
      <c r="G173" s="193">
        <v>11.113124493045643</v>
      </c>
      <c r="H173" s="194">
        <v>6.5932415556273236</v>
      </c>
      <c r="I173" s="194">
        <v>1.6698091279230454</v>
      </c>
      <c r="J173" s="165">
        <v>-8.3966327163655596E-2</v>
      </c>
      <c r="K173" s="191">
        <v>12.450640295865604</v>
      </c>
      <c r="L173" s="192">
        <v>6.7861975416562546</v>
      </c>
      <c r="M173" s="192">
        <v>3.612703323398204</v>
      </c>
      <c r="N173" s="162">
        <v>-6.0875376698667494E-2</v>
      </c>
      <c r="O173" s="193">
        <v>9.2696909058868755</v>
      </c>
      <c r="P173" s="194">
        <v>7.0811877523778541</v>
      </c>
      <c r="Q173" s="194">
        <v>1.610794369713753</v>
      </c>
      <c r="R173" s="165">
        <v>-8.5028955669765205E-2</v>
      </c>
      <c r="S173" s="191">
        <v>11.275154079108182</v>
      </c>
      <c r="T173" s="192">
        <v>5.9011927912906792</v>
      </c>
      <c r="U173" s="192">
        <v>1.7190169464210834</v>
      </c>
      <c r="V173" s="162">
        <v>-8.3107711997942313E-2</v>
      </c>
      <c r="W173" s="193">
        <v>10.745708977899556</v>
      </c>
      <c r="X173" s="194">
        <v>5.2254151175240153</v>
      </c>
      <c r="Y173" s="194">
        <v>1.6982642150683924</v>
      </c>
      <c r="Z173" s="165">
        <v>-8.3466883140427162E-2</v>
      </c>
      <c r="AA173" s="191">
        <v>12.8018453193827</v>
      </c>
      <c r="AB173" s="192">
        <v>11.614020974115357</v>
      </c>
      <c r="AC173" s="192">
        <v>1.7190840678386929</v>
      </c>
      <c r="AD173" s="162">
        <v>-8.3106557137825887E-2</v>
      </c>
      <c r="AE173" s="195">
        <v>11.431788935786932</v>
      </c>
      <c r="AF173" s="196">
        <v>7.1472055281714999</v>
      </c>
      <c r="AG173" s="196">
        <v>1.6698093507749094</v>
      </c>
      <c r="AH173" s="168">
        <v>-8.3966323219998418E-2</v>
      </c>
    </row>
    <row r="174" spans="1:34" hidden="1" x14ac:dyDescent="0.15">
      <c r="A174" s="131" t="s">
        <v>692</v>
      </c>
      <c r="B174" s="190">
        <v>1.4608997000000001</v>
      </c>
      <c r="C174" s="191">
        <v>1.7000711554849139</v>
      </c>
      <c r="D174" s="192">
        <v>1.9807076858858206</v>
      </c>
      <c r="E174" s="192">
        <v>2.1935105059496864</v>
      </c>
      <c r="F174" s="162">
        <v>1.3197644766554717E-2</v>
      </c>
      <c r="G174" s="193">
        <v>1.4174052579212106</v>
      </c>
      <c r="H174" s="194">
        <v>3.8881654407252189</v>
      </c>
      <c r="I174" s="194">
        <v>3.8881645247168191</v>
      </c>
      <c r="J174" s="165">
        <v>3.2080766950597805E-2</v>
      </c>
      <c r="K174" s="191">
        <v>1.3517410777039762</v>
      </c>
      <c r="L174" s="192">
        <v>1.9902068412886806</v>
      </c>
      <c r="M174" s="192">
        <v>1.6037119673842788</v>
      </c>
      <c r="N174" s="162">
        <v>3.0131900118921529E-3</v>
      </c>
      <c r="O174" s="193">
        <v>1.2885381376666392</v>
      </c>
      <c r="P174" s="194">
        <v>1.7793414728881189</v>
      </c>
      <c r="Q174" s="194">
        <v>1.6071190422781387</v>
      </c>
      <c r="R174" s="165">
        <v>3.0818579815357072E-3</v>
      </c>
      <c r="S174" s="191">
        <v>1.4174047718195724</v>
      </c>
      <c r="T174" s="192">
        <v>9.1503746628886766</v>
      </c>
      <c r="U174" s="192">
        <v>9.1503746649595179</v>
      </c>
      <c r="V174" s="162">
        <v>6.0971753751142499E-2</v>
      </c>
      <c r="W174" s="193">
        <v>1.4174047821358471</v>
      </c>
      <c r="X174" s="194">
        <v>7.132421865929814</v>
      </c>
      <c r="Y174" s="194">
        <v>7.1324218714677956</v>
      </c>
      <c r="Z174" s="165">
        <v>5.2479000714485302E-2</v>
      </c>
      <c r="AA174" s="191">
        <v>1.417405595033417</v>
      </c>
      <c r="AB174" s="192">
        <v>1.7151024756300335</v>
      </c>
      <c r="AC174" s="192">
        <v>1.7151044859172231</v>
      </c>
      <c r="AD174" s="162">
        <v>5.1883007523343405E-3</v>
      </c>
      <c r="AE174" s="195">
        <v>1.4174050049042379</v>
      </c>
      <c r="AF174" s="196">
        <v>2.9436916166612637</v>
      </c>
      <c r="AG174" s="196">
        <v>2.9436945024621561</v>
      </c>
      <c r="AH174" s="168">
        <v>2.2857741977748258E-2</v>
      </c>
    </row>
    <row r="175" spans="1:34" hidden="1" x14ac:dyDescent="0.15">
      <c r="A175" s="131" t="s">
        <v>679</v>
      </c>
      <c r="B175" s="190">
        <v>0</v>
      </c>
      <c r="C175" s="191">
        <v>0</v>
      </c>
      <c r="D175" s="192">
        <v>0</v>
      </c>
      <c r="E175" s="192">
        <v>0</v>
      </c>
      <c r="F175" s="162" t="s">
        <v>672</v>
      </c>
      <c r="G175" s="193">
        <v>0</v>
      </c>
      <c r="H175" s="194">
        <v>0</v>
      </c>
      <c r="I175" s="194">
        <v>0</v>
      </c>
      <c r="J175" s="165" t="s">
        <v>672</v>
      </c>
      <c r="K175" s="191">
        <v>0</v>
      </c>
      <c r="L175" s="192">
        <v>0</v>
      </c>
      <c r="M175" s="192">
        <v>0</v>
      </c>
      <c r="N175" s="162" t="s">
        <v>672</v>
      </c>
      <c r="O175" s="193">
        <v>0</v>
      </c>
      <c r="P175" s="194">
        <v>0</v>
      </c>
      <c r="Q175" s="194">
        <v>0</v>
      </c>
      <c r="R175" s="165" t="s">
        <v>672</v>
      </c>
      <c r="S175" s="191">
        <v>0</v>
      </c>
      <c r="T175" s="192">
        <v>0</v>
      </c>
      <c r="U175" s="192">
        <v>0</v>
      </c>
      <c r="V175" s="162" t="s">
        <v>672</v>
      </c>
      <c r="W175" s="193">
        <v>0</v>
      </c>
      <c r="X175" s="194">
        <v>0</v>
      </c>
      <c r="Y175" s="194">
        <v>0</v>
      </c>
      <c r="Z175" s="165" t="s">
        <v>672</v>
      </c>
      <c r="AA175" s="191">
        <v>0</v>
      </c>
      <c r="AB175" s="192">
        <v>0</v>
      </c>
      <c r="AC175" s="192">
        <v>0</v>
      </c>
      <c r="AD175" s="162" t="s">
        <v>672</v>
      </c>
      <c r="AE175" s="195">
        <v>0</v>
      </c>
      <c r="AF175" s="196">
        <v>0</v>
      </c>
      <c r="AG175" s="196">
        <v>0</v>
      </c>
      <c r="AH175" s="168" t="s">
        <v>672</v>
      </c>
    </row>
    <row r="176" spans="1:34" ht="12" hidden="1" x14ac:dyDescent="0.15">
      <c r="A176" s="131" t="s">
        <v>735</v>
      </c>
      <c r="B176" s="190">
        <v>6.3296553139013456</v>
      </c>
      <c r="C176" s="191">
        <v>10.082345325954515</v>
      </c>
      <c r="D176" s="192">
        <v>10.039635067081422</v>
      </c>
      <c r="E176" s="192">
        <v>9.4536031622368046</v>
      </c>
      <c r="F176" s="162">
        <v>1.3024416557677831E-2</v>
      </c>
      <c r="G176" s="193">
        <v>9.3085354244146696</v>
      </c>
      <c r="H176" s="194">
        <v>8.2102354717929149</v>
      </c>
      <c r="I176" s="194">
        <v>7.2246301214730506</v>
      </c>
      <c r="J176" s="165">
        <v>4.2752502257212832E-3</v>
      </c>
      <c r="K176" s="191">
        <v>9.4456411605298296</v>
      </c>
      <c r="L176" s="192">
        <v>9.9258794251296294</v>
      </c>
      <c r="M176" s="192">
        <v>8.2218995642519008</v>
      </c>
      <c r="N176" s="162">
        <v>8.4729680156829801E-3</v>
      </c>
      <c r="O176" s="193">
        <v>9.7785569866604938</v>
      </c>
      <c r="P176" s="194">
        <v>8.3448095359790653</v>
      </c>
      <c r="Q176" s="194">
        <v>7.8713686428650398</v>
      </c>
      <c r="R176" s="165">
        <v>7.0565932335748816E-3</v>
      </c>
      <c r="S176" s="191">
        <v>9.6784650955206608</v>
      </c>
      <c r="T176" s="192">
        <v>7.43838507169606</v>
      </c>
      <c r="U176" s="192">
        <v>7.7056035914970886</v>
      </c>
      <c r="V176" s="162">
        <v>6.3654000940895905E-3</v>
      </c>
      <c r="W176" s="193">
        <v>10.096695665201342</v>
      </c>
      <c r="X176" s="194">
        <v>7.6918256133758263</v>
      </c>
      <c r="Y176" s="194">
        <v>7.84901527784519</v>
      </c>
      <c r="Z176" s="165">
        <v>6.9642123071633755E-3</v>
      </c>
      <c r="AA176" s="191">
        <v>9.2363257432967121</v>
      </c>
      <c r="AB176" s="192">
        <v>7.777997031921454</v>
      </c>
      <c r="AC176" s="192">
        <v>7.6250855522938377</v>
      </c>
      <c r="AD176" s="162">
        <v>6.024453837119248E-3</v>
      </c>
      <c r="AE176" s="195">
        <v>9.4098917097208457</v>
      </c>
      <c r="AF176" s="196">
        <v>7.9713575779164172</v>
      </c>
      <c r="AG176" s="196">
        <v>7.2247249814135337</v>
      </c>
      <c r="AH176" s="168">
        <v>4.2756755846340422E-3</v>
      </c>
    </row>
    <row r="177" spans="1:34" hidden="1" x14ac:dyDescent="0.15">
      <c r="A177" s="131" t="s">
        <v>669</v>
      </c>
      <c r="B177" s="190">
        <v>9.3699999999999992</v>
      </c>
      <c r="C177" s="191">
        <v>7.4618544694764006</v>
      </c>
      <c r="D177" s="192">
        <v>7.3050395921582361</v>
      </c>
      <c r="E177" s="192">
        <v>4.1655323662422425</v>
      </c>
      <c r="F177" s="162">
        <v>-2.5811647084487466E-2</v>
      </c>
      <c r="G177" s="193">
        <v>7.5372697168917284</v>
      </c>
      <c r="H177" s="194">
        <v>6.9651599181042414</v>
      </c>
      <c r="I177" s="194">
        <v>2.5386880058602062</v>
      </c>
      <c r="J177" s="165">
        <v>-4.1249782471172614E-2</v>
      </c>
      <c r="K177" s="191">
        <v>6.8577492150421033</v>
      </c>
      <c r="L177" s="192">
        <v>6.7555484081248878</v>
      </c>
      <c r="M177" s="192">
        <v>2.4088731218972401</v>
      </c>
      <c r="N177" s="162">
        <v>-4.287173886456086E-2</v>
      </c>
      <c r="O177" s="193">
        <v>6.8520006985961501</v>
      </c>
      <c r="P177" s="194">
        <v>6.8453855053418859</v>
      </c>
      <c r="Q177" s="194">
        <v>2.4489654153620162</v>
      </c>
      <c r="R177" s="165">
        <v>-4.2361960080585792E-2</v>
      </c>
      <c r="S177" s="191">
        <v>7.5372689446755281</v>
      </c>
      <c r="T177" s="192">
        <v>7.165136929614663</v>
      </c>
      <c r="U177" s="192">
        <v>2.6135011023747312</v>
      </c>
      <c r="V177" s="162">
        <v>-4.0351126227295087E-2</v>
      </c>
      <c r="W177" s="193">
        <v>7.5372689914702606</v>
      </c>
      <c r="X177" s="194">
        <v>6.9651538477863166</v>
      </c>
      <c r="Y177" s="194">
        <v>2.6135011258597713</v>
      </c>
      <c r="Z177" s="165">
        <v>-4.0351125949119382E-2</v>
      </c>
      <c r="AA177" s="191">
        <v>7.5372668119465569</v>
      </c>
      <c r="AB177" s="192">
        <v>6.9651590860248227</v>
      </c>
      <c r="AC177" s="192">
        <v>2.6134947310206567</v>
      </c>
      <c r="AD177" s="162">
        <v>-4.035120169484141E-2</v>
      </c>
      <c r="AE177" s="195">
        <v>7.4038868308819987</v>
      </c>
      <c r="AF177" s="196">
        <v>6.965156916080141</v>
      </c>
      <c r="AG177" s="196">
        <v>2.5386864586007163</v>
      </c>
      <c r="AH177" s="168">
        <v>-4.1249801320581425E-2</v>
      </c>
    </row>
    <row r="178" spans="1:34" hidden="1" x14ac:dyDescent="0.15">
      <c r="A178" s="131" t="s">
        <v>674</v>
      </c>
      <c r="B178" s="190">
        <v>0.31365642736680055</v>
      </c>
      <c r="C178" s="191">
        <v>1.1803602014990067</v>
      </c>
      <c r="D178" s="192">
        <v>1.180360624584365</v>
      </c>
      <c r="E178" s="192">
        <v>1.1803606312769204</v>
      </c>
      <c r="F178" s="162">
        <v>4.3677854834560881E-2</v>
      </c>
      <c r="G178" s="193">
        <v>0.89649749257435574</v>
      </c>
      <c r="H178" s="194">
        <v>0.8964975077745605</v>
      </c>
      <c r="I178" s="194">
        <v>0.89649751644713804</v>
      </c>
      <c r="J178" s="165">
        <v>3.4457704897048469E-2</v>
      </c>
      <c r="K178" s="191">
        <v>0.86185431501149767</v>
      </c>
      <c r="L178" s="192">
        <v>0.86186812899120369</v>
      </c>
      <c r="M178" s="192">
        <v>0.8618784813858007</v>
      </c>
      <c r="N178" s="162">
        <v>3.3144403068630313E-2</v>
      </c>
      <c r="O178" s="193">
        <v>0.86481466613338043</v>
      </c>
      <c r="P178" s="194">
        <v>0.86481466612709956</v>
      </c>
      <c r="Q178" s="194">
        <v>0.86481466610782309</v>
      </c>
      <c r="R178" s="165">
        <v>3.3257753135255586E-2</v>
      </c>
      <c r="S178" s="191">
        <v>0.92291793122209842</v>
      </c>
      <c r="T178" s="192">
        <v>0.9229179312484076</v>
      </c>
      <c r="U178" s="192">
        <v>0.92291793126914423</v>
      </c>
      <c r="V178" s="162">
        <v>3.5427372289637216E-2</v>
      </c>
      <c r="W178" s="193">
        <v>0.92291792917565973</v>
      </c>
      <c r="X178" s="194">
        <v>0.9229179292925368</v>
      </c>
      <c r="Y178" s="194">
        <v>0.92291792934346728</v>
      </c>
      <c r="Z178" s="165">
        <v>3.5427372219945852E-2</v>
      </c>
      <c r="AA178" s="191">
        <v>0.9229139363296498</v>
      </c>
      <c r="AB178" s="192">
        <v>0.92291398627924703</v>
      </c>
      <c r="AC178" s="192">
        <v>0.92291400793790423</v>
      </c>
      <c r="AD178" s="162">
        <v>3.5427230301934065E-2</v>
      </c>
      <c r="AE178" s="195">
        <v>0.89649769472928498</v>
      </c>
      <c r="AF178" s="196">
        <v>0.89649770152995734</v>
      </c>
      <c r="AG178" s="196">
        <v>0.89649770368560699</v>
      </c>
      <c r="AH178" s="168">
        <v>3.445771186647395E-2</v>
      </c>
    </row>
    <row r="179" spans="1:34" hidden="1" x14ac:dyDescent="0.15">
      <c r="A179" s="131" t="s">
        <v>684</v>
      </c>
      <c r="B179" s="190">
        <v>0</v>
      </c>
      <c r="C179" s="191">
        <v>4.7582027765044356E-6</v>
      </c>
      <c r="D179" s="192">
        <v>3.4841038759649882E-5</v>
      </c>
      <c r="E179" s="192">
        <v>2.8024064879189523E-5</v>
      </c>
      <c r="F179" s="162" t="s">
        <v>672</v>
      </c>
      <c r="G179" s="193">
        <v>4.2736787828499406E-2</v>
      </c>
      <c r="H179" s="194">
        <v>4.0139009751894356E-2</v>
      </c>
      <c r="I179" s="194">
        <v>1.7287541821172794</v>
      </c>
      <c r="J179" s="165" t="s">
        <v>672</v>
      </c>
      <c r="K179" s="191">
        <v>6.8955639943704933E-2</v>
      </c>
      <c r="L179" s="192">
        <v>8.796694644041602E-3</v>
      </c>
      <c r="M179" s="192">
        <v>8.8425709555671021E-3</v>
      </c>
      <c r="N179" s="162" t="s">
        <v>672</v>
      </c>
      <c r="O179" s="193">
        <v>5.5808219687902456E-2</v>
      </c>
      <c r="P179" s="194">
        <v>2.6880355245020148E-2</v>
      </c>
      <c r="Q179" s="194">
        <v>4.7537403407399641E-2</v>
      </c>
      <c r="R179" s="165" t="s">
        <v>672</v>
      </c>
      <c r="S179" s="191">
        <v>6.7974831951176318E-2</v>
      </c>
      <c r="T179" s="192">
        <v>3.5621442919931953E-2</v>
      </c>
      <c r="U179" s="192">
        <v>2.1596592919497106</v>
      </c>
      <c r="V179" s="162" t="s">
        <v>672</v>
      </c>
      <c r="W179" s="193">
        <v>4.5395745196109935E-2</v>
      </c>
      <c r="X179" s="194">
        <v>6.3476551934202388E-2</v>
      </c>
      <c r="Y179" s="194">
        <v>2.2664303456128576</v>
      </c>
      <c r="Z179" s="165" t="s">
        <v>672</v>
      </c>
      <c r="AA179" s="191">
        <v>3.7511493456847053E-3</v>
      </c>
      <c r="AB179" s="192">
        <v>2.0725368913064712E-2</v>
      </c>
      <c r="AC179" s="192">
        <v>1.1143772756669961E-2</v>
      </c>
      <c r="AD179" s="162" t="s">
        <v>672</v>
      </c>
      <c r="AE179" s="195">
        <v>2.0513673572094952E-3</v>
      </c>
      <c r="AF179" s="196">
        <v>0.51009551121785945</v>
      </c>
      <c r="AG179" s="196">
        <v>1.7287220696483738</v>
      </c>
      <c r="AH179" s="168" t="s">
        <v>672</v>
      </c>
    </row>
    <row r="180" spans="1:34" hidden="1" x14ac:dyDescent="0.15">
      <c r="A180" s="134" t="s">
        <v>677</v>
      </c>
      <c r="B180" s="197">
        <v>2.3134438726332007</v>
      </c>
      <c r="C180" s="198">
        <v>2.2093519711674516</v>
      </c>
      <c r="D180" s="199">
        <v>2.3957158466648081</v>
      </c>
      <c r="E180" s="199">
        <v>2.4786146533918054</v>
      </c>
      <c r="F180" s="216">
        <v>2.2270739412626472E-3</v>
      </c>
      <c r="G180" s="200">
        <v>15.131504454388006</v>
      </c>
      <c r="H180" s="201">
        <v>17.436205387975107</v>
      </c>
      <c r="I180" s="201">
        <v>21.858501237220043</v>
      </c>
      <c r="J180" s="217">
        <v>7.5135671524226177E-2</v>
      </c>
      <c r="K180" s="198">
        <v>12.037993983742442</v>
      </c>
      <c r="L180" s="199">
        <v>16.995064938902551</v>
      </c>
      <c r="M180" s="199">
        <v>20.581208860157002</v>
      </c>
      <c r="N180" s="216">
        <v>7.3049456985864181E-2</v>
      </c>
      <c r="O180" s="200">
        <v>13.613129824034695</v>
      </c>
      <c r="P180" s="201">
        <v>17.27377841372379</v>
      </c>
      <c r="Q180" s="201">
        <v>22.87714622466607</v>
      </c>
      <c r="R180" s="217">
        <v>7.6716536832193372E-2</v>
      </c>
      <c r="S180" s="198">
        <v>14.624577710606196</v>
      </c>
      <c r="T180" s="199">
        <v>16.310845797460576</v>
      </c>
      <c r="U180" s="199">
        <v>17.865447136866837</v>
      </c>
      <c r="V180" s="216">
        <v>6.8162324041532996E-2</v>
      </c>
      <c r="W180" s="200">
        <v>14.987102996039955</v>
      </c>
      <c r="X180" s="201">
        <v>17.085890449650432</v>
      </c>
      <c r="Y180" s="201">
        <v>18.971355976621378</v>
      </c>
      <c r="Z180" s="217">
        <v>7.0233868548781997E-2</v>
      </c>
      <c r="AA180" s="198">
        <v>13.211721065755512</v>
      </c>
      <c r="AB180" s="199">
        <v>14.498255537839588</v>
      </c>
      <c r="AC180" s="199">
        <v>25.25905418689803</v>
      </c>
      <c r="AD180" s="216">
        <v>8.0162190886690965E-2</v>
      </c>
      <c r="AE180" s="202">
        <v>15.131508327300038</v>
      </c>
      <c r="AF180" s="203">
        <v>17.575956184584179</v>
      </c>
      <c r="AG180" s="203">
        <v>22.531890249958014</v>
      </c>
      <c r="AH180" s="218">
        <v>7.6188492415719899E-2</v>
      </c>
    </row>
    <row r="181" spans="1:34" ht="12" hidden="1" x14ac:dyDescent="0.15">
      <c r="A181" s="235" t="s">
        <v>737</v>
      </c>
      <c r="B181" s="177">
        <v>226.87</v>
      </c>
      <c r="C181" s="178">
        <v>229.79863366429382</v>
      </c>
      <c r="D181" s="179">
        <v>226.12334551211802</v>
      </c>
      <c r="E181" s="179">
        <v>218.9250472923961</v>
      </c>
      <c r="F181" s="181">
        <v>-1.1492663379689683E-3</v>
      </c>
      <c r="G181" s="182">
        <v>226.65119728967241</v>
      </c>
      <c r="H181" s="183">
        <v>203.90669655363538</v>
      </c>
      <c r="I181" s="183">
        <v>174.16036699337087</v>
      </c>
      <c r="J181" s="185">
        <v>-8.4927837847402765E-3</v>
      </c>
      <c r="K181" s="178">
        <v>194.65452474661626</v>
      </c>
      <c r="L181" s="179">
        <v>177.36831642886381</v>
      </c>
      <c r="M181" s="179">
        <v>151.77484192459644</v>
      </c>
      <c r="N181" s="181">
        <v>-1.2883355837910337E-2</v>
      </c>
      <c r="O181" s="182">
        <v>182.9270668064147</v>
      </c>
      <c r="P181" s="183">
        <v>174.46617983505598</v>
      </c>
      <c r="Q181" s="183">
        <v>158.92735345252927</v>
      </c>
      <c r="R181" s="185">
        <v>-1.1415949610001697E-2</v>
      </c>
      <c r="S181" s="178">
        <v>228.49554543961773</v>
      </c>
      <c r="T181" s="179">
        <v>205.9063991220365</v>
      </c>
      <c r="U181" s="179">
        <v>174.36112227875429</v>
      </c>
      <c r="V181" s="181">
        <v>-8.4559361406485456E-3</v>
      </c>
      <c r="W181" s="182">
        <v>227.46802332189253</v>
      </c>
      <c r="X181" s="183">
        <v>204.77205345099333</v>
      </c>
      <c r="Y181" s="183">
        <v>174.99309716585373</v>
      </c>
      <c r="Z181" s="185">
        <v>-8.3402077361744986E-3</v>
      </c>
      <c r="AA181" s="178">
        <v>227.30846218496288</v>
      </c>
      <c r="AB181" s="179">
        <v>208.00448218767085</v>
      </c>
      <c r="AC181" s="179">
        <v>177.76415817303371</v>
      </c>
      <c r="AD181" s="181">
        <v>-7.8374947202132228E-3</v>
      </c>
      <c r="AE181" s="186">
        <v>219.03677350646396</v>
      </c>
      <c r="AF181" s="187">
        <v>196.05627665525728</v>
      </c>
      <c r="AG181" s="187">
        <v>173.52347003992432</v>
      </c>
      <c r="AH181" s="189">
        <v>-8.6099557391096093E-3</v>
      </c>
    </row>
    <row r="182" spans="1:34" hidden="1" x14ac:dyDescent="0.15">
      <c r="A182" s="131" t="s">
        <v>354</v>
      </c>
      <c r="B182" s="190">
        <v>68.73</v>
      </c>
      <c r="C182" s="191">
        <v>73.41287019650909</v>
      </c>
      <c r="D182" s="192">
        <v>73.1582322275097</v>
      </c>
      <c r="E182" s="192">
        <v>71.288032521978437</v>
      </c>
      <c r="F182" s="162">
        <v>1.1794912269142976E-3</v>
      </c>
      <c r="G182" s="193">
        <v>72.905463874972767</v>
      </c>
      <c r="H182" s="194">
        <v>69.968469745592557</v>
      </c>
      <c r="I182" s="194">
        <v>65.539035948085484</v>
      </c>
      <c r="J182" s="165">
        <v>-1.5323683144327083E-3</v>
      </c>
      <c r="K182" s="191">
        <v>66.350711108519576</v>
      </c>
      <c r="L182" s="192">
        <v>61.687706703907935</v>
      </c>
      <c r="M182" s="192">
        <v>59.559509163610393</v>
      </c>
      <c r="N182" s="162">
        <v>-4.6090172911043004E-3</v>
      </c>
      <c r="O182" s="193">
        <v>65.115509813574178</v>
      </c>
      <c r="P182" s="194">
        <v>61.011993232569274</v>
      </c>
      <c r="Q182" s="194">
        <v>61.359789657303992</v>
      </c>
      <c r="R182" s="165">
        <v>-3.652380099910868E-3</v>
      </c>
      <c r="S182" s="191">
        <v>73.557428419941573</v>
      </c>
      <c r="T182" s="192">
        <v>72.44600978744748</v>
      </c>
      <c r="U182" s="192">
        <v>65.769629846910533</v>
      </c>
      <c r="V182" s="162">
        <v>-1.4192372781870466E-3</v>
      </c>
      <c r="W182" s="193">
        <v>74.41056840396331</v>
      </c>
      <c r="X182" s="194">
        <v>71.400493139429216</v>
      </c>
      <c r="Y182" s="194">
        <v>66.119677679071032</v>
      </c>
      <c r="Z182" s="165">
        <v>-1.2482327917751057E-3</v>
      </c>
      <c r="AA182" s="191">
        <v>73.332196544091175</v>
      </c>
      <c r="AB182" s="192">
        <v>69.574649622907558</v>
      </c>
      <c r="AC182" s="192">
        <v>67.444790191011734</v>
      </c>
      <c r="AD182" s="162">
        <v>-6.0873222901458579E-4</v>
      </c>
      <c r="AE182" s="195">
        <v>70.419907925490932</v>
      </c>
      <c r="AF182" s="196">
        <v>65.933317677043291</v>
      </c>
      <c r="AG182" s="196">
        <v>65.473492481667151</v>
      </c>
      <c r="AH182" s="168">
        <v>-1.564594722193613E-3</v>
      </c>
    </row>
    <row r="183" spans="1:34" hidden="1" x14ac:dyDescent="0.15">
      <c r="A183" s="131" t="s">
        <v>698</v>
      </c>
      <c r="B183" s="190">
        <v>66.739999999999995</v>
      </c>
      <c r="C183" s="191">
        <v>40.875033075328631</v>
      </c>
      <c r="D183" s="192">
        <v>26.640805364637625</v>
      </c>
      <c r="E183" s="192">
        <v>14.66531264245938</v>
      </c>
      <c r="F183" s="162">
        <v>-4.7705813648446616E-2</v>
      </c>
      <c r="G183" s="193">
        <v>36.986662515641221</v>
      </c>
      <c r="H183" s="194">
        <v>7.4975278004042449</v>
      </c>
      <c r="I183" s="194">
        <v>0</v>
      </c>
      <c r="J183" s="165">
        <v>-1</v>
      </c>
      <c r="K183" s="191">
        <v>27.649813449125364</v>
      </c>
      <c r="L183" s="192">
        <v>5.8001618625819704</v>
      </c>
      <c r="M183" s="192">
        <v>2.0060188903056747E-4</v>
      </c>
      <c r="N183" s="162">
        <v>-0.33645662617371863</v>
      </c>
      <c r="O183" s="193">
        <v>19.339316808986645</v>
      </c>
      <c r="P183" s="194">
        <v>7.9939809914179847</v>
      </c>
      <c r="Q183" s="194">
        <v>0</v>
      </c>
      <c r="R183" s="165">
        <v>-1</v>
      </c>
      <c r="S183" s="191">
        <v>37.444488668019915</v>
      </c>
      <c r="T183" s="192">
        <v>7.1556210424303366</v>
      </c>
      <c r="U183" s="192">
        <v>0</v>
      </c>
      <c r="V183" s="162">
        <v>-1</v>
      </c>
      <c r="W183" s="193">
        <v>35.053217637775333</v>
      </c>
      <c r="X183" s="194">
        <v>6.9428770215793785</v>
      </c>
      <c r="Y183" s="194">
        <v>0</v>
      </c>
      <c r="Z183" s="165">
        <v>-1</v>
      </c>
      <c r="AA183" s="191">
        <v>36.804736646123793</v>
      </c>
      <c r="AB183" s="192">
        <v>14.09271310852456</v>
      </c>
      <c r="AC183" s="192">
        <v>7.9366145034702617E-5</v>
      </c>
      <c r="AD183" s="162">
        <v>-0.35601017926824874</v>
      </c>
      <c r="AE183" s="195">
        <v>35.891285585045622</v>
      </c>
      <c r="AF183" s="196">
        <v>6.9239094271701198</v>
      </c>
      <c r="AG183" s="196">
        <v>0</v>
      </c>
      <c r="AH183" s="168">
        <v>-1</v>
      </c>
    </row>
    <row r="184" spans="1:34" ht="12" hidden="1" x14ac:dyDescent="0.15">
      <c r="A184" s="131" t="s">
        <v>730</v>
      </c>
      <c r="B184" s="190">
        <v>0</v>
      </c>
      <c r="C184" s="191">
        <v>0</v>
      </c>
      <c r="D184" s="192">
        <v>0</v>
      </c>
      <c r="E184" s="192">
        <v>0</v>
      </c>
      <c r="F184" s="162" t="s">
        <v>672</v>
      </c>
      <c r="G184" s="193">
        <v>1.5718216730880337E-5</v>
      </c>
      <c r="H184" s="194">
        <v>4.9983363297648848</v>
      </c>
      <c r="I184" s="194">
        <v>1.5446897198033938</v>
      </c>
      <c r="J184" s="165" t="s">
        <v>672</v>
      </c>
      <c r="K184" s="191">
        <v>3.8774449318374628E-2</v>
      </c>
      <c r="L184" s="192">
        <v>2.7989948137098883</v>
      </c>
      <c r="M184" s="192">
        <v>0.52774880209419062</v>
      </c>
      <c r="N184" s="162" t="s">
        <v>672</v>
      </c>
      <c r="O184" s="193">
        <v>0</v>
      </c>
      <c r="P184" s="194">
        <v>0</v>
      </c>
      <c r="Q184" s="194">
        <v>0.61352896490216391</v>
      </c>
      <c r="R184" s="165" t="s">
        <v>672</v>
      </c>
      <c r="S184" s="191">
        <v>0</v>
      </c>
      <c r="T184" s="192">
        <v>4.7704139978950986</v>
      </c>
      <c r="U184" s="192">
        <v>1.9105694459377531</v>
      </c>
      <c r="V184" s="162" t="s">
        <v>672</v>
      </c>
      <c r="W184" s="193">
        <v>0</v>
      </c>
      <c r="X184" s="194">
        <v>4.6285845922796867</v>
      </c>
      <c r="Y184" s="194">
        <v>1.0399938698913873</v>
      </c>
      <c r="Z184" s="165" t="s">
        <v>672</v>
      </c>
      <c r="AA184" s="191">
        <v>5.6626595075734744E-5</v>
      </c>
      <c r="AB184" s="192">
        <v>1.1909714531002903E-4</v>
      </c>
      <c r="AC184" s="192">
        <v>1.0944701025044714</v>
      </c>
      <c r="AD184" s="162" t="s">
        <v>672</v>
      </c>
      <c r="AE184" s="195">
        <v>7.8755976377990784E-6</v>
      </c>
      <c r="AF184" s="196">
        <v>4.615904386787097</v>
      </c>
      <c r="AG184" s="196">
        <v>1.5193000536642085</v>
      </c>
      <c r="AH184" s="168" t="s">
        <v>672</v>
      </c>
    </row>
    <row r="185" spans="1:34" ht="12" hidden="1" x14ac:dyDescent="0.15">
      <c r="A185" s="131" t="s">
        <v>691</v>
      </c>
      <c r="B185" s="190">
        <v>47.73</v>
      </c>
      <c r="C185" s="191">
        <v>48.46300679223463</v>
      </c>
      <c r="D185" s="192">
        <v>47.048960054423915</v>
      </c>
      <c r="E185" s="192">
        <v>45.039786056926062</v>
      </c>
      <c r="F185" s="162">
        <v>-1.8696660336706694E-3</v>
      </c>
      <c r="G185" s="193">
        <v>43.332065495748076</v>
      </c>
      <c r="H185" s="194">
        <v>27.432678740962015</v>
      </c>
      <c r="I185" s="194">
        <v>5.1466723250296003</v>
      </c>
      <c r="J185" s="165">
        <v>-6.9325304313063718E-2</v>
      </c>
      <c r="K185" s="191">
        <v>35.749721492812668</v>
      </c>
      <c r="L185" s="192">
        <v>21.789636548248748</v>
      </c>
      <c r="M185" s="192">
        <v>3.3162371457177433</v>
      </c>
      <c r="N185" s="162">
        <v>-8.2427358059018463E-2</v>
      </c>
      <c r="O185" s="193">
        <v>21.404702047693394</v>
      </c>
      <c r="P185" s="194">
        <v>18.900044606141179</v>
      </c>
      <c r="Q185" s="194">
        <v>3.4556996401274809</v>
      </c>
      <c r="R185" s="165">
        <v>-8.1207235976614389E-2</v>
      </c>
      <c r="S185" s="191">
        <v>43.886929896097321</v>
      </c>
      <c r="T185" s="192">
        <v>27.686415103317461</v>
      </c>
      <c r="U185" s="192">
        <v>5.2855388445474816</v>
      </c>
      <c r="V185" s="162">
        <v>-6.8525655031618005E-2</v>
      </c>
      <c r="W185" s="193">
        <v>41.406755800702406</v>
      </c>
      <c r="X185" s="194">
        <v>26.162250205484199</v>
      </c>
      <c r="Y185" s="194">
        <v>5.0845288144787162</v>
      </c>
      <c r="Z185" s="165">
        <v>-6.9689937017328174E-2</v>
      </c>
      <c r="AA185" s="191">
        <v>42.857461243700641</v>
      </c>
      <c r="AB185" s="192">
        <v>30.482586148899255</v>
      </c>
      <c r="AC185" s="192">
        <v>7.9508415015030716</v>
      </c>
      <c r="AD185" s="162">
        <v>-5.6175989675963489E-2</v>
      </c>
      <c r="AE185" s="195">
        <v>42.036682085194755</v>
      </c>
      <c r="AF185" s="196">
        <v>26.076245834361924</v>
      </c>
      <c r="AG185" s="196">
        <v>5.0628782476844556</v>
      </c>
      <c r="AH185" s="168">
        <v>-6.981798742839096E-2</v>
      </c>
    </row>
    <row r="186" spans="1:34" hidden="1" x14ac:dyDescent="0.15">
      <c r="A186" s="131" t="s">
        <v>679</v>
      </c>
      <c r="B186" s="190">
        <v>0.1</v>
      </c>
      <c r="C186" s="191">
        <v>2.96218641847496E-8</v>
      </c>
      <c r="D186" s="192">
        <v>0</v>
      </c>
      <c r="E186" s="192">
        <v>0</v>
      </c>
      <c r="F186" s="162">
        <v>-1</v>
      </c>
      <c r="G186" s="193">
        <v>9.987094368414141E-6</v>
      </c>
      <c r="H186" s="194">
        <v>0</v>
      </c>
      <c r="I186" s="194">
        <v>0</v>
      </c>
      <c r="J186" s="165">
        <v>-1</v>
      </c>
      <c r="K186" s="191">
        <v>3.376647717241326E-2</v>
      </c>
      <c r="L186" s="192">
        <v>0</v>
      </c>
      <c r="M186" s="192">
        <v>0</v>
      </c>
      <c r="N186" s="162">
        <v>-1</v>
      </c>
      <c r="O186" s="193">
        <v>0</v>
      </c>
      <c r="P186" s="194">
        <v>0</v>
      </c>
      <c r="Q186" s="194">
        <v>0</v>
      </c>
      <c r="R186" s="165">
        <v>-1</v>
      </c>
      <c r="S186" s="191">
        <v>0</v>
      </c>
      <c r="T186" s="192">
        <v>0</v>
      </c>
      <c r="U186" s="192">
        <v>0</v>
      </c>
      <c r="V186" s="162">
        <v>-1</v>
      </c>
      <c r="W186" s="193">
        <v>0</v>
      </c>
      <c r="X186" s="194">
        <v>0</v>
      </c>
      <c r="Y186" s="194">
        <v>0</v>
      </c>
      <c r="Z186" s="165">
        <v>-1</v>
      </c>
      <c r="AA186" s="191">
        <v>1.2934390728047089E-5</v>
      </c>
      <c r="AB186" s="192">
        <v>0</v>
      </c>
      <c r="AC186" s="192">
        <v>0</v>
      </c>
      <c r="AD186" s="162">
        <v>-1</v>
      </c>
      <c r="AE186" s="195">
        <v>6.1011734383267308E-6</v>
      </c>
      <c r="AF186" s="196">
        <v>0</v>
      </c>
      <c r="AG186" s="196">
        <v>0</v>
      </c>
      <c r="AH186" s="168">
        <v>-1</v>
      </c>
    </row>
    <row r="187" spans="1:34" ht="12" hidden="1" x14ac:dyDescent="0.15">
      <c r="A187" s="131" t="s">
        <v>735</v>
      </c>
      <c r="B187" s="190">
        <v>8.58</v>
      </c>
      <c r="C187" s="191">
        <v>9.2150810191185499</v>
      </c>
      <c r="D187" s="192">
        <v>10.636053403207871</v>
      </c>
      <c r="E187" s="192">
        <v>11.645607112864678</v>
      </c>
      <c r="F187" s="162">
        <v>9.9033986770382665E-3</v>
      </c>
      <c r="G187" s="193">
        <v>10.402125314356361</v>
      </c>
      <c r="H187" s="194">
        <v>11.003568946351084</v>
      </c>
      <c r="I187" s="194">
        <v>11.861519597590604</v>
      </c>
      <c r="J187" s="165">
        <v>1.0502040759391207E-2</v>
      </c>
      <c r="K187" s="191">
        <v>10.910898658934167</v>
      </c>
      <c r="L187" s="192">
        <v>13.527017302832457</v>
      </c>
      <c r="M187" s="192">
        <v>14.831297934939567</v>
      </c>
      <c r="N187" s="162">
        <v>1.7811795692999066E-2</v>
      </c>
      <c r="O187" s="193">
        <v>10.100143556915512</v>
      </c>
      <c r="P187" s="194">
        <v>10.964835076621908</v>
      </c>
      <c r="Q187" s="194">
        <v>12.347673895249489</v>
      </c>
      <c r="R187" s="165">
        <v>1.1812245273437716E-2</v>
      </c>
      <c r="S187" s="191">
        <v>10.283052246796322</v>
      </c>
      <c r="T187" s="192">
        <v>11.272298148402351</v>
      </c>
      <c r="U187" s="192">
        <v>12.035437346511502</v>
      </c>
      <c r="V187" s="162">
        <v>1.0976628410426459E-2</v>
      </c>
      <c r="W187" s="193">
        <v>11.166712917721938</v>
      </c>
      <c r="X187" s="194">
        <v>11.813572894486336</v>
      </c>
      <c r="Y187" s="194">
        <v>12.934385478196669</v>
      </c>
      <c r="Z187" s="165">
        <v>1.3328540059277527E-2</v>
      </c>
      <c r="AA187" s="191">
        <v>9.6038124780198135</v>
      </c>
      <c r="AB187" s="192">
        <v>10.335466840938997</v>
      </c>
      <c r="AC187" s="192">
        <v>11.857393406826233</v>
      </c>
      <c r="AD187" s="162">
        <v>1.0490699596597208E-2</v>
      </c>
      <c r="AE187" s="195">
        <v>10.310855127962277</v>
      </c>
      <c r="AF187" s="196">
        <v>10.96622840860349</v>
      </c>
      <c r="AG187" s="196">
        <v>11.840829400808833</v>
      </c>
      <c r="AH187" s="168">
        <v>1.044513363891153E-2</v>
      </c>
    </row>
    <row r="188" spans="1:34" hidden="1" x14ac:dyDescent="0.15">
      <c r="A188" s="131" t="s">
        <v>669</v>
      </c>
      <c r="B188" s="190">
        <v>18.34</v>
      </c>
      <c r="C188" s="191">
        <v>17.737777851644381</v>
      </c>
      <c r="D188" s="192">
        <v>18.076610044852988</v>
      </c>
      <c r="E188" s="192">
        <v>21.041781735219061</v>
      </c>
      <c r="F188" s="162">
        <v>4.4429245456889532E-3</v>
      </c>
      <c r="G188" s="193">
        <v>17.191971961969728</v>
      </c>
      <c r="H188" s="194">
        <v>15.397769775328969</v>
      </c>
      <c r="I188" s="194">
        <v>9.3600311339488051</v>
      </c>
      <c r="J188" s="165">
        <v>-2.1464223919552827E-2</v>
      </c>
      <c r="K188" s="191">
        <v>12.668975997294266</v>
      </c>
      <c r="L188" s="192">
        <v>13.090273918181857</v>
      </c>
      <c r="M188" s="192">
        <v>5.87339582079208</v>
      </c>
      <c r="N188" s="162">
        <v>-3.6064305372903283E-2</v>
      </c>
      <c r="O188" s="193">
        <v>12.740802055166354</v>
      </c>
      <c r="P188" s="194">
        <v>11.643695563998406</v>
      </c>
      <c r="Q188" s="194">
        <v>7.6936932604164623</v>
      </c>
      <c r="R188" s="165">
        <v>-2.7633073519472751E-2</v>
      </c>
      <c r="S188" s="191">
        <v>18.159532443687787</v>
      </c>
      <c r="T188" s="192">
        <v>15.861484158941913</v>
      </c>
      <c r="U188" s="192">
        <v>9.5083356162062902</v>
      </c>
      <c r="V188" s="162">
        <v>-2.096787847218784E-2</v>
      </c>
      <c r="W188" s="193">
        <v>17.774789863548666</v>
      </c>
      <c r="X188" s="194">
        <v>15.353230984337753</v>
      </c>
      <c r="Y188" s="194">
        <v>9.2599779361597871</v>
      </c>
      <c r="Z188" s="165">
        <v>-2.1803399828975056E-2</v>
      </c>
      <c r="AA188" s="191">
        <v>18.006208392599078</v>
      </c>
      <c r="AB188" s="192">
        <v>16.965315898736137</v>
      </c>
      <c r="AC188" s="192">
        <v>9.3237899275524114</v>
      </c>
      <c r="AD188" s="162">
        <v>-2.1586672943464169E-2</v>
      </c>
      <c r="AE188" s="195">
        <v>16.004116825719066</v>
      </c>
      <c r="AF188" s="196">
        <v>14.208790520107879</v>
      </c>
      <c r="AG188" s="196">
        <v>9.2560537327449453</v>
      </c>
      <c r="AH188" s="168">
        <v>-2.1816774868827715E-2</v>
      </c>
    </row>
    <row r="189" spans="1:34" hidden="1" x14ac:dyDescent="0.15">
      <c r="A189" s="131" t="s">
        <v>674</v>
      </c>
      <c r="B189" s="190">
        <v>2.2499164350331995</v>
      </c>
      <c r="C189" s="191">
        <v>3.1154510021460982</v>
      </c>
      <c r="D189" s="192">
        <v>4.1884812431610419</v>
      </c>
      <c r="E189" s="192">
        <v>5.4707014455600245</v>
      </c>
      <c r="F189" s="162">
        <v>2.9076434478491286E-2</v>
      </c>
      <c r="G189" s="193">
        <v>5.0973145060069722</v>
      </c>
      <c r="H189" s="194">
        <v>5.4707978661432879</v>
      </c>
      <c r="I189" s="194">
        <v>6.9958739307534277</v>
      </c>
      <c r="J189" s="165">
        <v>3.7272253403789923E-2</v>
      </c>
      <c r="K189" s="191">
        <v>5.7260013372797189</v>
      </c>
      <c r="L189" s="192">
        <v>8.3158206468903764</v>
      </c>
      <c r="M189" s="192">
        <v>6.0715959178311287</v>
      </c>
      <c r="N189" s="162">
        <v>3.2541766883488643E-2</v>
      </c>
      <c r="O189" s="193">
        <v>14.186866895427169</v>
      </c>
      <c r="P189" s="194">
        <v>12.258621296554789</v>
      </c>
      <c r="Q189" s="194">
        <v>12.258621294896095</v>
      </c>
      <c r="R189" s="165">
        <v>5.6211311385971019E-2</v>
      </c>
      <c r="S189" s="191">
        <v>3.5942990114078999</v>
      </c>
      <c r="T189" s="192">
        <v>5.4707004774781947</v>
      </c>
      <c r="U189" s="192">
        <v>5.4707004790319189</v>
      </c>
      <c r="V189" s="162">
        <v>2.907642861363402E-2</v>
      </c>
      <c r="W189" s="193">
        <v>4.6288610284343275</v>
      </c>
      <c r="X189" s="194">
        <v>5.470700623616084</v>
      </c>
      <c r="Y189" s="194">
        <v>5.471677640843529</v>
      </c>
      <c r="Z189" s="165">
        <v>2.9082357483973365E-2</v>
      </c>
      <c r="AA189" s="191">
        <v>3.8385908375711013</v>
      </c>
      <c r="AB189" s="192">
        <v>5.4707804629048642</v>
      </c>
      <c r="AC189" s="192">
        <v>5.4709425920197319</v>
      </c>
      <c r="AD189" s="162">
        <v>2.9077897715080292E-2</v>
      </c>
      <c r="AE189" s="195">
        <v>5.2824201118665979</v>
      </c>
      <c r="AF189" s="196">
        <v>7.1234609107017537</v>
      </c>
      <c r="AG189" s="196">
        <v>7.1234622561059044</v>
      </c>
      <c r="AH189" s="168">
        <v>3.7877170902435031E-2</v>
      </c>
    </row>
    <row r="190" spans="1:34" hidden="1" x14ac:dyDescent="0.15">
      <c r="A190" s="131" t="s">
        <v>684</v>
      </c>
      <c r="B190" s="190">
        <v>0</v>
      </c>
      <c r="C190" s="191">
        <v>0</v>
      </c>
      <c r="D190" s="192">
        <v>1.1890583835024719E-6</v>
      </c>
      <c r="E190" s="192">
        <v>8.7818807250524568E-7</v>
      </c>
      <c r="F190" s="162" t="s">
        <v>672</v>
      </c>
      <c r="G190" s="193">
        <v>1.2638076960045206E-5</v>
      </c>
      <c r="H190" s="194">
        <v>0.1655769374481576</v>
      </c>
      <c r="I190" s="194">
        <v>3.1067243534952788E-2</v>
      </c>
      <c r="J190" s="165" t="s">
        <v>672</v>
      </c>
      <c r="K190" s="191">
        <v>5.7869114274995317E-2</v>
      </c>
      <c r="L190" s="192">
        <v>1.5266400827786634E-3</v>
      </c>
      <c r="M190" s="192">
        <v>1.2762112736889166E-3</v>
      </c>
      <c r="N190" s="162" t="s">
        <v>672</v>
      </c>
      <c r="O190" s="193">
        <v>0.12897504181360145</v>
      </c>
      <c r="P190" s="194">
        <v>1.9226554753116253E-2</v>
      </c>
      <c r="Q190" s="194">
        <v>2.0859355401742566E-2</v>
      </c>
      <c r="R190" s="165" t="s">
        <v>672</v>
      </c>
      <c r="S190" s="191">
        <v>5.9579382102813985E-3</v>
      </c>
      <c r="T190" s="192">
        <v>0.16712120067163785</v>
      </c>
      <c r="U190" s="192">
        <v>3.1904660915459779E-2</v>
      </c>
      <c r="V190" s="162" t="s">
        <v>672</v>
      </c>
      <c r="W190" s="193">
        <v>1.7481722805981817E-4</v>
      </c>
      <c r="X190" s="194">
        <v>0.31776007882822993</v>
      </c>
      <c r="Y190" s="194">
        <v>9.3199108574144568E-2</v>
      </c>
      <c r="Z190" s="165" t="s">
        <v>672</v>
      </c>
      <c r="AA190" s="191">
        <v>1.2023241008417066E-2</v>
      </c>
      <c r="AB190" s="192">
        <v>5.3086354963913854E-2</v>
      </c>
      <c r="AC190" s="192">
        <v>4.7977586953307914E-2</v>
      </c>
      <c r="AD190" s="162" t="s">
        <v>672</v>
      </c>
      <c r="AE190" s="195">
        <v>1.280747575890742E-4</v>
      </c>
      <c r="AF190" s="196">
        <v>3.6670981359923298E-2</v>
      </c>
      <c r="AG190" s="196">
        <v>3.0560752416760643E-2</v>
      </c>
      <c r="AH190" s="168" t="s">
        <v>672</v>
      </c>
    </row>
    <row r="191" spans="1:34" hidden="1" x14ac:dyDescent="0.15">
      <c r="A191" s="134" t="s">
        <v>677</v>
      </c>
      <c r="B191" s="197">
        <v>14.400083564966799</v>
      </c>
      <c r="C191" s="198">
        <v>36.979413697690575</v>
      </c>
      <c r="D191" s="199">
        <v>46.374201985266474</v>
      </c>
      <c r="E191" s="199">
        <v>49.773824899200406</v>
      </c>
      <c r="F191" s="216">
        <v>4.0819343515896112E-2</v>
      </c>
      <c r="G191" s="200">
        <v>40.735555277589242</v>
      </c>
      <c r="H191" s="201">
        <v>61.971970411640179</v>
      </c>
      <c r="I191" s="201">
        <v>73.681477094624597</v>
      </c>
      <c r="J191" s="217">
        <v>5.4073152715447215E-2</v>
      </c>
      <c r="K191" s="198">
        <v>35.467992661884722</v>
      </c>
      <c r="L191" s="199">
        <v>50.357177992427793</v>
      </c>
      <c r="M191" s="199">
        <v>61.593580326448624</v>
      </c>
      <c r="N191" s="216">
        <v>4.7997717292048714E-2</v>
      </c>
      <c r="O191" s="200">
        <v>39.910750586837871</v>
      </c>
      <c r="P191" s="201">
        <v>51.673782512999303</v>
      </c>
      <c r="Q191" s="201">
        <v>61.177487384231853</v>
      </c>
      <c r="R191" s="217">
        <v>4.7768589833554254E-2</v>
      </c>
      <c r="S191" s="198">
        <v>41.563856815456603</v>
      </c>
      <c r="T191" s="199">
        <v>61.076335205452018</v>
      </c>
      <c r="U191" s="199">
        <v>74.349006038693375</v>
      </c>
      <c r="V191" s="216">
        <v>5.4379860019732273E-2</v>
      </c>
      <c r="W191" s="200">
        <v>43.026942852518481</v>
      </c>
      <c r="X191" s="201">
        <v>62.682583910952403</v>
      </c>
      <c r="Y191" s="201">
        <v>74.989656638638451</v>
      </c>
      <c r="Z191" s="217">
        <v>5.4671721747037605E-2</v>
      </c>
      <c r="AA191" s="198">
        <v>42.853363240863061</v>
      </c>
      <c r="AB191" s="199">
        <v>61.029764652650272</v>
      </c>
      <c r="AC191" s="199">
        <v>74.573873498517685</v>
      </c>
      <c r="AD191" s="216">
        <v>5.4482579325740632E-2</v>
      </c>
      <c r="AE191" s="202">
        <v>39.091363793656079</v>
      </c>
      <c r="AF191" s="203">
        <v>60.171748509121805</v>
      </c>
      <c r="AG191" s="203">
        <v>73.216893114832061</v>
      </c>
      <c r="AH191" s="218">
        <v>5.3858100734125891E-2</v>
      </c>
    </row>
    <row r="192" spans="1:34" hidden="1" x14ac:dyDescent="0.15">
      <c r="A192" s="235" t="s">
        <v>738</v>
      </c>
      <c r="B192" s="177">
        <v>235.58134980747741</v>
      </c>
      <c r="C192" s="178">
        <v>188.78388931777621</v>
      </c>
      <c r="D192" s="179">
        <v>157.43615475513224</v>
      </c>
      <c r="E192" s="179">
        <v>142.37819360996704</v>
      </c>
      <c r="F192" s="181">
        <v>-1.6112950238943768E-2</v>
      </c>
      <c r="G192" s="182">
        <v>170.0784985903278</v>
      </c>
      <c r="H192" s="183">
        <v>130.3278926592414</v>
      </c>
      <c r="I192" s="183">
        <v>104.17187435057173</v>
      </c>
      <c r="J192" s="185">
        <v>-2.597960484488282E-2</v>
      </c>
      <c r="K192" s="178">
        <v>169.9495665129603</v>
      </c>
      <c r="L192" s="179">
        <v>130.93779484073926</v>
      </c>
      <c r="M192" s="179">
        <v>106.9592723674381</v>
      </c>
      <c r="N192" s="181">
        <v>-2.5149575881274533E-2</v>
      </c>
      <c r="O192" s="182">
        <v>153.4334548666593</v>
      </c>
      <c r="P192" s="183">
        <v>119.06306849785625</v>
      </c>
      <c r="Q192" s="183">
        <v>98.773423875314919</v>
      </c>
      <c r="R192" s="185">
        <v>-2.7650142427692814E-2</v>
      </c>
      <c r="S192" s="178">
        <v>170.01871373429415</v>
      </c>
      <c r="T192" s="179">
        <v>130.27477637323958</v>
      </c>
      <c r="U192" s="179">
        <v>104.42612714982297</v>
      </c>
      <c r="V192" s="181">
        <v>-2.5903008288835627E-2</v>
      </c>
      <c r="W192" s="182">
        <v>171.85835915215443</v>
      </c>
      <c r="X192" s="183">
        <v>124.1709716724931</v>
      </c>
      <c r="Y192" s="183">
        <v>93.383985976051918</v>
      </c>
      <c r="Z192" s="185">
        <v>-2.9408463335776847E-2</v>
      </c>
      <c r="AA192" s="178">
        <v>167.34777440273473</v>
      </c>
      <c r="AB192" s="179">
        <v>128.2467497338144</v>
      </c>
      <c r="AC192" s="179">
        <v>107.28735836672438</v>
      </c>
      <c r="AD192" s="181">
        <v>-2.5053259140835116E-2</v>
      </c>
      <c r="AE192" s="186">
        <v>170.27972753095261</v>
      </c>
      <c r="AF192" s="187">
        <v>129.54217322755667</v>
      </c>
      <c r="AG192" s="187">
        <v>104.47819895756444</v>
      </c>
      <c r="AH192" s="189">
        <v>-2.5887343331141399E-2</v>
      </c>
    </row>
    <row r="193" spans="1:34" hidden="1" x14ac:dyDescent="0.15">
      <c r="A193" s="131" t="s">
        <v>739</v>
      </c>
      <c r="B193" s="190">
        <v>97.21</v>
      </c>
      <c r="C193" s="191">
        <v>90.458379377784453</v>
      </c>
      <c r="D193" s="192">
        <v>65.662621423357322</v>
      </c>
      <c r="E193" s="192">
        <v>51.712621968135771</v>
      </c>
      <c r="F193" s="162">
        <v>-2.0154504407433826E-2</v>
      </c>
      <c r="G193" s="193">
        <v>61.583749209998125</v>
      </c>
      <c r="H193" s="194">
        <v>27.151170041256169</v>
      </c>
      <c r="I193" s="194">
        <v>1.8661369094197715</v>
      </c>
      <c r="J193" s="165">
        <v>-0.11972087083043481</v>
      </c>
      <c r="K193" s="191">
        <v>63.677807249200072</v>
      </c>
      <c r="L193" s="192">
        <v>26.520369142260535</v>
      </c>
      <c r="M193" s="192">
        <v>1.7964440271569515E-3</v>
      </c>
      <c r="N193" s="162">
        <v>-0.29642080005262605</v>
      </c>
      <c r="O193" s="193">
        <v>42.906602798600026</v>
      </c>
      <c r="P193" s="194">
        <v>16.657915199971402</v>
      </c>
      <c r="Q193" s="194">
        <v>2.3250339008459573</v>
      </c>
      <c r="R193" s="165">
        <v>-0.11345539389785908</v>
      </c>
      <c r="S193" s="191">
        <v>61.515344514892554</v>
      </c>
      <c r="T193" s="192">
        <v>27.218653049164665</v>
      </c>
      <c r="U193" s="192">
        <v>1.4600825742514321</v>
      </c>
      <c r="V193" s="162">
        <v>-0.12666113076540408</v>
      </c>
      <c r="W193" s="193">
        <v>66.070876731448422</v>
      </c>
      <c r="X193" s="194">
        <v>29.566112440517372</v>
      </c>
      <c r="Y193" s="194">
        <v>0.87293247716975841</v>
      </c>
      <c r="Z193" s="165">
        <v>-0.14103307340624593</v>
      </c>
      <c r="AA193" s="191">
        <v>60.457150569122575</v>
      </c>
      <c r="AB193" s="192">
        <v>23.710555241680126</v>
      </c>
      <c r="AC193" s="192">
        <v>4.5858320957354133</v>
      </c>
      <c r="AD193" s="162">
        <v>-9.3816059072276414E-2</v>
      </c>
      <c r="AE193" s="195">
        <v>64.002255344188967</v>
      </c>
      <c r="AF193" s="196">
        <v>23.442707265494217</v>
      </c>
      <c r="AG193" s="196">
        <v>1.8652094756248445</v>
      </c>
      <c r="AH193" s="168">
        <v>-0.11973498653577519</v>
      </c>
    </row>
    <row r="194" spans="1:34" hidden="1" x14ac:dyDescent="0.15">
      <c r="A194" s="131" t="s">
        <v>740</v>
      </c>
      <c r="B194" s="190">
        <v>116.06</v>
      </c>
      <c r="C194" s="191">
        <v>69.396442456536192</v>
      </c>
      <c r="D194" s="192">
        <v>52.913620294589123</v>
      </c>
      <c r="E194" s="192">
        <v>42.601279704181529</v>
      </c>
      <c r="F194" s="162">
        <v>-3.1812753925935522E-2</v>
      </c>
      <c r="G194" s="193">
        <v>68.973889772087006</v>
      </c>
      <c r="H194" s="194">
        <v>45.128524566682991</v>
      </c>
      <c r="I194" s="194">
        <v>0.22538728168728545</v>
      </c>
      <c r="J194" s="165">
        <v>-0.18243161038271916</v>
      </c>
      <c r="K194" s="191">
        <v>64.804319267541288</v>
      </c>
      <c r="L194" s="192">
        <v>12.597235640824271</v>
      </c>
      <c r="M194" s="192">
        <v>4.8041708358790409E-4</v>
      </c>
      <c r="N194" s="162">
        <v>-0.3295710333741142</v>
      </c>
      <c r="O194" s="193">
        <v>63.889317543534929</v>
      </c>
      <c r="P194" s="194">
        <v>30.006265067799422</v>
      </c>
      <c r="Q194" s="194">
        <v>3.1806475485072285</v>
      </c>
      <c r="R194" s="165">
        <v>-0.10955414728220392</v>
      </c>
      <c r="S194" s="191">
        <v>68.920419236307239</v>
      </c>
      <c r="T194" s="192">
        <v>45.040389479963572</v>
      </c>
      <c r="U194" s="192">
        <v>2.1627856459476029</v>
      </c>
      <c r="V194" s="162">
        <v>-0.1205640337265026</v>
      </c>
      <c r="W194" s="193">
        <v>66.776617075306078</v>
      </c>
      <c r="X194" s="194">
        <v>41.831789890974861</v>
      </c>
      <c r="Y194" s="194">
        <v>0.73682873880463551</v>
      </c>
      <c r="Z194" s="165">
        <v>-0.15058712723120693</v>
      </c>
      <c r="AA194" s="191">
        <v>65.624741316218191</v>
      </c>
      <c r="AB194" s="192">
        <v>33.905349629320582</v>
      </c>
      <c r="AC194" s="192">
        <v>0.99153497121044676</v>
      </c>
      <c r="AD194" s="162">
        <v>-0.14241289739808216</v>
      </c>
      <c r="AE194" s="195">
        <v>68.722739845698541</v>
      </c>
      <c r="AF194" s="196">
        <v>44.270201202571258</v>
      </c>
      <c r="AG194" s="196">
        <v>0.19396696662010346</v>
      </c>
      <c r="AH194" s="168">
        <v>-0.1863815034244739</v>
      </c>
    </row>
    <row r="195" spans="1:34" hidden="1" x14ac:dyDescent="0.15">
      <c r="A195" s="131" t="s">
        <v>741</v>
      </c>
      <c r="B195" s="190">
        <v>2.9803498074774399</v>
      </c>
      <c r="C195" s="191">
        <v>2.5504916008893299</v>
      </c>
      <c r="D195" s="192">
        <v>2.1206333943012199</v>
      </c>
      <c r="E195" s="192">
        <v>1.6907751877131001</v>
      </c>
      <c r="F195" s="162">
        <v>-1.8119431638850214E-2</v>
      </c>
      <c r="G195" s="193">
        <v>2.5504415448975974</v>
      </c>
      <c r="H195" s="194">
        <v>0.46880403226963985</v>
      </c>
      <c r="I195" s="194">
        <v>-1.4590732699826248E-6</v>
      </c>
      <c r="J195" s="165">
        <v>-1.6258142952745605</v>
      </c>
      <c r="K195" s="191">
        <v>2.4701249404301642</v>
      </c>
      <c r="L195" s="192">
        <v>0.42664482080959987</v>
      </c>
      <c r="M195" s="192">
        <v>-3.7868899178199467E-3</v>
      </c>
      <c r="N195" s="162">
        <v>-1.8064568650148431</v>
      </c>
      <c r="O195" s="193">
        <v>2.5504916008893299</v>
      </c>
      <c r="P195" s="194">
        <v>2.1206333943012199</v>
      </c>
      <c r="Q195" s="194">
        <v>-3.1837199543360839E-9</v>
      </c>
      <c r="R195" s="165">
        <v>-1.513572997266007</v>
      </c>
      <c r="S195" s="191">
        <v>2.5504916008893299</v>
      </c>
      <c r="T195" s="192">
        <v>2.1206333943012199</v>
      </c>
      <c r="U195" s="192">
        <v>-9.7738994675466984E-10</v>
      </c>
      <c r="V195" s="162">
        <v>-1.4943768030165248</v>
      </c>
      <c r="W195" s="193">
        <v>2.5504916008893299</v>
      </c>
      <c r="X195" s="194">
        <v>2.1206333943012199</v>
      </c>
      <c r="Y195" s="194">
        <v>-9.1907199628593617E-9</v>
      </c>
      <c r="Z195" s="165">
        <v>-1.5314400343555641</v>
      </c>
      <c r="AA195" s="191">
        <v>0.85977020685842986</v>
      </c>
      <c r="AB195" s="192">
        <v>0.42990689454556996</v>
      </c>
      <c r="AC195" s="192">
        <v>4.8119252400002921E-5</v>
      </c>
      <c r="AD195" s="162">
        <v>-0.29947922359558066</v>
      </c>
      <c r="AE195" s="195">
        <v>2.5504763679298423</v>
      </c>
      <c r="AF195" s="196">
        <v>0.85346621319907978</v>
      </c>
      <c r="AG195" s="196">
        <v>-6.4251755982347447E-7</v>
      </c>
      <c r="AH195" s="168">
        <v>-1.6094743202044253</v>
      </c>
    </row>
    <row r="196" spans="1:34" ht="12" hidden="1" x14ac:dyDescent="0.15">
      <c r="A196" s="131" t="s">
        <v>730</v>
      </c>
      <c r="B196" s="190">
        <v>7.8010000000000002</v>
      </c>
      <c r="C196" s="191">
        <v>5.3713128195573434</v>
      </c>
      <c r="D196" s="192">
        <v>5.7265250510543959</v>
      </c>
      <c r="E196" s="192">
        <v>6.0789361844856931</v>
      </c>
      <c r="F196" s="162">
        <v>-8.0135966101427814E-3</v>
      </c>
      <c r="G196" s="193">
        <v>8.8100864168336894</v>
      </c>
      <c r="H196" s="194">
        <v>9.0708325613460339</v>
      </c>
      <c r="I196" s="194">
        <v>32.705743020682959</v>
      </c>
      <c r="J196" s="165">
        <v>4.7320967213797083E-2</v>
      </c>
      <c r="K196" s="191">
        <v>10.640884151741915</v>
      </c>
      <c r="L196" s="192">
        <v>47.657405319393604</v>
      </c>
      <c r="M196" s="192">
        <v>50.157944230684244</v>
      </c>
      <c r="N196" s="162">
        <v>6.1868230187413609E-2</v>
      </c>
      <c r="O196" s="193">
        <v>7.530756281473181</v>
      </c>
      <c r="P196" s="194">
        <v>6.3544724661227407</v>
      </c>
      <c r="Q196" s="194">
        <v>7.4777878436033962</v>
      </c>
      <c r="R196" s="165">
        <v>-1.3640664014370474E-3</v>
      </c>
      <c r="S196" s="191">
        <v>8.8099378246720583</v>
      </c>
      <c r="T196" s="192">
        <v>6.5417523473514319</v>
      </c>
      <c r="U196" s="192">
        <v>32.304571753257477</v>
      </c>
      <c r="V196" s="162">
        <v>4.6904083705393562E-2</v>
      </c>
      <c r="W196" s="193">
        <v>8.7966030785861538</v>
      </c>
      <c r="X196" s="194">
        <v>6.5514279875971804</v>
      </c>
      <c r="Y196" s="194">
        <v>34.78880209921023</v>
      </c>
      <c r="Z196" s="165">
        <v>4.940906838694481E-2</v>
      </c>
      <c r="AA196" s="191">
        <v>12.459274520130309</v>
      </c>
      <c r="AB196" s="192">
        <v>20.358624732388051</v>
      </c>
      <c r="AC196" s="192">
        <v>35.756973312571191</v>
      </c>
      <c r="AD196" s="162">
        <v>5.0338706306540804E-2</v>
      </c>
      <c r="AE196" s="195">
        <v>7.0893436091069786</v>
      </c>
      <c r="AF196" s="196">
        <v>11.43772236232053</v>
      </c>
      <c r="AG196" s="196">
        <v>32.731209473305256</v>
      </c>
      <c r="AH196" s="168">
        <v>4.7347263775168624E-2</v>
      </c>
    </row>
    <row r="197" spans="1:34" ht="12" hidden="1" x14ac:dyDescent="0.15">
      <c r="A197" s="131" t="s">
        <v>731</v>
      </c>
      <c r="B197" s="190">
        <v>0.57999999999999996</v>
      </c>
      <c r="C197" s="191">
        <v>0.98032429297238732</v>
      </c>
      <c r="D197" s="192">
        <v>2.538747037219502</v>
      </c>
      <c r="E197" s="192">
        <v>7.2555386945399132</v>
      </c>
      <c r="F197" s="162">
        <v>8.491294847335884E-2</v>
      </c>
      <c r="G197" s="193">
        <v>1.78928942384955</v>
      </c>
      <c r="H197" s="194">
        <v>2.3387964658321558</v>
      </c>
      <c r="I197" s="194">
        <v>2.6784186124179491E-2</v>
      </c>
      <c r="J197" s="165">
        <v>-9.4438903233431737E-2</v>
      </c>
      <c r="K197" s="191">
        <v>1.572096092205818</v>
      </c>
      <c r="L197" s="192">
        <v>2.0028366610096442</v>
      </c>
      <c r="M197" s="192">
        <v>1.5536608570732853</v>
      </c>
      <c r="N197" s="162">
        <v>3.2295743193399673E-2</v>
      </c>
      <c r="O197" s="193">
        <v>0.36943362496601984</v>
      </c>
      <c r="P197" s="194">
        <v>2.3082898883444267</v>
      </c>
      <c r="Q197" s="194">
        <v>0</v>
      </c>
      <c r="R197" s="165">
        <v>-1</v>
      </c>
      <c r="S197" s="191">
        <v>1.7915621559377268</v>
      </c>
      <c r="T197" s="192">
        <v>2.1462817055636783</v>
      </c>
      <c r="U197" s="192">
        <v>2.6996822520084097E-2</v>
      </c>
      <c r="V197" s="162">
        <v>-9.4207881747653377E-2</v>
      </c>
      <c r="W197" s="193">
        <v>1.7262030839993436</v>
      </c>
      <c r="X197" s="194">
        <v>2.1778562525226892</v>
      </c>
      <c r="Y197" s="194">
        <v>2.0795257762136576E-5</v>
      </c>
      <c r="Z197" s="165">
        <v>-0.28121675405331348</v>
      </c>
      <c r="AA197" s="191">
        <v>1.2597200402027799</v>
      </c>
      <c r="AB197" s="192">
        <v>2.5789532399263524</v>
      </c>
      <c r="AC197" s="192">
        <v>1.5394950822397533</v>
      </c>
      <c r="AD197" s="162">
        <v>3.1990778308602863E-2</v>
      </c>
      <c r="AE197" s="195">
        <v>1.7241347543143415</v>
      </c>
      <c r="AF197" s="196">
        <v>2.3501642459929744</v>
      </c>
      <c r="AG197" s="196">
        <v>2.6809583276605323E-2</v>
      </c>
      <c r="AH197" s="168">
        <v>-9.4411217027032701E-2</v>
      </c>
    </row>
    <row r="198" spans="1:34" hidden="1" x14ac:dyDescent="0.15">
      <c r="A198" s="131" t="s">
        <v>354</v>
      </c>
      <c r="B198" s="190">
        <v>10.95</v>
      </c>
      <c r="C198" s="191">
        <v>20.026938770036491</v>
      </c>
      <c r="D198" s="192">
        <v>28.47399691784592</v>
      </c>
      <c r="E198" s="192">
        <v>33.039029268529873</v>
      </c>
      <c r="F198" s="162">
        <v>3.6266341456333784E-2</v>
      </c>
      <c r="G198" s="193">
        <v>26.296698185666607</v>
      </c>
      <c r="H198" s="194">
        <v>41.24955991738944</v>
      </c>
      <c r="I198" s="194">
        <v>49.647554228996349</v>
      </c>
      <c r="J198" s="165">
        <v>4.9970010515287155E-2</v>
      </c>
      <c r="K198" s="191">
        <v>26.693366015660029</v>
      </c>
      <c r="L198" s="192">
        <v>40.984760122426025</v>
      </c>
      <c r="M198" s="192">
        <v>48.217379641737431</v>
      </c>
      <c r="N198" s="162">
        <v>4.8980470557757894E-2</v>
      </c>
      <c r="O198" s="193">
        <v>34.893949563865014</v>
      </c>
      <c r="P198" s="194">
        <v>47.186151086778374</v>
      </c>
      <c r="Q198" s="194">
        <v>47.500671655787428</v>
      </c>
      <c r="R198" s="165">
        <v>4.847384473762828E-2</v>
      </c>
      <c r="S198" s="191">
        <v>26.306407315743883</v>
      </c>
      <c r="T198" s="192">
        <v>40.665514304770454</v>
      </c>
      <c r="U198" s="192">
        <v>50.30953205886302</v>
      </c>
      <c r="V198" s="162">
        <v>5.0418729234109616E-2</v>
      </c>
      <c r="W198" s="193">
        <v>25.911453407814701</v>
      </c>
      <c r="X198" s="194">
        <v>39.895514532185267</v>
      </c>
      <c r="Y198" s="194">
        <v>49.471495711851773</v>
      </c>
      <c r="Z198" s="165">
        <v>4.9849695265097305E-2</v>
      </c>
      <c r="AA198" s="191">
        <v>26.65139054884559</v>
      </c>
      <c r="AB198" s="192">
        <v>43.893617799680392</v>
      </c>
      <c r="AC198" s="192">
        <v>50.301451513669974</v>
      </c>
      <c r="AD198" s="162">
        <v>5.0413286402439139E-2</v>
      </c>
      <c r="AE198" s="195">
        <v>26.099164712943448</v>
      </c>
      <c r="AF198" s="196">
        <v>41.085135896532329</v>
      </c>
      <c r="AG198" s="196">
        <v>49.251860913741311</v>
      </c>
      <c r="AH198" s="168">
        <v>4.969901852568559E-2</v>
      </c>
    </row>
    <row r="199" spans="1:34" hidden="1" x14ac:dyDescent="0.15">
      <c r="A199" s="134" t="s">
        <v>684</v>
      </c>
      <c r="B199" s="197">
        <v>0</v>
      </c>
      <c r="C199" s="198">
        <v>0</v>
      </c>
      <c r="D199" s="199">
        <v>1.0636764751817893E-5</v>
      </c>
      <c r="E199" s="199">
        <v>1.2602381158571637E-5</v>
      </c>
      <c r="F199" s="216" t="s">
        <v>672</v>
      </c>
      <c r="G199" s="200">
        <v>7.4344036995239102E-2</v>
      </c>
      <c r="H199" s="201">
        <v>4.9202050744649322</v>
      </c>
      <c r="I199" s="201">
        <v>19.700270182734435</v>
      </c>
      <c r="J199" s="217" t="s">
        <v>672</v>
      </c>
      <c r="K199" s="198">
        <v>9.0968796181043587E-2</v>
      </c>
      <c r="L199" s="199">
        <v>0.74854313401559613</v>
      </c>
      <c r="M199" s="199">
        <v>7.031797666750216</v>
      </c>
      <c r="N199" s="216" t="s">
        <v>672</v>
      </c>
      <c r="O199" s="200">
        <v>1.2929034533308132</v>
      </c>
      <c r="P199" s="201">
        <v>14.429341394538653</v>
      </c>
      <c r="Q199" s="201">
        <v>38.289282929754627</v>
      </c>
      <c r="R199" s="217" t="s">
        <v>672</v>
      </c>
      <c r="S199" s="198">
        <v>0.12455108585135422</v>
      </c>
      <c r="T199" s="199">
        <v>6.5415520921245465</v>
      </c>
      <c r="U199" s="199">
        <v>18.162158295960747</v>
      </c>
      <c r="V199" s="216" t="s">
        <v>672</v>
      </c>
      <c r="W199" s="200">
        <v>2.611417411043826E-2</v>
      </c>
      <c r="X199" s="201">
        <v>2.0276371743944939</v>
      </c>
      <c r="Y199" s="201">
        <v>7.5139061629484756</v>
      </c>
      <c r="Z199" s="217" t="s">
        <v>672</v>
      </c>
      <c r="AA199" s="198">
        <v>3.5727201356835762E-2</v>
      </c>
      <c r="AB199" s="199">
        <v>3.3697421962733372</v>
      </c>
      <c r="AC199" s="199">
        <v>14.112023272045198</v>
      </c>
      <c r="AD199" s="216" t="s">
        <v>672</v>
      </c>
      <c r="AE199" s="202">
        <v>9.1612896770493044E-2</v>
      </c>
      <c r="AF199" s="203">
        <v>6.1027760414462762</v>
      </c>
      <c r="AG199" s="203">
        <v>20.409143187513891</v>
      </c>
      <c r="AH199" s="218" t="s">
        <v>672</v>
      </c>
    </row>
    <row r="200" spans="1:34" hidden="1" x14ac:dyDescent="0.15">
      <c r="A200" s="146" t="s">
        <v>742</v>
      </c>
      <c r="B200" s="177">
        <v>4.6092019999999998</v>
      </c>
      <c r="C200" s="178">
        <v>5.2108168013088054</v>
      </c>
      <c r="D200" s="179">
        <v>5.5466954317488648</v>
      </c>
      <c r="E200" s="179">
        <v>5.7555219710401646</v>
      </c>
      <c r="F200" s="181">
        <v>7.1904050200237712E-3</v>
      </c>
      <c r="G200" s="182">
        <v>5.2114902878264937</v>
      </c>
      <c r="H200" s="183">
        <v>5.5472190532427108</v>
      </c>
      <c r="I200" s="183">
        <v>5.7562884868201456</v>
      </c>
      <c r="J200" s="185">
        <v>7.7912570942357817E-3</v>
      </c>
      <c r="K200" s="178">
        <v>5.2115734921300927</v>
      </c>
      <c r="L200" s="179">
        <v>5.5474006397170239</v>
      </c>
      <c r="M200" s="179">
        <v>5.756460755130699</v>
      </c>
      <c r="N200" s="181">
        <v>7.7922299880610613E-3</v>
      </c>
      <c r="O200" s="182">
        <v>5.2115248223675312</v>
      </c>
      <c r="P200" s="183">
        <v>5.547188710394745</v>
      </c>
      <c r="Q200" s="183">
        <v>5.7564035850461206</v>
      </c>
      <c r="R200" s="185">
        <v>7.7919071202976475E-3</v>
      </c>
      <c r="S200" s="178">
        <v>5.2113358949580748</v>
      </c>
      <c r="T200" s="179">
        <v>5.5471780754369728</v>
      </c>
      <c r="U200" s="179">
        <v>5.7561391345052133</v>
      </c>
      <c r="V200" s="181">
        <v>7.790413596828305E-3</v>
      </c>
      <c r="W200" s="182">
        <v>5.2115875708273611</v>
      </c>
      <c r="X200" s="183">
        <v>5.5474685534530446</v>
      </c>
      <c r="Y200" s="183">
        <v>5.7566951691429553</v>
      </c>
      <c r="Z200" s="185">
        <v>7.7935538075633026E-3</v>
      </c>
      <c r="AA200" s="178">
        <v>5.211532766058248</v>
      </c>
      <c r="AB200" s="179">
        <v>5.5472944625032055</v>
      </c>
      <c r="AC200" s="179">
        <v>5.7563772296690949</v>
      </c>
      <c r="AD200" s="181">
        <v>7.7917582773940897E-3</v>
      </c>
      <c r="AE200" s="186">
        <v>5.2115360105785271</v>
      </c>
      <c r="AF200" s="187">
        <v>5.5472873692946916</v>
      </c>
      <c r="AG200" s="187">
        <v>5.7563083810192577</v>
      </c>
      <c r="AH200" s="189">
        <v>7.7913694491507091E-3</v>
      </c>
    </row>
    <row r="201" spans="1:34" hidden="1" x14ac:dyDescent="0.15">
      <c r="A201" s="131" t="s">
        <v>743</v>
      </c>
      <c r="B201" s="190">
        <v>4.4820869999999999</v>
      </c>
      <c r="C201" s="191">
        <v>3.6235070101330096</v>
      </c>
      <c r="D201" s="192">
        <v>3.1064000171803547</v>
      </c>
      <c r="E201" s="192">
        <v>3.1063972172666778</v>
      </c>
      <c r="F201" s="162">
        <v>-1.1756959218402252E-2</v>
      </c>
      <c r="G201" s="193">
        <v>2.0509240750873277</v>
      </c>
      <c r="H201" s="194">
        <v>9.0626362504657665E-2</v>
      </c>
      <c r="I201" s="194">
        <v>0</v>
      </c>
      <c r="J201" s="165">
        <v>-1</v>
      </c>
      <c r="K201" s="191">
        <v>2.1705358737447344</v>
      </c>
      <c r="L201" s="192">
        <v>0.5171330001458293</v>
      </c>
      <c r="M201" s="192">
        <v>1.4790237764705446E-4</v>
      </c>
      <c r="N201" s="162">
        <v>-0.28313839790885797</v>
      </c>
      <c r="O201" s="193">
        <v>1.6920119059401391</v>
      </c>
      <c r="P201" s="194">
        <v>3.3983545940923114E-2</v>
      </c>
      <c r="Q201" s="194">
        <v>0</v>
      </c>
      <c r="R201" s="165">
        <v>-1</v>
      </c>
      <c r="S201" s="191">
        <v>2.0447019797304358</v>
      </c>
      <c r="T201" s="192">
        <v>8.9644540558149688E-2</v>
      </c>
      <c r="U201" s="192">
        <v>0</v>
      </c>
      <c r="V201" s="162">
        <v>-1</v>
      </c>
      <c r="W201" s="193">
        <v>2.2875119794532934</v>
      </c>
      <c r="X201" s="194">
        <v>0.12796443411891542</v>
      </c>
      <c r="Y201" s="194">
        <v>0</v>
      </c>
      <c r="Z201" s="165">
        <v>-1</v>
      </c>
      <c r="AA201" s="191">
        <v>2.0447784922606149</v>
      </c>
      <c r="AB201" s="192">
        <v>0.12075291564871268</v>
      </c>
      <c r="AC201" s="192">
        <v>1.4344783281875294E-2</v>
      </c>
      <c r="AD201" s="162">
        <v>-0.16914923729329945</v>
      </c>
      <c r="AE201" s="195">
        <v>2.1209996362896972</v>
      </c>
      <c r="AF201" s="196">
        <v>0.10168561834239466</v>
      </c>
      <c r="AG201" s="196">
        <v>0</v>
      </c>
      <c r="AH201" s="168">
        <v>-1</v>
      </c>
    </row>
    <row r="202" spans="1:34" hidden="1" x14ac:dyDescent="0.15">
      <c r="A202" s="131" t="s">
        <v>744</v>
      </c>
      <c r="B202" s="190">
        <v>8.3913000000000001E-2</v>
      </c>
      <c r="C202" s="191">
        <v>0.28584728786473063</v>
      </c>
      <c r="D202" s="192">
        <v>0.49361436168334855</v>
      </c>
      <c r="E202" s="192">
        <v>0.49361418022305215</v>
      </c>
      <c r="F202" s="162">
        <v>5.8825675187170301E-2</v>
      </c>
      <c r="G202" s="193">
        <v>1.7578068357191849</v>
      </c>
      <c r="H202" s="194">
        <v>0.25885047863295824</v>
      </c>
      <c r="I202" s="194">
        <v>0</v>
      </c>
      <c r="J202" s="165">
        <v>-1</v>
      </c>
      <c r="K202" s="191">
        <v>1.7151786389236174</v>
      </c>
      <c r="L202" s="192">
        <v>0.73771435180222866</v>
      </c>
      <c r="M202" s="192">
        <v>0.72327105145225445</v>
      </c>
      <c r="N202" s="162">
        <v>0.33952463282109591</v>
      </c>
      <c r="O202" s="193">
        <v>1.9549464388517319</v>
      </c>
      <c r="P202" s="194">
        <v>0.28604653205877084</v>
      </c>
      <c r="Q202" s="194">
        <v>0</v>
      </c>
      <c r="R202" s="165">
        <v>-1</v>
      </c>
      <c r="S202" s="191">
        <v>1.7580433091980656</v>
      </c>
      <c r="T202" s="192">
        <v>0.25889678040415498</v>
      </c>
      <c r="U202" s="192">
        <v>0</v>
      </c>
      <c r="V202" s="162">
        <v>-1</v>
      </c>
      <c r="W202" s="193">
        <v>1.5001021502792269</v>
      </c>
      <c r="X202" s="194">
        <v>0.21744052390641261</v>
      </c>
      <c r="Y202" s="194">
        <v>0</v>
      </c>
      <c r="Z202" s="165">
        <v>-1</v>
      </c>
      <c r="AA202" s="191">
        <v>1.8610620210691406</v>
      </c>
      <c r="AB202" s="192">
        <v>0.27784180942561948</v>
      </c>
      <c r="AC202" s="192">
        <v>3.7548596974664249E-5</v>
      </c>
      <c r="AD202" s="162">
        <v>-2.5606591061061335E-2</v>
      </c>
      <c r="AE202" s="195">
        <v>1.6922461619849214</v>
      </c>
      <c r="AF202" s="196">
        <v>0.2487361468326644</v>
      </c>
      <c r="AG202" s="196">
        <v>0</v>
      </c>
      <c r="AH202" s="168">
        <v>-1</v>
      </c>
    </row>
    <row r="203" spans="1:34" hidden="1" x14ac:dyDescent="0.15">
      <c r="A203" s="131" t="s">
        <v>745</v>
      </c>
      <c r="B203" s="190">
        <v>4.3201999999999997E-2</v>
      </c>
      <c r="C203" s="191">
        <v>1.3014624442528215</v>
      </c>
      <c r="D203" s="192">
        <v>1.9466805489390384</v>
      </c>
      <c r="E203" s="192">
        <v>2.1555095733934717</v>
      </c>
      <c r="F203" s="162">
        <v>0.13442471790902921</v>
      </c>
      <c r="G203" s="193">
        <v>1.3956185835820381</v>
      </c>
      <c r="H203" s="194">
        <v>5.0423077380389856</v>
      </c>
      <c r="I203" s="194">
        <v>4.7670126931401242</v>
      </c>
      <c r="J203" s="165">
        <v>0.16384439106869619</v>
      </c>
      <c r="K203" s="191">
        <v>1.3258589794617404</v>
      </c>
      <c r="L203" s="192">
        <v>4.2628717728891417</v>
      </c>
      <c r="M203" s="192">
        <v>4.6403790780923622</v>
      </c>
      <c r="N203" s="162">
        <v>0.16283402059327545</v>
      </c>
      <c r="O203" s="193">
        <v>1.534911013989569</v>
      </c>
      <c r="P203" s="194">
        <v>4.6751470374154671</v>
      </c>
      <c r="Q203" s="194">
        <v>3.523459413648891</v>
      </c>
      <c r="R203" s="165">
        <v>0.1525510610047025</v>
      </c>
      <c r="S203" s="191">
        <v>1.3953366518459038</v>
      </c>
      <c r="T203" s="192">
        <v>4.9355239599461633</v>
      </c>
      <c r="U203" s="192">
        <v>4.9195064500500099</v>
      </c>
      <c r="V203" s="162">
        <v>0.16502717117597787</v>
      </c>
      <c r="W203" s="193">
        <v>1.4219231492201803</v>
      </c>
      <c r="X203" s="194">
        <v>5.1362937303401797</v>
      </c>
      <c r="Y203" s="194">
        <v>5.3381498724006153</v>
      </c>
      <c r="Z203" s="165">
        <v>0.1681005351797904</v>
      </c>
      <c r="AA203" s="191">
        <v>1.3014635563791481</v>
      </c>
      <c r="AB203" s="192">
        <v>5.0445595028849466</v>
      </c>
      <c r="AC203" s="192">
        <v>5.0791889486376309</v>
      </c>
      <c r="AD203" s="162">
        <v>0.16622827082089242</v>
      </c>
      <c r="AE203" s="195">
        <v>1.3873135061313544</v>
      </c>
      <c r="AF203" s="196">
        <v>4.973864740367623</v>
      </c>
      <c r="AG203" s="196">
        <v>4.7350027094170279</v>
      </c>
      <c r="AH203" s="168">
        <v>0.16359146861177876</v>
      </c>
    </row>
    <row r="204" spans="1:34" hidden="1" x14ac:dyDescent="0.15">
      <c r="A204" s="134" t="s">
        <v>746</v>
      </c>
      <c r="B204" s="197">
        <v>0</v>
      </c>
      <c r="C204" s="198">
        <v>5.9058244029732746E-8</v>
      </c>
      <c r="D204" s="199">
        <v>5.0394612342644941E-7</v>
      </c>
      <c r="E204" s="199">
        <v>1.0001569627141061E-6</v>
      </c>
      <c r="F204" s="216" t="s">
        <v>672</v>
      </c>
      <c r="G204" s="200">
        <v>7.1407934379433685E-3</v>
      </c>
      <c r="H204" s="201">
        <v>0.15543447406610936</v>
      </c>
      <c r="I204" s="201">
        <v>0.9892757936800215</v>
      </c>
      <c r="J204" s="217" t="s">
        <v>672</v>
      </c>
      <c r="K204" s="198">
        <v>0</v>
      </c>
      <c r="L204" s="199">
        <v>2.9681514879823817E-2</v>
      </c>
      <c r="M204" s="199">
        <v>0.3926627232084352</v>
      </c>
      <c r="N204" s="216" t="s">
        <v>672</v>
      </c>
      <c r="O204" s="200">
        <v>2.9655463586090999E-2</v>
      </c>
      <c r="P204" s="201">
        <v>0.55201159497958419</v>
      </c>
      <c r="Q204" s="201">
        <v>2.2329441713972296</v>
      </c>
      <c r="R204" s="217" t="s">
        <v>672</v>
      </c>
      <c r="S204" s="198">
        <v>1.3253954183669999E-2</v>
      </c>
      <c r="T204" s="199">
        <v>0.26311279452850461</v>
      </c>
      <c r="U204" s="199">
        <v>0.836632684455203</v>
      </c>
      <c r="V204" s="216" t="s">
        <v>672</v>
      </c>
      <c r="W204" s="200">
        <v>2.05029187466065E-3</v>
      </c>
      <c r="X204" s="201">
        <v>6.576986508753703E-2</v>
      </c>
      <c r="Y204" s="201">
        <v>0.41854529674234037</v>
      </c>
      <c r="Z204" s="217" t="s">
        <v>672</v>
      </c>
      <c r="AA204" s="198">
        <v>4.2286963493441462E-3</v>
      </c>
      <c r="AB204" s="199">
        <v>0.10414023454392704</v>
      </c>
      <c r="AC204" s="199">
        <v>0.66280594915261348</v>
      </c>
      <c r="AD204" s="216" t="s">
        <v>672</v>
      </c>
      <c r="AE204" s="202">
        <v>1.0976706172554867E-2</v>
      </c>
      <c r="AF204" s="203">
        <v>0.22300086375200906</v>
      </c>
      <c r="AG204" s="203">
        <v>1.0213056716022293</v>
      </c>
      <c r="AH204" s="218" t="s">
        <v>672</v>
      </c>
    </row>
    <row r="205" spans="1:34" hidden="1" x14ac:dyDescent="0.15">
      <c r="A205" s="146" t="s">
        <v>747</v>
      </c>
      <c r="B205" s="177">
        <v>440.79500000000002</v>
      </c>
      <c r="C205" s="178">
        <v>488.25247935228487</v>
      </c>
      <c r="D205" s="179">
        <v>539.92562112734356</v>
      </c>
      <c r="E205" s="179">
        <v>583.16956271921526</v>
      </c>
      <c r="F205" s="181">
        <v>9.0698542488298894E-3</v>
      </c>
      <c r="G205" s="182">
        <v>488.29231433768604</v>
      </c>
      <c r="H205" s="183">
        <v>539.97343636145888</v>
      </c>
      <c r="I205" s="183">
        <v>583.21979498029418</v>
      </c>
      <c r="J205" s="185">
        <v>9.0726579344628799E-3</v>
      </c>
      <c r="K205" s="178">
        <v>488.30086719501668</v>
      </c>
      <c r="L205" s="179">
        <v>540.54505484692368</v>
      </c>
      <c r="M205" s="179">
        <v>583.3368055001647</v>
      </c>
      <c r="N205" s="181">
        <v>9.0791879052845026E-3</v>
      </c>
      <c r="O205" s="182">
        <v>488.29361550019371</v>
      </c>
      <c r="P205" s="183">
        <v>539.97846780411032</v>
      </c>
      <c r="Q205" s="183">
        <v>583.2320110776617</v>
      </c>
      <c r="R205" s="185">
        <v>9.0733397337972033E-3</v>
      </c>
      <c r="S205" s="178">
        <v>488.29046377268895</v>
      </c>
      <c r="T205" s="179">
        <v>539.9706658876097</v>
      </c>
      <c r="U205" s="179">
        <v>583.21956317206957</v>
      </c>
      <c r="V205" s="181">
        <v>9.0726449967528655E-3</v>
      </c>
      <c r="W205" s="182">
        <v>488.30077267973934</v>
      </c>
      <c r="X205" s="183">
        <v>539.9848105889065</v>
      </c>
      <c r="Y205" s="183">
        <v>583.23598256861408</v>
      </c>
      <c r="Z205" s="185">
        <v>9.073561385888107E-3</v>
      </c>
      <c r="AA205" s="178">
        <v>488.29444073220861</v>
      </c>
      <c r="AB205" s="179">
        <v>539.97482725189263</v>
      </c>
      <c r="AC205" s="179">
        <v>583.2258089559441</v>
      </c>
      <c r="AD205" s="181">
        <v>9.0729935854954036E-3</v>
      </c>
      <c r="AE205" s="186">
        <v>488.2923524790931</v>
      </c>
      <c r="AF205" s="187">
        <v>539.97373112413766</v>
      </c>
      <c r="AG205" s="187">
        <v>583.22041322815596</v>
      </c>
      <c r="AH205" s="189">
        <v>9.0726924401667297E-3</v>
      </c>
    </row>
    <row r="206" spans="1:34" hidden="1" x14ac:dyDescent="0.15">
      <c r="A206" s="131" t="s">
        <v>743</v>
      </c>
      <c r="B206" s="190">
        <v>439.07499999999999</v>
      </c>
      <c r="C206" s="191">
        <v>206.13761451990118</v>
      </c>
      <c r="D206" s="192">
        <v>66.790803668695474</v>
      </c>
      <c r="E206" s="192">
        <v>72.741009578976005</v>
      </c>
      <c r="F206" s="162">
        <v>-5.6342896703461376E-2</v>
      </c>
      <c r="G206" s="193">
        <v>148.55829882391677</v>
      </c>
      <c r="H206" s="194">
        <v>6.1436604734337159</v>
      </c>
      <c r="I206" s="194">
        <v>0.65602186348017688</v>
      </c>
      <c r="J206" s="165">
        <v>-0.18894528192284743</v>
      </c>
      <c r="K206" s="191">
        <v>149.00142457584323</v>
      </c>
      <c r="L206" s="192">
        <v>5.7581667159107495</v>
      </c>
      <c r="M206" s="192">
        <v>7.4124275341699057</v>
      </c>
      <c r="N206" s="162">
        <v>-0.12296029193131897</v>
      </c>
      <c r="O206" s="193">
        <v>176.10903560490695</v>
      </c>
      <c r="P206" s="194">
        <v>33.691288695849877</v>
      </c>
      <c r="Q206" s="194">
        <v>7.0079745825846196E-7</v>
      </c>
      <c r="R206" s="165">
        <v>-0.47949279888910601</v>
      </c>
      <c r="S206" s="191">
        <v>148.793951108697</v>
      </c>
      <c r="T206" s="192">
        <v>6.3762197742962448</v>
      </c>
      <c r="U206" s="192">
        <v>0.7349750291602507</v>
      </c>
      <c r="V206" s="162">
        <v>-0.18596659287964423</v>
      </c>
      <c r="W206" s="193">
        <v>186.22986570120031</v>
      </c>
      <c r="X206" s="194">
        <v>45.264609803379649</v>
      </c>
      <c r="Y206" s="194">
        <v>3.0933948820561759E-4</v>
      </c>
      <c r="Z206" s="165">
        <v>-0.36650345100911297</v>
      </c>
      <c r="AA206" s="191">
        <v>176.12635902700328</v>
      </c>
      <c r="AB206" s="192">
        <v>33.693998289694001</v>
      </c>
      <c r="AC206" s="192">
        <v>14.037250855145771</v>
      </c>
      <c r="AD206" s="162">
        <v>-0.10470715312575052</v>
      </c>
      <c r="AE206" s="195">
        <v>148.55205646078036</v>
      </c>
      <c r="AF206" s="196">
        <v>6.1363858206178872</v>
      </c>
      <c r="AG206" s="196">
        <v>0.65349751314046733</v>
      </c>
      <c r="AH206" s="168">
        <v>-0.18904614441345113</v>
      </c>
    </row>
    <row r="207" spans="1:34" hidden="1" x14ac:dyDescent="0.15">
      <c r="A207" s="131" t="s">
        <v>744</v>
      </c>
      <c r="B207" s="190">
        <v>8.5999999999999993E-2</v>
      </c>
      <c r="C207" s="191">
        <v>269.5209550633823</v>
      </c>
      <c r="D207" s="192">
        <v>432.79382354716188</v>
      </c>
      <c r="E207" s="192">
        <v>457.35585177431454</v>
      </c>
      <c r="F207" s="162">
        <v>0.31882044330390769</v>
      </c>
      <c r="G207" s="193">
        <v>251.60332359055013</v>
      </c>
      <c r="H207" s="194">
        <v>359.0951296900534</v>
      </c>
      <c r="I207" s="194">
        <v>143.78094429862051</v>
      </c>
      <c r="J207" s="165">
        <v>0.10598521978344544</v>
      </c>
      <c r="K207" s="191">
        <v>263.96405628721612</v>
      </c>
      <c r="L207" s="192">
        <v>460.9987679063961</v>
      </c>
      <c r="M207" s="192">
        <v>439.30815405436095</v>
      </c>
      <c r="N207" s="162">
        <v>0.14655970786952444</v>
      </c>
      <c r="O207" s="193">
        <v>153.3647424104162</v>
      </c>
      <c r="P207" s="194">
        <v>141.7740544015823</v>
      </c>
      <c r="Q207" s="194">
        <v>11.289383694733695</v>
      </c>
      <c r="R207" s="165">
        <v>1.8833364560164378E-2</v>
      </c>
      <c r="S207" s="191">
        <v>251.31769217074282</v>
      </c>
      <c r="T207" s="192">
        <v>342.17372491228684</v>
      </c>
      <c r="U207" s="192">
        <v>139.96239233915469</v>
      </c>
      <c r="V207" s="162">
        <v>0.10502531458349784</v>
      </c>
      <c r="W207" s="193">
        <v>145.16215638532378</v>
      </c>
      <c r="X207" s="194">
        <v>151.2943049490336</v>
      </c>
      <c r="Y207" s="194">
        <v>80.656062353360298</v>
      </c>
      <c r="Z207" s="165">
        <v>8.5551606191976548E-2</v>
      </c>
      <c r="AA207" s="191">
        <v>230.21754595826971</v>
      </c>
      <c r="AB207" s="192">
        <v>236.0206227850137</v>
      </c>
      <c r="AC207" s="192">
        <v>98.570684198146807</v>
      </c>
      <c r="AD207" s="162">
        <v>9.2598245108476807E-2</v>
      </c>
      <c r="AE207" s="195">
        <v>251.20118181696941</v>
      </c>
      <c r="AF207" s="196">
        <v>354.49855188232311</v>
      </c>
      <c r="AG207" s="196">
        <v>141.40220574266002</v>
      </c>
      <c r="AH207" s="168">
        <v>0.10539019686285522</v>
      </c>
    </row>
    <row r="208" spans="1:34" hidden="1" x14ac:dyDescent="0.15">
      <c r="A208" s="131" t="s">
        <v>745</v>
      </c>
      <c r="B208" s="190">
        <v>1.6339999999999999</v>
      </c>
      <c r="C208" s="191">
        <v>12.593909769001439</v>
      </c>
      <c r="D208" s="192">
        <v>40.340931576483932</v>
      </c>
      <c r="E208" s="192">
        <v>53.072588686367048</v>
      </c>
      <c r="F208" s="162">
        <v>0.11882426830597681</v>
      </c>
      <c r="G208" s="193">
        <v>88.092870201222198</v>
      </c>
      <c r="H208" s="194">
        <v>149.37171049407314</v>
      </c>
      <c r="I208" s="194">
        <v>325.84805514539414</v>
      </c>
      <c r="J208" s="165">
        <v>0.18736968311147639</v>
      </c>
      <c r="K208" s="191">
        <v>74.801915618601868</v>
      </c>
      <c r="L208" s="192">
        <v>68.707219247297402</v>
      </c>
      <c r="M208" s="192">
        <v>96.839519847220927</v>
      </c>
      <c r="N208" s="162">
        <v>0.14179244609853647</v>
      </c>
      <c r="O208" s="193">
        <v>157.03052794003591</v>
      </c>
      <c r="P208" s="194">
        <v>292.16897760026899</v>
      </c>
      <c r="Q208" s="194">
        <v>317.03240148546956</v>
      </c>
      <c r="R208" s="165">
        <v>0.18631962418505355</v>
      </c>
      <c r="S208" s="191">
        <v>88.147031687094312</v>
      </c>
      <c r="T208" s="192">
        <v>159.52363472619354</v>
      </c>
      <c r="U208" s="192">
        <v>347.01069958216976</v>
      </c>
      <c r="V208" s="162">
        <v>0.18978227795565261</v>
      </c>
      <c r="W208" s="193">
        <v>156.89284737802072</v>
      </c>
      <c r="X208" s="194">
        <v>332.69422834956322</v>
      </c>
      <c r="Y208" s="194">
        <v>454.797755126646</v>
      </c>
      <c r="Z208" s="165">
        <v>0.20020940675188958</v>
      </c>
      <c r="AA208" s="191">
        <v>81.924941908580664</v>
      </c>
      <c r="AB208" s="192">
        <v>253.26701686193991</v>
      </c>
      <c r="AC208" s="192">
        <v>394.95222550011391</v>
      </c>
      <c r="AD208" s="162">
        <v>0.19475939362007066</v>
      </c>
      <c r="AE208" s="195">
        <v>88.500112595851633</v>
      </c>
      <c r="AF208" s="196">
        <v>148.75964012827473</v>
      </c>
      <c r="AG208" s="196">
        <v>324.5727626585259</v>
      </c>
      <c r="AH208" s="168">
        <v>0.18721949252474301</v>
      </c>
    </row>
    <row r="209" spans="1:34" hidden="1" x14ac:dyDescent="0.15">
      <c r="A209" s="134" t="s">
        <v>746</v>
      </c>
      <c r="B209" s="197">
        <v>0</v>
      </c>
      <c r="C209" s="198">
        <v>0</v>
      </c>
      <c r="D209" s="199">
        <v>6.2335002206859606E-5</v>
      </c>
      <c r="E209" s="199">
        <v>1.1267955770081399E-4</v>
      </c>
      <c r="F209" s="216" t="s">
        <v>672</v>
      </c>
      <c r="G209" s="200">
        <v>3.7821721996927148E-2</v>
      </c>
      <c r="H209" s="201">
        <v>25.3629357038987</v>
      </c>
      <c r="I209" s="201">
        <v>112.93477367279931</v>
      </c>
      <c r="J209" s="217" t="s">
        <v>672</v>
      </c>
      <c r="K209" s="198">
        <v>0.53347071335542928</v>
      </c>
      <c r="L209" s="199">
        <v>5.0809009773193763</v>
      </c>
      <c r="M209" s="199">
        <v>39.776704064412911</v>
      </c>
      <c r="N209" s="216" t="s">
        <v>672</v>
      </c>
      <c r="O209" s="200">
        <v>1.7893095448345946</v>
      </c>
      <c r="P209" s="201">
        <v>72.344147106409096</v>
      </c>
      <c r="Q209" s="201">
        <v>254.910225196661</v>
      </c>
      <c r="R209" s="217" t="s">
        <v>672</v>
      </c>
      <c r="S209" s="198">
        <v>3.1788806154791002E-2</v>
      </c>
      <c r="T209" s="199">
        <v>31.897086474833081</v>
      </c>
      <c r="U209" s="199">
        <v>95.511496221584906</v>
      </c>
      <c r="V209" s="216" t="s">
        <v>672</v>
      </c>
      <c r="W209" s="200">
        <v>1.5903215194483601E-2</v>
      </c>
      <c r="X209" s="201">
        <v>10.731667486930061</v>
      </c>
      <c r="Y209" s="201">
        <v>47.781855749119607</v>
      </c>
      <c r="Z209" s="217" t="s">
        <v>672</v>
      </c>
      <c r="AA209" s="198">
        <v>2.5593838355013779E-2</v>
      </c>
      <c r="AB209" s="199">
        <v>16.9931893152451</v>
      </c>
      <c r="AC209" s="199">
        <v>75.665648402537599</v>
      </c>
      <c r="AD209" s="216" t="s">
        <v>672</v>
      </c>
      <c r="AE209" s="202">
        <v>3.900160549166911E-2</v>
      </c>
      <c r="AF209" s="203">
        <v>30.579153292921998</v>
      </c>
      <c r="AG209" s="203">
        <v>116.59194731382961</v>
      </c>
      <c r="AH209" s="218" t="s">
        <v>672</v>
      </c>
    </row>
    <row r="210" spans="1:34" hidden="1" x14ac:dyDescent="0.15">
      <c r="A210" s="148" t="s">
        <v>748</v>
      </c>
      <c r="B210" s="149"/>
      <c r="C210" s="150"/>
      <c r="D210" s="151"/>
      <c r="E210" s="151"/>
      <c r="F210" s="152"/>
      <c r="G210" s="153"/>
      <c r="H210" s="154"/>
      <c r="I210" s="154"/>
      <c r="J210" s="155"/>
      <c r="K210" s="150"/>
      <c r="L210" s="151"/>
      <c r="M210" s="151"/>
      <c r="N210" s="152"/>
      <c r="O210" s="153"/>
      <c r="P210" s="154"/>
      <c r="Q210" s="154"/>
      <c r="R210" s="155"/>
      <c r="S210" s="150"/>
      <c r="T210" s="151"/>
      <c r="U210" s="151"/>
      <c r="V210" s="152"/>
      <c r="W210" s="153"/>
      <c r="X210" s="154"/>
      <c r="Y210" s="154"/>
      <c r="Z210" s="155"/>
      <c r="AA210" s="150"/>
      <c r="AB210" s="151"/>
      <c r="AC210" s="151"/>
      <c r="AD210" s="152"/>
      <c r="AE210" s="156"/>
      <c r="AF210" s="157"/>
      <c r="AG210" s="157"/>
      <c r="AH210" s="158"/>
    </row>
    <row r="211" spans="1:34" ht="12" hidden="1" x14ac:dyDescent="0.15">
      <c r="A211" s="146" t="s">
        <v>749</v>
      </c>
      <c r="B211" s="177">
        <v>37.765514323263019</v>
      </c>
      <c r="C211" s="178">
        <v>31.819463793923383</v>
      </c>
      <c r="D211" s="179">
        <v>28.01036543308139</v>
      </c>
      <c r="E211" s="179">
        <v>25.668128930186636</v>
      </c>
      <c r="F211" s="181">
        <v>-1.2379072120276224E-2</v>
      </c>
      <c r="G211" s="182">
        <v>24.231691993111227</v>
      </c>
      <c r="H211" s="183">
        <v>13.966964599560754</v>
      </c>
      <c r="I211" s="183">
        <v>-1.4526329889963385E-5</v>
      </c>
      <c r="J211" s="185">
        <v>-1.6209640639914054</v>
      </c>
      <c r="K211" s="178">
        <v>24.232402471883109</v>
      </c>
      <c r="L211" s="179">
        <v>14.133471275162551</v>
      </c>
      <c r="M211" s="179">
        <v>-3.6961608188792919E-2</v>
      </c>
      <c r="N211" s="181">
        <v>-1.799694979517241</v>
      </c>
      <c r="O211" s="182">
        <v>19.169051525439933</v>
      </c>
      <c r="P211" s="183">
        <v>11.573950352382656</v>
      </c>
      <c r="Q211" s="183">
        <v>1.6185543053194584E-5</v>
      </c>
      <c r="R211" s="185">
        <v>-0.37686567715111507</v>
      </c>
      <c r="S211" s="178">
        <v>24.231691110839108</v>
      </c>
      <c r="T211" s="179">
        <v>13.966984738358748</v>
      </c>
      <c r="U211" s="179">
        <v>3.2477977053163576E-6</v>
      </c>
      <c r="V211" s="181">
        <v>-0.40832878987331944</v>
      </c>
      <c r="W211" s="182">
        <v>24.231691116849415</v>
      </c>
      <c r="X211" s="183">
        <v>13.966984611760571</v>
      </c>
      <c r="Y211" s="183">
        <v>2.5411105776071717E-6</v>
      </c>
      <c r="Z211" s="185">
        <v>-0.41299358973863742</v>
      </c>
      <c r="AA211" s="178">
        <v>24.231692288776078</v>
      </c>
      <c r="AB211" s="179">
        <v>13.966952946223516</v>
      </c>
      <c r="AC211" s="179">
        <v>-3.6811118604734849E-5</v>
      </c>
      <c r="AD211" s="181">
        <v>-1.6398718722819785</v>
      </c>
      <c r="AE211" s="186">
        <v>24.231691475325647</v>
      </c>
      <c r="AF211" s="187">
        <v>13.966975994632945</v>
      </c>
      <c r="AG211" s="187">
        <v>-3.0924544419247413E-6</v>
      </c>
      <c r="AH211" s="189">
        <v>-1.5907364971160627</v>
      </c>
    </row>
    <row r="212" spans="1:34" ht="12" hidden="1" x14ac:dyDescent="0.15">
      <c r="A212" s="131" t="s">
        <v>750</v>
      </c>
      <c r="B212" s="190">
        <v>3.3608668749728801</v>
      </c>
      <c r="C212" s="191">
        <v>3.3783000245958403</v>
      </c>
      <c r="D212" s="192">
        <v>4.5100435983210501</v>
      </c>
      <c r="E212" s="192">
        <v>5.4889985356476148</v>
      </c>
      <c r="F212" s="162">
        <v>1.5949956996861747E-2</v>
      </c>
      <c r="G212" s="193">
        <v>2.3185189580228096</v>
      </c>
      <c r="H212" s="194">
        <v>1.7585317075213003</v>
      </c>
      <c r="I212" s="194">
        <v>-0.83947655982127278</v>
      </c>
      <c r="J212" s="165">
        <v>-1.9562388040879113</v>
      </c>
      <c r="K212" s="191">
        <v>2.949393175394841</v>
      </c>
      <c r="L212" s="192">
        <v>3.2490587723536151</v>
      </c>
      <c r="M212" s="192">
        <v>-0.49679973058075966</v>
      </c>
      <c r="N212" s="162">
        <v>-1.9401931833405706</v>
      </c>
      <c r="O212" s="193">
        <v>2.326390668412373</v>
      </c>
      <c r="P212" s="194">
        <v>1.7647210227490033</v>
      </c>
      <c r="Q212" s="194">
        <v>-0.59581779972586979</v>
      </c>
      <c r="R212" s="165">
        <v>-1.9457215722965251</v>
      </c>
      <c r="S212" s="191">
        <v>2.3185193855014616</v>
      </c>
      <c r="T212" s="192">
        <v>1.7585965439248057</v>
      </c>
      <c r="U212" s="192">
        <v>-0.83136598835348874</v>
      </c>
      <c r="V212" s="162">
        <v>-1.9559393805053391</v>
      </c>
      <c r="W212" s="193">
        <v>2.3185184417314026</v>
      </c>
      <c r="X212" s="194">
        <v>1.7585331197575496</v>
      </c>
      <c r="Y212" s="194">
        <v>-0.83614677793922043</v>
      </c>
      <c r="Z212" s="165">
        <v>-1.9561162164200572</v>
      </c>
      <c r="AA212" s="191">
        <v>2.6563608407383161</v>
      </c>
      <c r="AB212" s="192">
        <v>1.4383098805647099</v>
      </c>
      <c r="AC212" s="192">
        <v>-1.0583898151350346</v>
      </c>
      <c r="AD212" s="162">
        <v>-1.9634134845881037</v>
      </c>
      <c r="AE212" s="195">
        <v>2.3185188114508115</v>
      </c>
      <c r="AF212" s="196">
        <v>1.7585612144463365</v>
      </c>
      <c r="AG212" s="196">
        <v>-0.94401791519571354</v>
      </c>
      <c r="AH212" s="168">
        <v>-1.9598660043728242</v>
      </c>
    </row>
    <row r="213" spans="1:34" ht="12" hidden="1" x14ac:dyDescent="0.15">
      <c r="A213" s="131" t="s">
        <v>751</v>
      </c>
      <c r="B213" s="190">
        <v>6.7938640255729501</v>
      </c>
      <c r="C213" s="191">
        <v>6.423230104082613</v>
      </c>
      <c r="D213" s="192">
        <v>6.1964303342865872</v>
      </c>
      <c r="E213" s="192">
        <v>5.9153751568565109</v>
      </c>
      <c r="F213" s="162">
        <v>-4.4566503538081559E-3</v>
      </c>
      <c r="G213" s="193">
        <v>4.3623869293644271</v>
      </c>
      <c r="H213" s="194">
        <v>3.3793926334425901</v>
      </c>
      <c r="I213" s="194">
        <v>2.5574129139653614</v>
      </c>
      <c r="J213" s="165">
        <v>-3.1025412747612835E-2</v>
      </c>
      <c r="K213" s="191">
        <v>5.4191193256443162</v>
      </c>
      <c r="L213" s="192">
        <v>4.7088402354504222</v>
      </c>
      <c r="M213" s="192">
        <v>1.7013156166492482</v>
      </c>
      <c r="N213" s="162">
        <v>-4.3682298269850039E-2</v>
      </c>
      <c r="O213" s="193">
        <v>4.3542066428873918</v>
      </c>
      <c r="P213" s="194">
        <v>3.3673756605168728</v>
      </c>
      <c r="Q213" s="194">
        <v>2.1449847504844257</v>
      </c>
      <c r="R213" s="165">
        <v>-3.6506865306424996E-2</v>
      </c>
      <c r="S213" s="191">
        <v>4.3623625291779797</v>
      </c>
      <c r="T213" s="192">
        <v>3.3799667153913364</v>
      </c>
      <c r="U213" s="192">
        <v>2.5572417185766656</v>
      </c>
      <c r="V213" s="162">
        <v>-3.1027505201854044E-2</v>
      </c>
      <c r="W213" s="193">
        <v>4.3625294822776786</v>
      </c>
      <c r="X213" s="194">
        <v>3.379742753684968</v>
      </c>
      <c r="Y213" s="194">
        <v>2.5047272412061692</v>
      </c>
      <c r="Z213" s="165">
        <v>-3.1675855278195386E-2</v>
      </c>
      <c r="AA213" s="191">
        <v>4.981353953151344</v>
      </c>
      <c r="AB213" s="192">
        <v>4.0660319856629519</v>
      </c>
      <c r="AC213" s="192">
        <v>1.7505652511093976</v>
      </c>
      <c r="AD213" s="162">
        <v>-4.2801559550428636E-2</v>
      </c>
      <c r="AE213" s="195">
        <v>4.3625180987051957</v>
      </c>
      <c r="AF213" s="196">
        <v>3.3784733121361894</v>
      </c>
      <c r="AG213" s="196">
        <v>2.5590828954436171</v>
      </c>
      <c r="AH213" s="168">
        <v>-3.1005008325060035E-2</v>
      </c>
    </row>
    <row r="214" spans="1:34" ht="12" hidden="1" x14ac:dyDescent="0.15">
      <c r="A214" s="131" t="s">
        <v>752</v>
      </c>
      <c r="B214" s="190">
        <v>4.1046714127721851</v>
      </c>
      <c r="C214" s="191">
        <v>3.8757072034296236</v>
      </c>
      <c r="D214" s="192">
        <v>3.3454761171209877</v>
      </c>
      <c r="E214" s="192">
        <v>2.9013069831703793</v>
      </c>
      <c r="F214" s="162">
        <v>-1.1129997312360307E-2</v>
      </c>
      <c r="G214" s="193">
        <v>1.5432330409779955</v>
      </c>
      <c r="H214" s="194">
        <v>0.64578196792862341</v>
      </c>
      <c r="I214" s="194">
        <v>0</v>
      </c>
      <c r="J214" s="165">
        <v>-1</v>
      </c>
      <c r="K214" s="191">
        <v>1.6315843358313731</v>
      </c>
      <c r="L214" s="192">
        <v>0.91729231154201529</v>
      </c>
      <c r="M214" s="192">
        <v>0.45544577778020884</v>
      </c>
      <c r="N214" s="162">
        <v>-6.8466121185818296E-2</v>
      </c>
      <c r="O214" s="193">
        <v>1.4695453100858782</v>
      </c>
      <c r="P214" s="194">
        <v>0.68130148804209867</v>
      </c>
      <c r="Q214" s="194">
        <v>0</v>
      </c>
      <c r="R214" s="165">
        <v>-1</v>
      </c>
      <c r="S214" s="191">
        <v>1.546820619689107</v>
      </c>
      <c r="T214" s="192">
        <v>0.68408889593160915</v>
      </c>
      <c r="U214" s="192">
        <v>0</v>
      </c>
      <c r="V214" s="162">
        <v>-1</v>
      </c>
      <c r="W214" s="193">
        <v>1.5362423887934076</v>
      </c>
      <c r="X214" s="194">
        <v>0.68207879832905083</v>
      </c>
      <c r="Y214" s="194">
        <v>0</v>
      </c>
      <c r="Z214" s="165">
        <v>-1</v>
      </c>
      <c r="AA214" s="191">
        <v>1.7838319398316598</v>
      </c>
      <c r="AB214" s="192">
        <v>1.1554041126085679</v>
      </c>
      <c r="AC214" s="192">
        <v>0.30632175892462732</v>
      </c>
      <c r="AD214" s="162">
        <v>-8.0309039791527592E-2</v>
      </c>
      <c r="AE214" s="195">
        <v>1.548559384224784</v>
      </c>
      <c r="AF214" s="196">
        <v>0.64585660119789923</v>
      </c>
      <c r="AG214" s="196">
        <v>0</v>
      </c>
      <c r="AH214" s="168">
        <v>-1</v>
      </c>
    </row>
    <row r="215" spans="1:34" ht="12" hidden="1" x14ac:dyDescent="0.15">
      <c r="A215" s="131" t="s">
        <v>753</v>
      </c>
      <c r="B215" s="190">
        <v>7.735216559735731</v>
      </c>
      <c r="C215" s="191">
        <v>5.9602816652940263</v>
      </c>
      <c r="D215" s="192">
        <v>4.803482003296268</v>
      </c>
      <c r="E215" s="192">
        <v>3.7844343412128074</v>
      </c>
      <c r="F215" s="162">
        <v>-2.2797002993523052E-2</v>
      </c>
      <c r="G215" s="193">
        <v>5.4597118430401226</v>
      </c>
      <c r="H215" s="194">
        <v>2.0258955158085561</v>
      </c>
      <c r="I215" s="194">
        <v>0</v>
      </c>
      <c r="J215" s="165">
        <v>-1</v>
      </c>
      <c r="K215" s="191">
        <v>4.3413913961971238</v>
      </c>
      <c r="L215" s="192">
        <v>2.1456377606933046</v>
      </c>
      <c r="M215" s="192">
        <v>0.5813210816666593</v>
      </c>
      <c r="N215" s="162">
        <v>-8.0101065126714555E-2</v>
      </c>
      <c r="O215" s="193">
        <v>2.8428878717865462</v>
      </c>
      <c r="P215" s="194">
        <v>2.0258954465718486</v>
      </c>
      <c r="Q215" s="194">
        <v>0</v>
      </c>
      <c r="R215" s="165">
        <v>-1</v>
      </c>
      <c r="S215" s="191">
        <v>5.5284990988218032</v>
      </c>
      <c r="T215" s="192">
        <v>2.0258954466541401</v>
      </c>
      <c r="U215" s="192">
        <v>0</v>
      </c>
      <c r="V215" s="162">
        <v>-1</v>
      </c>
      <c r="W215" s="193">
        <v>5.2974983791163721</v>
      </c>
      <c r="X215" s="194">
        <v>2.0258954470677164</v>
      </c>
      <c r="Y215" s="194">
        <v>0</v>
      </c>
      <c r="Z215" s="165">
        <v>-1</v>
      </c>
      <c r="AA215" s="191">
        <v>5.2650104870836918</v>
      </c>
      <c r="AB215" s="192">
        <v>2.831267632974011</v>
      </c>
      <c r="AC215" s="192">
        <v>0.6140895170383841</v>
      </c>
      <c r="AD215" s="162">
        <v>-7.8472369187459368E-2</v>
      </c>
      <c r="AE215" s="195">
        <v>5.2954737055197851</v>
      </c>
      <c r="AF215" s="196">
        <v>2.025895476146943</v>
      </c>
      <c r="AG215" s="196">
        <v>0</v>
      </c>
      <c r="AH215" s="168">
        <v>-1</v>
      </c>
    </row>
    <row r="216" spans="1:34" hidden="1" x14ac:dyDescent="0.15">
      <c r="A216" s="131" t="s">
        <v>754</v>
      </c>
      <c r="B216" s="190">
        <v>15.770895450209272</v>
      </c>
      <c r="C216" s="191">
        <v>12.181941859123572</v>
      </c>
      <c r="D216" s="192">
        <v>9.1549245235600925</v>
      </c>
      <c r="E216" s="192">
        <v>7.5780053011041471</v>
      </c>
      <c r="F216" s="162">
        <v>-2.3365163776749021E-2</v>
      </c>
      <c r="G216" s="193">
        <v>10.033543002902318</v>
      </c>
      <c r="H216" s="194">
        <v>5.5578695389279762</v>
      </c>
      <c r="I216" s="194">
        <v>0.15805780746848003</v>
      </c>
      <c r="J216" s="165">
        <v>-0.13798499456781299</v>
      </c>
      <c r="K216" s="191">
        <v>9.8620128841536498</v>
      </c>
      <c r="L216" s="192">
        <v>3.0686846067980897</v>
      </c>
      <c r="M216" s="192">
        <v>8.8078026986304764E-2</v>
      </c>
      <c r="N216" s="162">
        <v>-0.15409236908716917</v>
      </c>
      <c r="O216" s="193">
        <v>8.1760210322677409</v>
      </c>
      <c r="P216" s="194">
        <v>3.7672427315389863</v>
      </c>
      <c r="Q216" s="194">
        <v>0.41076562112871284</v>
      </c>
      <c r="R216" s="165">
        <v>-0.11101431925911232</v>
      </c>
      <c r="S216" s="191">
        <v>10.024573850484856</v>
      </c>
      <c r="T216" s="192">
        <v>5.6675215110901869</v>
      </c>
      <c r="U216" s="192">
        <v>0.27178549479329139</v>
      </c>
      <c r="V216" s="162">
        <v>-0.12277963150622895</v>
      </c>
      <c r="W216" s="193">
        <v>10.202604114558834</v>
      </c>
      <c r="X216" s="194">
        <v>5.6064361774290949</v>
      </c>
      <c r="Y216" s="194">
        <v>0.12019953412961339</v>
      </c>
      <c r="Z216" s="165">
        <v>-0.14556522190099486</v>
      </c>
      <c r="AA216" s="191">
        <v>9.5451261089592769</v>
      </c>
      <c r="AB216" s="192">
        <v>4.4759502235532365</v>
      </c>
      <c r="AC216" s="192">
        <v>0.50435416402254618</v>
      </c>
      <c r="AD216" s="162">
        <v>-0.10510867384684719</v>
      </c>
      <c r="AE216" s="195">
        <v>10.192323168556161</v>
      </c>
      <c r="AF216" s="196">
        <v>5.245313552156678</v>
      </c>
      <c r="AG216" s="196">
        <v>0.15565231114752373</v>
      </c>
      <c r="AH216" s="168">
        <v>-0.13841133879664114</v>
      </c>
    </row>
    <row r="217" spans="1:34" hidden="1" x14ac:dyDescent="0.15">
      <c r="A217" s="131" t="s">
        <v>755</v>
      </c>
      <c r="B217" s="190">
        <v>0</v>
      </c>
      <c r="C217" s="191">
        <v>2.9373977073491422E-6</v>
      </c>
      <c r="D217" s="192">
        <v>8.8564964077602002E-6</v>
      </c>
      <c r="E217" s="192">
        <v>8.6121951773467457E-6</v>
      </c>
      <c r="F217" s="162" t="s">
        <v>672</v>
      </c>
      <c r="G217" s="193">
        <v>0.51429821880355309</v>
      </c>
      <c r="H217" s="194">
        <v>0.59949766970590668</v>
      </c>
      <c r="I217" s="194">
        <v>-1.5470691686399944</v>
      </c>
      <c r="J217" s="165" t="s">
        <v>672</v>
      </c>
      <c r="K217" s="191">
        <v>2.8901354661805302E-2</v>
      </c>
      <c r="L217" s="192">
        <v>4.7871144317194352E-2</v>
      </c>
      <c r="M217" s="192">
        <v>-2.0664229435206374</v>
      </c>
      <c r="N217" s="162" t="s">
        <v>672</v>
      </c>
      <c r="O217" s="193">
        <v>0</v>
      </c>
      <c r="P217" s="194">
        <v>0</v>
      </c>
      <c r="Q217" s="194">
        <v>-1.5186263063096761</v>
      </c>
      <c r="R217" s="165" t="s">
        <v>672</v>
      </c>
      <c r="S217" s="191">
        <v>0.45091562716390016</v>
      </c>
      <c r="T217" s="192">
        <v>0.45091562536667118</v>
      </c>
      <c r="U217" s="192">
        <v>-1.686196210691489</v>
      </c>
      <c r="V217" s="162" t="s">
        <v>672</v>
      </c>
      <c r="W217" s="193">
        <v>0.51429831037172202</v>
      </c>
      <c r="X217" s="194">
        <v>0.51429831549219207</v>
      </c>
      <c r="Y217" s="194">
        <v>-1.5440960683481939</v>
      </c>
      <c r="Z217" s="165" t="s">
        <v>672</v>
      </c>
      <c r="AA217" s="191">
        <v>8.9590117878929936E-6</v>
      </c>
      <c r="AB217" s="192">
        <v>1.0517569112745673E-7</v>
      </c>
      <c r="AC217" s="192">
        <v>-2.0228874464963686</v>
      </c>
      <c r="AD217" s="162" t="s">
        <v>672</v>
      </c>
      <c r="AE217" s="195">
        <v>0.51429830686891043</v>
      </c>
      <c r="AF217" s="196">
        <v>0.9128796815574467</v>
      </c>
      <c r="AG217" s="196">
        <v>-1.4088429058548708</v>
      </c>
      <c r="AH217" s="168" t="s">
        <v>672</v>
      </c>
    </row>
    <row r="218" spans="1:34" hidden="1" x14ac:dyDescent="0.15">
      <c r="A218" s="131" t="s">
        <v>756</v>
      </c>
      <c r="B218" s="190">
        <v>0</v>
      </c>
      <c r="C218" s="191">
        <v>0</v>
      </c>
      <c r="D218" s="192">
        <v>0</v>
      </c>
      <c r="E218" s="192">
        <v>0</v>
      </c>
      <c r="F218" s="162" t="s">
        <v>672</v>
      </c>
      <c r="G218" s="193">
        <v>0</v>
      </c>
      <c r="H218" s="194">
        <v>-4.1558486473370971E-6</v>
      </c>
      <c r="I218" s="194">
        <v>-0.23613442999068807</v>
      </c>
      <c r="J218" s="165" t="s">
        <v>672</v>
      </c>
      <c r="K218" s="191">
        <v>0</v>
      </c>
      <c r="L218" s="192">
        <v>-2.9985817720040394E-3</v>
      </c>
      <c r="M218" s="192">
        <v>-0.18249991132864271</v>
      </c>
      <c r="N218" s="162" t="s">
        <v>672</v>
      </c>
      <c r="O218" s="193">
        <v>0</v>
      </c>
      <c r="P218" s="194">
        <v>-3.2585996692950425E-2</v>
      </c>
      <c r="Q218" s="194">
        <v>-0.42542123483354655</v>
      </c>
      <c r="R218" s="165" t="s">
        <v>672</v>
      </c>
      <c r="S218" s="191">
        <v>0</v>
      </c>
      <c r="T218" s="192">
        <v>0</v>
      </c>
      <c r="U218" s="192">
        <v>-0.22068296181467342</v>
      </c>
      <c r="V218" s="162" t="s">
        <v>672</v>
      </c>
      <c r="W218" s="193">
        <v>0</v>
      </c>
      <c r="X218" s="194">
        <v>0</v>
      </c>
      <c r="Y218" s="194">
        <v>-0.24468131048581396</v>
      </c>
      <c r="Z218" s="165" t="s">
        <v>672</v>
      </c>
      <c r="AA218" s="191">
        <v>0</v>
      </c>
      <c r="AB218" s="192">
        <v>-1.0277018520959352E-5</v>
      </c>
      <c r="AC218" s="192">
        <v>-2.4253295409907436E-5</v>
      </c>
      <c r="AD218" s="162" t="s">
        <v>672</v>
      </c>
      <c r="AE218" s="195">
        <v>0</v>
      </c>
      <c r="AF218" s="196">
        <v>-3.5508772152297511E-6</v>
      </c>
      <c r="AG218" s="196">
        <v>-0.26517289731880556</v>
      </c>
      <c r="AH218" s="168" t="s">
        <v>672</v>
      </c>
    </row>
    <row r="219" spans="1:34" hidden="1" x14ac:dyDescent="0.15">
      <c r="A219" s="134" t="s">
        <v>757</v>
      </c>
      <c r="B219" s="197">
        <v>0</v>
      </c>
      <c r="C219" s="198">
        <v>0</v>
      </c>
      <c r="D219" s="199">
        <v>0</v>
      </c>
      <c r="E219" s="199">
        <v>0</v>
      </c>
      <c r="F219" s="216" t="s">
        <v>672</v>
      </c>
      <c r="G219" s="200">
        <v>0</v>
      </c>
      <c r="H219" s="201">
        <v>-2.7792555281927553E-7</v>
      </c>
      <c r="I219" s="201">
        <v>-9.2805089311776057E-2</v>
      </c>
      <c r="J219" s="217" t="s">
        <v>672</v>
      </c>
      <c r="K219" s="198">
        <v>0</v>
      </c>
      <c r="L219" s="199">
        <v>-9.1497422008584314E-4</v>
      </c>
      <c r="M219" s="199">
        <v>-0.11739952584117401</v>
      </c>
      <c r="N219" s="216" t="s">
        <v>672</v>
      </c>
      <c r="O219" s="200">
        <v>0</v>
      </c>
      <c r="P219" s="201">
        <v>-3.4320476988928959E-10</v>
      </c>
      <c r="Q219" s="201">
        <v>-1.5868845200993041E-2</v>
      </c>
      <c r="R219" s="217" t="s">
        <v>672</v>
      </c>
      <c r="S219" s="198">
        <v>0</v>
      </c>
      <c r="T219" s="199">
        <v>0</v>
      </c>
      <c r="U219" s="199">
        <v>-9.0778804712600566E-2</v>
      </c>
      <c r="V219" s="216" t="s">
        <v>672</v>
      </c>
      <c r="W219" s="200">
        <v>0</v>
      </c>
      <c r="X219" s="201">
        <v>0</v>
      </c>
      <c r="Y219" s="201">
        <v>-7.7451976655788197E-8</v>
      </c>
      <c r="Z219" s="217" t="s">
        <v>672</v>
      </c>
      <c r="AA219" s="198">
        <v>0</v>
      </c>
      <c r="AB219" s="199">
        <v>-7.1729712885960213E-7</v>
      </c>
      <c r="AC219" s="199">
        <v>-9.4065987286746824E-2</v>
      </c>
      <c r="AD219" s="216" t="s">
        <v>672</v>
      </c>
      <c r="AE219" s="202">
        <v>0</v>
      </c>
      <c r="AF219" s="203">
        <v>-2.9213133480550708E-7</v>
      </c>
      <c r="AG219" s="203">
        <v>-9.6704580676192767E-2</v>
      </c>
      <c r="AH219" s="218" t="s">
        <v>672</v>
      </c>
    </row>
    <row r="220" spans="1:34" hidden="1" x14ac:dyDescent="0.15">
      <c r="A220" s="146" t="s">
        <v>758</v>
      </c>
      <c r="B220" s="177">
        <v>0</v>
      </c>
      <c r="C220" s="178">
        <v>0</v>
      </c>
      <c r="D220" s="179">
        <v>0</v>
      </c>
      <c r="E220" s="179">
        <v>0</v>
      </c>
      <c r="F220" s="232" t="s">
        <v>672</v>
      </c>
      <c r="G220" s="182">
        <v>0</v>
      </c>
      <c r="H220" s="183">
        <v>-1.9212603474547172</v>
      </c>
      <c r="I220" s="183">
        <v>-8.6194730657007295</v>
      </c>
      <c r="J220" s="233" t="s">
        <v>672</v>
      </c>
      <c r="K220" s="178">
        <v>0</v>
      </c>
      <c r="L220" s="179">
        <v>-3.5555952529743404E-2</v>
      </c>
      <c r="M220" s="179">
        <v>-8.2505782197567914</v>
      </c>
      <c r="N220" s="232" t="s">
        <v>672</v>
      </c>
      <c r="O220" s="182">
        <v>0</v>
      </c>
      <c r="P220" s="183">
        <v>-1.2705038285005978</v>
      </c>
      <c r="Q220" s="183">
        <v>-7.4350598109270738</v>
      </c>
      <c r="R220" s="233" t="s">
        <v>672</v>
      </c>
      <c r="S220" s="178">
        <v>0</v>
      </c>
      <c r="T220" s="179">
        <v>-1.9487251372009549</v>
      </c>
      <c r="U220" s="179">
        <v>-8.3738173905036977</v>
      </c>
      <c r="V220" s="232" t="s">
        <v>672</v>
      </c>
      <c r="W220" s="182">
        <v>0</v>
      </c>
      <c r="X220" s="183">
        <v>-1.9122172435370417</v>
      </c>
      <c r="Y220" s="183">
        <v>-8.2274495952509756</v>
      </c>
      <c r="Z220" s="233" t="s">
        <v>672</v>
      </c>
      <c r="AA220" s="178">
        <v>0</v>
      </c>
      <c r="AB220" s="179">
        <v>-1.8599597049793939</v>
      </c>
      <c r="AC220" s="179">
        <v>-8.7228809134069465</v>
      </c>
      <c r="AD220" s="232" t="s">
        <v>672</v>
      </c>
      <c r="AE220" s="186">
        <v>0</v>
      </c>
      <c r="AF220" s="187">
        <v>-1.8220939979021891</v>
      </c>
      <c r="AG220" s="187">
        <v>-8.7949240905181991</v>
      </c>
      <c r="AH220" s="234" t="s">
        <v>672</v>
      </c>
    </row>
    <row r="221" spans="1:34" ht="12" hidden="1" x14ac:dyDescent="0.15">
      <c r="A221" s="131" t="s">
        <v>750</v>
      </c>
      <c r="B221" s="190">
        <v>0</v>
      </c>
      <c r="C221" s="191">
        <v>0</v>
      </c>
      <c r="D221" s="192">
        <v>0</v>
      </c>
      <c r="E221" s="192">
        <v>0</v>
      </c>
      <c r="F221" s="162" t="s">
        <v>672</v>
      </c>
      <c r="G221" s="193">
        <v>0</v>
      </c>
      <c r="H221" s="194">
        <v>-0.58298762126874915</v>
      </c>
      <c r="I221" s="194">
        <v>-3.2041598452721214</v>
      </c>
      <c r="J221" s="165" t="s">
        <v>672</v>
      </c>
      <c r="K221" s="191">
        <v>0</v>
      </c>
      <c r="L221" s="192">
        <v>-2.4289473537530446E-2</v>
      </c>
      <c r="M221" s="192">
        <v>-3.6810029963446071</v>
      </c>
      <c r="N221" s="162" t="s">
        <v>672</v>
      </c>
      <c r="O221" s="193">
        <v>0</v>
      </c>
      <c r="P221" s="194">
        <v>-0.58491487387628693</v>
      </c>
      <c r="Q221" s="194">
        <v>-2.9689772383678465</v>
      </c>
      <c r="R221" s="165" t="s">
        <v>672</v>
      </c>
      <c r="S221" s="191">
        <v>0</v>
      </c>
      <c r="T221" s="192">
        <v>-0.58292201773513885</v>
      </c>
      <c r="U221" s="192">
        <v>-3.1960492036587662</v>
      </c>
      <c r="V221" s="162" t="s">
        <v>672</v>
      </c>
      <c r="W221" s="193">
        <v>0</v>
      </c>
      <c r="X221" s="194">
        <v>-0.5829853806429931</v>
      </c>
      <c r="Y221" s="194">
        <v>-3.2008299937303049</v>
      </c>
      <c r="Z221" s="165" t="s">
        <v>672</v>
      </c>
      <c r="AA221" s="191">
        <v>0</v>
      </c>
      <c r="AB221" s="192">
        <v>-1.5841621834717805</v>
      </c>
      <c r="AC221" s="192">
        <v>-3.9617496925108697</v>
      </c>
      <c r="AD221" s="162" t="s">
        <v>672</v>
      </c>
      <c r="AE221" s="195">
        <v>0</v>
      </c>
      <c r="AF221" s="196">
        <v>-0.58295777687672334</v>
      </c>
      <c r="AG221" s="196">
        <v>-3.3087011612100539</v>
      </c>
      <c r="AH221" s="168" t="s">
        <v>672</v>
      </c>
    </row>
    <row r="222" spans="1:34" ht="12" hidden="1" x14ac:dyDescent="0.15">
      <c r="A222" s="131" t="s">
        <v>751</v>
      </c>
      <c r="B222" s="190">
        <v>0</v>
      </c>
      <c r="C222" s="191">
        <v>0</v>
      </c>
      <c r="D222" s="192">
        <v>0</v>
      </c>
      <c r="E222" s="192">
        <v>0</v>
      </c>
      <c r="F222" s="162" t="s">
        <v>672</v>
      </c>
      <c r="G222" s="193">
        <v>0</v>
      </c>
      <c r="H222" s="194">
        <v>-1.3382656000595901</v>
      </c>
      <c r="I222" s="194">
        <v>-2.6870252764795186</v>
      </c>
      <c r="J222" s="165" t="s">
        <v>672</v>
      </c>
      <c r="K222" s="191">
        <v>0</v>
      </c>
      <c r="L222" s="192">
        <v>-6.3833109050152031E-3</v>
      </c>
      <c r="M222" s="192">
        <v>-2.1497221069042811</v>
      </c>
      <c r="N222" s="162" t="s">
        <v>672</v>
      </c>
      <c r="O222" s="193">
        <v>0</v>
      </c>
      <c r="P222" s="194">
        <v>-0.65300295758815574</v>
      </c>
      <c r="Q222" s="194">
        <v>-2.5061661862150126</v>
      </c>
      <c r="R222" s="165" t="s">
        <v>672</v>
      </c>
      <c r="S222" s="191">
        <v>0</v>
      </c>
      <c r="T222" s="192">
        <v>-1.365803119465816</v>
      </c>
      <c r="U222" s="192">
        <v>-2.6864294867952725</v>
      </c>
      <c r="V222" s="162" t="s">
        <v>672</v>
      </c>
      <c r="W222" s="193">
        <v>0</v>
      </c>
      <c r="X222" s="194">
        <v>-1.3292318628940485</v>
      </c>
      <c r="Y222" s="194">
        <v>-2.6747674929278999</v>
      </c>
      <c r="Z222" s="165" t="s">
        <v>672</v>
      </c>
      <c r="AA222" s="191">
        <v>0</v>
      </c>
      <c r="AB222" s="192">
        <v>-0.27577665127657447</v>
      </c>
      <c r="AC222" s="192">
        <v>-2.0940728506971396</v>
      </c>
      <c r="AD222" s="162" t="s">
        <v>672</v>
      </c>
      <c r="AE222" s="195">
        <v>0</v>
      </c>
      <c r="AF222" s="196">
        <v>-1.2093742610857789</v>
      </c>
      <c r="AG222" s="196">
        <v>-2.6868604379085781</v>
      </c>
      <c r="AH222" s="168" t="s">
        <v>672</v>
      </c>
    </row>
    <row r="223" spans="1:34" hidden="1" x14ac:dyDescent="0.15">
      <c r="A223" s="131" t="s">
        <v>755</v>
      </c>
      <c r="B223" s="190">
        <v>0</v>
      </c>
      <c r="C223" s="191">
        <v>0</v>
      </c>
      <c r="D223" s="192">
        <v>0</v>
      </c>
      <c r="E223" s="192">
        <v>0</v>
      </c>
      <c r="F223" s="162" t="s">
        <v>672</v>
      </c>
      <c r="G223" s="193">
        <v>0</v>
      </c>
      <c r="H223" s="194">
        <v>-2.6923521776522043E-6</v>
      </c>
      <c r="I223" s="194">
        <v>-2.3993484246466252</v>
      </c>
      <c r="J223" s="165" t="s">
        <v>672</v>
      </c>
      <c r="K223" s="191">
        <v>0</v>
      </c>
      <c r="L223" s="192">
        <v>-9.6961209510787298E-4</v>
      </c>
      <c r="M223" s="192">
        <v>-2.1199536793380873</v>
      </c>
      <c r="N223" s="162" t="s">
        <v>672</v>
      </c>
      <c r="O223" s="193">
        <v>0</v>
      </c>
      <c r="P223" s="194">
        <v>0</v>
      </c>
      <c r="Q223" s="194">
        <v>-1.5186263063096761</v>
      </c>
      <c r="R223" s="165" t="s">
        <v>672</v>
      </c>
      <c r="S223" s="191">
        <v>0</v>
      </c>
      <c r="T223" s="192">
        <v>0</v>
      </c>
      <c r="U223" s="192">
        <v>-2.179876933522384</v>
      </c>
      <c r="V223" s="162" t="s">
        <v>672</v>
      </c>
      <c r="W223" s="193">
        <v>0</v>
      </c>
      <c r="X223" s="194">
        <v>0</v>
      </c>
      <c r="Y223" s="194">
        <v>-2.1071707206549792</v>
      </c>
      <c r="Z223" s="165" t="s">
        <v>672</v>
      </c>
      <c r="AA223" s="191">
        <v>0</v>
      </c>
      <c r="AB223" s="192">
        <v>-9.8759153892296954E-6</v>
      </c>
      <c r="AC223" s="192">
        <v>-2.5729681296167803</v>
      </c>
      <c r="AD223" s="162" t="s">
        <v>672</v>
      </c>
      <c r="AE223" s="195">
        <v>0</v>
      </c>
      <c r="AF223" s="196">
        <v>-2.9758116931136801E-2</v>
      </c>
      <c r="AG223" s="196">
        <v>-2.4374850134045691</v>
      </c>
      <c r="AH223" s="168" t="s">
        <v>672</v>
      </c>
    </row>
    <row r="224" spans="1:34" hidden="1" x14ac:dyDescent="0.15">
      <c r="A224" s="131" t="s">
        <v>756</v>
      </c>
      <c r="B224" s="190">
        <v>0</v>
      </c>
      <c r="C224" s="191">
        <v>0</v>
      </c>
      <c r="D224" s="192">
        <v>0</v>
      </c>
      <c r="E224" s="192">
        <v>0</v>
      </c>
      <c r="F224" s="162" t="s">
        <v>672</v>
      </c>
      <c r="G224" s="193">
        <v>0</v>
      </c>
      <c r="H224" s="194">
        <v>-4.1558486473370971E-6</v>
      </c>
      <c r="I224" s="194">
        <v>-0.23613442999068807</v>
      </c>
      <c r="J224" s="165" t="s">
        <v>672</v>
      </c>
      <c r="K224" s="191">
        <v>0</v>
      </c>
      <c r="L224" s="192">
        <v>-2.9985817720040394E-3</v>
      </c>
      <c r="M224" s="192">
        <v>-0.18249991132864271</v>
      </c>
      <c r="N224" s="162" t="s">
        <v>672</v>
      </c>
      <c r="O224" s="193">
        <v>0</v>
      </c>
      <c r="P224" s="194">
        <v>-3.2585996692950425E-2</v>
      </c>
      <c r="Q224" s="194">
        <v>-0.42542123483354655</v>
      </c>
      <c r="R224" s="165" t="s">
        <v>672</v>
      </c>
      <c r="S224" s="191">
        <v>0</v>
      </c>
      <c r="T224" s="192">
        <v>0</v>
      </c>
      <c r="U224" s="192">
        <v>-0.22068296181467342</v>
      </c>
      <c r="V224" s="162" t="s">
        <v>672</v>
      </c>
      <c r="W224" s="193">
        <v>0</v>
      </c>
      <c r="X224" s="194">
        <v>0</v>
      </c>
      <c r="Y224" s="194">
        <v>-0.24468131048581396</v>
      </c>
      <c r="Z224" s="165" t="s">
        <v>672</v>
      </c>
      <c r="AA224" s="191">
        <v>0</v>
      </c>
      <c r="AB224" s="192">
        <v>-1.0277018520959352E-5</v>
      </c>
      <c r="AC224" s="192">
        <v>-2.4253295409907436E-5</v>
      </c>
      <c r="AD224" s="162" t="s">
        <v>672</v>
      </c>
      <c r="AE224" s="195">
        <v>0</v>
      </c>
      <c r="AF224" s="196">
        <v>-3.5508772152297511E-6</v>
      </c>
      <c r="AG224" s="196">
        <v>-0.26517289731880556</v>
      </c>
      <c r="AH224" s="168" t="s">
        <v>672</v>
      </c>
    </row>
    <row r="225" spans="1:16376" hidden="1" x14ac:dyDescent="0.15">
      <c r="A225" s="134" t="s">
        <v>757</v>
      </c>
      <c r="B225" s="257">
        <v>0</v>
      </c>
      <c r="C225" s="199">
        <v>0</v>
      </c>
      <c r="D225" s="199">
        <v>0</v>
      </c>
      <c r="E225" s="199">
        <v>0</v>
      </c>
      <c r="F225" s="216" t="s">
        <v>672</v>
      </c>
      <c r="G225" s="201">
        <v>0</v>
      </c>
      <c r="H225" s="201">
        <v>-2.7792555281927553E-7</v>
      </c>
      <c r="I225" s="201">
        <v>-9.2805089311776057E-2</v>
      </c>
      <c r="J225" s="217" t="s">
        <v>672</v>
      </c>
      <c r="K225" s="199">
        <v>0</v>
      </c>
      <c r="L225" s="199">
        <v>-9.1497422008584314E-4</v>
      </c>
      <c r="M225" s="199">
        <v>-0.11739952584117401</v>
      </c>
      <c r="N225" s="216" t="s">
        <v>672</v>
      </c>
      <c r="O225" s="201">
        <v>0</v>
      </c>
      <c r="P225" s="201">
        <v>-3.4320476988928959E-10</v>
      </c>
      <c r="Q225" s="201">
        <v>-1.5868845200993041E-2</v>
      </c>
      <c r="R225" s="217" t="s">
        <v>672</v>
      </c>
      <c r="S225" s="199">
        <v>0</v>
      </c>
      <c r="T225" s="199">
        <v>0</v>
      </c>
      <c r="U225" s="199">
        <v>-9.0778804712600566E-2</v>
      </c>
      <c r="V225" s="216" t="s">
        <v>672</v>
      </c>
      <c r="W225" s="201">
        <v>0</v>
      </c>
      <c r="X225" s="201">
        <v>0</v>
      </c>
      <c r="Y225" s="201">
        <v>-7.7451976655788197E-8</v>
      </c>
      <c r="Z225" s="217" t="s">
        <v>672</v>
      </c>
      <c r="AA225" s="199">
        <v>0</v>
      </c>
      <c r="AB225" s="199">
        <v>-7.1729712885960213E-7</v>
      </c>
      <c r="AC225" s="199">
        <v>-9.4065987286746824E-2</v>
      </c>
      <c r="AD225" s="216" t="s">
        <v>672</v>
      </c>
      <c r="AE225" s="203">
        <v>0</v>
      </c>
      <c r="AF225" s="203">
        <v>-2.9213133480550708E-7</v>
      </c>
      <c r="AG225" s="203">
        <v>-9.6704580676192767E-2</v>
      </c>
      <c r="AH225" s="218" t="s">
        <v>672</v>
      </c>
    </row>
    <row r="226" spans="1:16376" ht="12" hidden="1" x14ac:dyDescent="0.15">
      <c r="A226" s="148" t="s">
        <v>759</v>
      </c>
      <c r="B226" s="258"/>
      <c r="C226" s="151"/>
      <c r="D226" s="151"/>
      <c r="E226" s="151"/>
      <c r="F226" s="152"/>
      <c r="G226" s="154"/>
      <c r="H226" s="154"/>
      <c r="I226" s="154"/>
      <c r="J226" s="155"/>
      <c r="K226" s="151"/>
      <c r="L226" s="151"/>
      <c r="M226" s="151"/>
      <c r="N226" s="152"/>
      <c r="O226" s="154"/>
      <c r="P226" s="154"/>
      <c r="Q226" s="154"/>
      <c r="R226" s="155"/>
      <c r="S226" s="151"/>
      <c r="T226" s="151"/>
      <c r="U226" s="151"/>
      <c r="V226" s="152"/>
      <c r="W226" s="154"/>
      <c r="X226" s="154"/>
      <c r="Y226" s="154"/>
      <c r="Z226" s="155"/>
      <c r="AA226" s="151"/>
      <c r="AB226" s="151"/>
      <c r="AC226" s="151"/>
      <c r="AD226" s="152"/>
      <c r="AE226" s="157"/>
      <c r="AF226" s="157"/>
      <c r="AG226" s="157"/>
      <c r="AH226" s="158"/>
    </row>
    <row r="227" spans="1:16376" hidden="1" x14ac:dyDescent="0.15">
      <c r="A227" s="146" t="s">
        <v>760</v>
      </c>
      <c r="B227" s="259"/>
      <c r="C227" s="179"/>
      <c r="D227" s="179"/>
      <c r="E227" s="260"/>
      <c r="F227" s="181"/>
      <c r="G227" s="183">
        <v>1.7706830529727089</v>
      </c>
      <c r="H227" s="183">
        <v>4.6772116389192515</v>
      </c>
      <c r="I227" s="183">
        <v>15.30587120655537</v>
      </c>
      <c r="J227" s="185" t="s">
        <v>672</v>
      </c>
      <c r="K227" s="179">
        <v>5.0199517961304601</v>
      </c>
      <c r="L227" s="179">
        <v>11.308660763278588</v>
      </c>
      <c r="M227" s="179">
        <v>40.018324779866035</v>
      </c>
      <c r="N227" s="162" t="s">
        <v>672</v>
      </c>
      <c r="O227" s="183">
        <v>8.1299447527635849</v>
      </c>
      <c r="P227" s="183">
        <v>9.5387118991396562</v>
      </c>
      <c r="Q227" s="183">
        <v>27.274169161173965</v>
      </c>
      <c r="R227" s="185" t="s">
        <v>672</v>
      </c>
      <c r="S227" s="179">
        <v>1.3078596800416289</v>
      </c>
      <c r="T227" s="179">
        <v>3.3847129231095554</v>
      </c>
      <c r="U227" s="179">
        <v>12.616861881785283</v>
      </c>
      <c r="V227" s="181" t="s">
        <v>672</v>
      </c>
      <c r="W227" s="183">
        <v>0.94535411517072543</v>
      </c>
      <c r="X227" s="183">
        <v>1.9229407716631646</v>
      </c>
      <c r="Y227" s="183">
        <v>9.9428363784942739</v>
      </c>
      <c r="Z227" s="185" t="s">
        <v>672</v>
      </c>
      <c r="AA227" s="179">
        <v>0.94535411517072543</v>
      </c>
      <c r="AB227" s="179">
        <v>1.9229407716631646</v>
      </c>
      <c r="AC227" s="179">
        <v>9.9428363784942739</v>
      </c>
      <c r="AD227" s="181" t="s">
        <v>672</v>
      </c>
      <c r="AE227" s="187">
        <v>2.4043153368143892</v>
      </c>
      <c r="AF227" s="187">
        <v>5.3849595488182764</v>
      </c>
      <c r="AG227" s="187">
        <v>15.176151052302</v>
      </c>
      <c r="AH227" s="189" t="s">
        <v>672</v>
      </c>
    </row>
    <row r="228" spans="1:16376" hidden="1" x14ac:dyDescent="0.15">
      <c r="A228" s="131" t="s">
        <v>761</v>
      </c>
      <c r="B228" s="261"/>
      <c r="C228" s="192"/>
      <c r="D228" s="192"/>
      <c r="E228" s="262"/>
      <c r="F228" s="162"/>
      <c r="G228" s="194">
        <v>5.3284098063291658</v>
      </c>
      <c r="H228" s="194">
        <v>8.0130586320567545</v>
      </c>
      <c r="I228" s="194">
        <v>16.054279509433258</v>
      </c>
      <c r="J228" s="165" t="s">
        <v>672</v>
      </c>
      <c r="K228" s="192">
        <v>8.8421104230141232</v>
      </c>
      <c r="L228" s="192">
        <v>13.797655024090368</v>
      </c>
      <c r="M228" s="192">
        <v>38.403185298275972</v>
      </c>
      <c r="N228" s="162" t="s">
        <v>672</v>
      </c>
      <c r="O228" s="194">
        <v>13.152421505535873</v>
      </c>
      <c r="P228" s="194">
        <v>15.139287014718647</v>
      </c>
      <c r="Q228" s="194">
        <v>29.207698942303068</v>
      </c>
      <c r="R228" s="165" t="s">
        <v>672</v>
      </c>
      <c r="S228" s="192">
        <v>4.9381870453339864</v>
      </c>
      <c r="T228" s="192">
        <v>6.600711857810154</v>
      </c>
      <c r="U228" s="192">
        <v>12.191237012182086</v>
      </c>
      <c r="V228" s="162" t="s">
        <v>672</v>
      </c>
      <c r="W228" s="194">
        <v>4.2949219831119123</v>
      </c>
      <c r="X228" s="194">
        <v>5.1185397778487349</v>
      </c>
      <c r="Y228" s="194">
        <v>8.6929609835741388</v>
      </c>
      <c r="Z228" s="165" t="s">
        <v>672</v>
      </c>
      <c r="AA228" s="192">
        <v>4.2949219831119123</v>
      </c>
      <c r="AB228" s="192">
        <v>5.1185397778487349</v>
      </c>
      <c r="AC228" s="192">
        <v>8.6929609835741388</v>
      </c>
      <c r="AD228" s="162" t="s">
        <v>672</v>
      </c>
      <c r="AE228" s="196">
        <v>5.9430908492677084</v>
      </c>
      <c r="AF228" s="196">
        <v>8.9846433252660276</v>
      </c>
      <c r="AG228" s="196">
        <v>15.750410154929696</v>
      </c>
      <c r="AH228" s="168" t="s">
        <v>672</v>
      </c>
    </row>
    <row r="229" spans="1:16376" hidden="1" x14ac:dyDescent="0.15">
      <c r="A229" s="131" t="s">
        <v>762</v>
      </c>
      <c r="B229" s="261"/>
      <c r="C229" s="192"/>
      <c r="D229" s="192"/>
      <c r="E229" s="262"/>
      <c r="F229" s="162"/>
      <c r="G229" s="194">
        <v>9.2835798569694816E-2</v>
      </c>
      <c r="H229" s="194">
        <v>0.98038155485881262</v>
      </c>
      <c r="I229" s="194">
        <v>2.0817936542616415</v>
      </c>
      <c r="J229" s="165" t="s">
        <v>672</v>
      </c>
      <c r="K229" s="192">
        <v>-7.045888865463823E-2</v>
      </c>
      <c r="L229" s="192">
        <v>0.49562041449643601</v>
      </c>
      <c r="M229" s="192">
        <v>0.97464969813086455</v>
      </c>
      <c r="N229" s="162" t="s">
        <v>672</v>
      </c>
      <c r="O229" s="194">
        <v>0.54510805777815463</v>
      </c>
      <c r="P229" s="194">
        <v>1.9000013477484821</v>
      </c>
      <c r="Q229" s="194">
        <v>5.4366149521944251</v>
      </c>
      <c r="R229" s="165" t="s">
        <v>672</v>
      </c>
      <c r="S229" s="192">
        <v>0.11146435230323348</v>
      </c>
      <c r="T229" s="192">
        <v>0.89164484084102114</v>
      </c>
      <c r="U229" s="192">
        <v>1.7515326007262466</v>
      </c>
      <c r="V229" s="162" t="s">
        <v>672</v>
      </c>
      <c r="W229" s="194">
        <v>3.9256241232271449E-2</v>
      </c>
      <c r="X229" s="194">
        <v>0.5598487019292584</v>
      </c>
      <c r="Y229" s="194">
        <v>1.8350900187941583</v>
      </c>
      <c r="Z229" s="165" t="s">
        <v>672</v>
      </c>
      <c r="AA229" s="192">
        <v>3.9256241232271449E-2</v>
      </c>
      <c r="AB229" s="192">
        <v>0.5598487019292584</v>
      </c>
      <c r="AC229" s="192">
        <v>1.8350900187941583</v>
      </c>
      <c r="AD229" s="162" t="s">
        <v>672</v>
      </c>
      <c r="AE229" s="196">
        <v>0.13589490687082417</v>
      </c>
      <c r="AF229" s="196">
        <v>0.84413907841745583</v>
      </c>
      <c r="AG229" s="196">
        <v>1.9433318151606045</v>
      </c>
      <c r="AH229" s="168" t="s">
        <v>672</v>
      </c>
    </row>
    <row r="230" spans="1:16376" hidden="1" x14ac:dyDescent="0.15">
      <c r="A230" s="134" t="s">
        <v>763</v>
      </c>
      <c r="B230" s="257"/>
      <c r="C230" s="199"/>
      <c r="D230" s="199"/>
      <c r="E230" s="263"/>
      <c r="F230" s="216"/>
      <c r="G230" s="201">
        <v>-3.6505625519261518</v>
      </c>
      <c r="H230" s="201">
        <v>-4.3162285479963156</v>
      </c>
      <c r="I230" s="201">
        <v>-2.8302019571395292</v>
      </c>
      <c r="J230" s="217" t="s">
        <v>672</v>
      </c>
      <c r="K230" s="199">
        <v>-3.7516997382290249</v>
      </c>
      <c r="L230" s="199">
        <v>-2.9846146753082143</v>
      </c>
      <c r="M230" s="199">
        <v>0.6404897834592056</v>
      </c>
      <c r="N230" s="216" t="s">
        <v>672</v>
      </c>
      <c r="O230" s="201">
        <v>-5.5675848105504437</v>
      </c>
      <c r="P230" s="201">
        <v>-7.500576463327473</v>
      </c>
      <c r="Q230" s="201">
        <v>-7.3701447333235262</v>
      </c>
      <c r="R230" s="217" t="s">
        <v>672</v>
      </c>
      <c r="S230" s="199">
        <v>-3.741791717595591</v>
      </c>
      <c r="T230" s="199">
        <v>-4.1076437755416197</v>
      </c>
      <c r="U230" s="199">
        <v>-1.3259077311230492</v>
      </c>
      <c r="V230" s="216" t="s">
        <v>672</v>
      </c>
      <c r="W230" s="201">
        <v>-3.3888241091734583</v>
      </c>
      <c r="X230" s="201">
        <v>-3.7554477081148288</v>
      </c>
      <c r="Y230" s="201">
        <v>-0.58521462387402234</v>
      </c>
      <c r="Z230" s="217" t="s">
        <v>672</v>
      </c>
      <c r="AA230" s="199">
        <v>-3.3888241091734583</v>
      </c>
      <c r="AB230" s="199">
        <v>-3.7554477081148288</v>
      </c>
      <c r="AC230" s="199">
        <v>-0.58521462387402234</v>
      </c>
      <c r="AD230" s="216" t="s">
        <v>672</v>
      </c>
      <c r="AE230" s="203">
        <v>-3.6746704193241433</v>
      </c>
      <c r="AF230" s="203">
        <v>-4.443822854865207</v>
      </c>
      <c r="AG230" s="203">
        <v>-2.5175909177883016</v>
      </c>
      <c r="AH230" s="218" t="s">
        <v>672</v>
      </c>
    </row>
    <row r="231" spans="1:16376" hidden="1" x14ac:dyDescent="0.15">
      <c r="A231" s="146" t="s">
        <v>764</v>
      </c>
      <c r="B231" s="259"/>
      <c r="C231" s="179"/>
      <c r="D231" s="179"/>
      <c r="E231" s="262"/>
      <c r="F231" s="162"/>
      <c r="G231" s="183">
        <v>1.3874735542618857</v>
      </c>
      <c r="H231" s="183">
        <v>2.8204161082870685</v>
      </c>
      <c r="I231" s="183">
        <v>7.7590470383952397</v>
      </c>
      <c r="J231" s="165" t="s">
        <v>672</v>
      </c>
      <c r="K231" s="179">
        <v>3.9335387262600157</v>
      </c>
      <c r="L231" s="179">
        <v>6.8192614408346017</v>
      </c>
      <c r="M231" s="179">
        <v>20.286598532971603</v>
      </c>
      <c r="N231" s="162" t="s">
        <v>672</v>
      </c>
      <c r="O231" s="183">
        <v>6.3704700415650928</v>
      </c>
      <c r="P231" s="183">
        <v>5.751960520405154</v>
      </c>
      <c r="Q231" s="183">
        <v>13.82616896476053</v>
      </c>
      <c r="R231" s="165" t="s">
        <v>672</v>
      </c>
      <c r="S231" s="179">
        <v>1.0248139641347436</v>
      </c>
      <c r="T231" s="179">
        <v>2.0410234958859879</v>
      </c>
      <c r="U231" s="179">
        <v>6.3959002069598236</v>
      </c>
      <c r="V231" s="162" t="s">
        <v>672</v>
      </c>
      <c r="W231" s="183">
        <v>0.74076149992510398</v>
      </c>
      <c r="X231" s="183">
        <v>1.1595569211689432</v>
      </c>
      <c r="Y231" s="183">
        <v>5.0403491650160435</v>
      </c>
      <c r="Z231" s="165" t="s">
        <v>672</v>
      </c>
      <c r="AA231" s="179">
        <v>0.74076149992510398</v>
      </c>
      <c r="AB231" s="179">
        <v>1.1595569211689432</v>
      </c>
      <c r="AC231" s="179">
        <v>5.0403491650160435</v>
      </c>
      <c r="AD231" s="162" t="s">
        <v>672</v>
      </c>
      <c r="AE231" s="187">
        <v>1.8839757574545666</v>
      </c>
      <c r="AF231" s="187">
        <v>3.2471967972504947</v>
      </c>
      <c r="AG231" s="187">
        <v>7.693287646780294</v>
      </c>
      <c r="AH231" s="168" t="s">
        <v>672</v>
      </c>
    </row>
    <row r="232" spans="1:16376" hidden="1" x14ac:dyDescent="0.15">
      <c r="A232" s="131" t="s">
        <v>765</v>
      </c>
      <c r="B232" s="261"/>
      <c r="C232" s="192"/>
      <c r="D232" s="192"/>
      <c r="E232" s="262"/>
      <c r="F232" s="162"/>
      <c r="G232" s="194">
        <v>4.1752405548466953</v>
      </c>
      <c r="H232" s="194">
        <v>4.8319728477635788</v>
      </c>
      <c r="I232" s="194">
        <v>8.1384397007004097</v>
      </c>
      <c r="J232" s="165" t="s">
        <v>672</v>
      </c>
      <c r="K232" s="192">
        <v>6.9285095123031919</v>
      </c>
      <c r="L232" s="192">
        <v>8.3201555736153239</v>
      </c>
      <c r="M232" s="192">
        <v>19.467831470182041</v>
      </c>
      <c r="N232" s="162" t="s">
        <v>672</v>
      </c>
      <c r="O232" s="194">
        <v>10.305987275814052</v>
      </c>
      <c r="P232" s="194">
        <v>9.129176154654413</v>
      </c>
      <c r="Q232" s="194">
        <v>14.806338490523517</v>
      </c>
      <c r="R232" s="165" t="s">
        <v>672</v>
      </c>
      <c r="S232" s="192">
        <v>3.869469423054984</v>
      </c>
      <c r="T232" s="192">
        <v>3.9803103830107918</v>
      </c>
      <c r="U232" s="192">
        <v>6.180137030895227</v>
      </c>
      <c r="V232" s="162" t="s">
        <v>672</v>
      </c>
      <c r="W232" s="194">
        <v>3.3654191579805204</v>
      </c>
      <c r="X232" s="194">
        <v>3.0865424006531508</v>
      </c>
      <c r="Y232" s="194">
        <v>4.4067464219611647</v>
      </c>
      <c r="Z232" s="165" t="s">
        <v>672</v>
      </c>
      <c r="AA232" s="192">
        <v>3.3654191579805204</v>
      </c>
      <c r="AB232" s="192">
        <v>3.0865424006531508</v>
      </c>
      <c r="AC232" s="192">
        <v>4.4067464219611647</v>
      </c>
      <c r="AD232" s="162" t="s">
        <v>672</v>
      </c>
      <c r="AE232" s="196">
        <v>4.6568929262022181</v>
      </c>
      <c r="AF232" s="196">
        <v>5.4178503600169625</v>
      </c>
      <c r="AG232" s="196">
        <v>7.9843983800005374</v>
      </c>
      <c r="AH232" s="168" t="s">
        <v>672</v>
      </c>
    </row>
    <row r="233" spans="1:16376" hidden="1" x14ac:dyDescent="0.15">
      <c r="A233" s="131" t="s">
        <v>766</v>
      </c>
      <c r="B233" s="261"/>
      <c r="C233" s="192"/>
      <c r="D233" s="192"/>
      <c r="E233" s="262"/>
      <c r="F233" s="162"/>
      <c r="G233" s="194">
        <v>7.2744365620932061E-2</v>
      </c>
      <c r="H233" s="194">
        <v>0.59118212795481639</v>
      </c>
      <c r="I233" s="194">
        <v>1.0553293353684252</v>
      </c>
      <c r="J233" s="165" t="s">
        <v>672</v>
      </c>
      <c r="K233" s="192">
        <v>-5.5210244717070832E-2</v>
      </c>
      <c r="L233" s="192">
        <v>0.29886520186729459</v>
      </c>
      <c r="M233" s="192">
        <v>0.49408182988735788</v>
      </c>
      <c r="N233" s="162" t="s">
        <v>672</v>
      </c>
      <c r="O233" s="194">
        <v>0.42713630376283185</v>
      </c>
      <c r="P233" s="194">
        <v>1.1457241665881082</v>
      </c>
      <c r="Q233" s="194">
        <v>2.7559980464001845</v>
      </c>
      <c r="R233" s="165" t="s">
        <v>672</v>
      </c>
      <c r="S233" s="192">
        <v>8.7341345930897096E-2</v>
      </c>
      <c r="T233" s="192">
        <v>0.53767279869340368</v>
      </c>
      <c r="U233" s="192">
        <v>0.88790919869344798</v>
      </c>
      <c r="V233" s="162" t="s">
        <v>672</v>
      </c>
      <c r="W233" s="194">
        <v>3.0760443806168363E-2</v>
      </c>
      <c r="X233" s="194">
        <v>0.33759564865226876</v>
      </c>
      <c r="Y233" s="194">
        <v>0.93026718854234403</v>
      </c>
      <c r="Z233" s="165" t="s">
        <v>672</v>
      </c>
      <c r="AA233" s="192">
        <v>3.0760443806168363E-2</v>
      </c>
      <c r="AB233" s="192">
        <v>0.33759564865226876</v>
      </c>
      <c r="AC233" s="192">
        <v>0.93026718854234403</v>
      </c>
      <c r="AD233" s="162" t="s">
        <v>672</v>
      </c>
      <c r="AE233" s="196">
        <v>0.10648466371528345</v>
      </c>
      <c r="AF233" s="196">
        <v>0.50902624003418462</v>
      </c>
      <c r="AG233" s="196">
        <v>0.98513849761019723</v>
      </c>
      <c r="AH233" s="168" t="s">
        <v>672</v>
      </c>
    </row>
    <row r="234" spans="1:16376" hidden="1" x14ac:dyDescent="0.15">
      <c r="A234" s="134" t="s">
        <v>763</v>
      </c>
      <c r="B234" s="257"/>
      <c r="C234" s="199"/>
      <c r="D234" s="199"/>
      <c r="E234" s="263"/>
      <c r="F234" s="216"/>
      <c r="G234" s="201">
        <v>-2.8605113662057415</v>
      </c>
      <c r="H234" s="201">
        <v>-2.6027388674313268</v>
      </c>
      <c r="I234" s="201">
        <v>-1.4347219976735948</v>
      </c>
      <c r="J234" s="217" t="s">
        <v>672</v>
      </c>
      <c r="K234" s="199">
        <v>-2.939760541326105</v>
      </c>
      <c r="L234" s="199">
        <v>-1.7997593346480154</v>
      </c>
      <c r="M234" s="199">
        <v>0.3246852329022033</v>
      </c>
      <c r="N234" s="216" t="s">
        <v>672</v>
      </c>
      <c r="O234" s="201">
        <v>-4.3626535380117923</v>
      </c>
      <c r="P234" s="201">
        <v>-4.5229398008373671</v>
      </c>
      <c r="Q234" s="201">
        <v>-3.7361675721631724</v>
      </c>
      <c r="R234" s="217" t="s">
        <v>672</v>
      </c>
      <c r="S234" s="199">
        <v>-2.9319968048511376</v>
      </c>
      <c r="T234" s="199">
        <v>-2.4769596858182079</v>
      </c>
      <c r="U234" s="199">
        <v>-0.67214602262885115</v>
      </c>
      <c r="V234" s="216" t="s">
        <v>672</v>
      </c>
      <c r="W234" s="201">
        <v>-2.6554181018615846</v>
      </c>
      <c r="X234" s="201">
        <v>-2.2645811281364763</v>
      </c>
      <c r="Y234" s="201">
        <v>-0.29666444548746573</v>
      </c>
      <c r="Z234" s="217" t="s">
        <v>672</v>
      </c>
      <c r="AA234" s="199">
        <v>-2.6554181018615846</v>
      </c>
      <c r="AB234" s="199">
        <v>-2.2645811281364763</v>
      </c>
      <c r="AC234" s="199">
        <v>-0.29666444548746573</v>
      </c>
      <c r="AD234" s="216" t="s">
        <v>672</v>
      </c>
      <c r="AE234" s="203">
        <v>-2.8794018324629351</v>
      </c>
      <c r="AF234" s="203">
        <v>-2.6796798028006528</v>
      </c>
      <c r="AG234" s="203">
        <v>-1.2762492308304403</v>
      </c>
      <c r="AH234" s="218" t="s">
        <v>672</v>
      </c>
    </row>
    <row r="235" spans="1:16376" hidden="1" x14ac:dyDescent="0.15">
      <c r="A235" s="264" t="s">
        <v>767</v>
      </c>
      <c r="B235" s="265"/>
      <c r="C235" s="266"/>
      <c r="D235" s="266"/>
      <c r="E235" s="267"/>
      <c r="F235" s="268"/>
      <c r="G235" s="530">
        <v>162.52322113515973</v>
      </c>
      <c r="H235" s="531"/>
      <c r="I235" s="531"/>
      <c r="J235" s="532"/>
      <c r="K235" s="533">
        <v>425.58468040159687</v>
      </c>
      <c r="L235" s="534"/>
      <c r="M235" s="534"/>
      <c r="N235" s="535"/>
      <c r="O235" s="530">
        <v>353.94537907643485</v>
      </c>
      <c r="P235" s="531"/>
      <c r="Q235" s="531"/>
      <c r="R235" s="532"/>
      <c r="S235" s="533">
        <v>128.41890545031089</v>
      </c>
      <c r="T235" s="534"/>
      <c r="U235" s="534"/>
      <c r="V235" s="535"/>
      <c r="W235" s="530">
        <v>97.136473265746574</v>
      </c>
      <c r="X235" s="531">
        <v>0</v>
      </c>
      <c r="Y235" s="531">
        <v>0</v>
      </c>
      <c r="Z235" s="532">
        <v>0</v>
      </c>
      <c r="AA235" s="533">
        <v>119.5657753389511</v>
      </c>
      <c r="AB235" s="534">
        <v>0</v>
      </c>
      <c r="AC235" s="534">
        <v>0</v>
      </c>
      <c r="AD235" s="535">
        <v>0</v>
      </c>
      <c r="AE235" s="536">
        <v>176.63675313488056</v>
      </c>
      <c r="AF235" s="537">
        <v>0</v>
      </c>
      <c r="AG235" s="537">
        <v>0</v>
      </c>
      <c r="AH235" s="538">
        <v>0</v>
      </c>
      <c r="AI235" s="269"/>
      <c r="AJ235" s="269"/>
      <c r="AK235" s="269"/>
      <c r="AL235" s="269"/>
      <c r="AM235" s="269"/>
      <c r="AN235" s="269"/>
      <c r="AO235" s="269"/>
      <c r="AP235" s="269"/>
      <c r="AQ235" s="269"/>
      <c r="AR235" s="269"/>
      <c r="AS235" s="269"/>
      <c r="AT235" s="269"/>
      <c r="AU235" s="269"/>
      <c r="AV235" s="269"/>
      <c r="AW235" s="269"/>
      <c r="AX235" s="269"/>
      <c r="AY235" s="269"/>
      <c r="AZ235" s="269"/>
      <c r="BA235" s="269"/>
      <c r="BB235" s="269"/>
      <c r="BC235" s="269"/>
      <c r="BD235" s="269"/>
      <c r="BE235" s="269"/>
      <c r="BF235" s="269"/>
      <c r="BG235" s="269"/>
      <c r="BH235" s="269"/>
      <c r="BI235" s="269"/>
      <c r="BJ235" s="269"/>
      <c r="BK235" s="269"/>
      <c r="BL235" s="269"/>
      <c r="BM235" s="269"/>
      <c r="BN235" s="269"/>
      <c r="BO235" s="269"/>
      <c r="BP235" s="269"/>
      <c r="BQ235" s="269"/>
      <c r="BR235" s="269"/>
      <c r="BS235" s="269"/>
      <c r="BT235" s="269"/>
      <c r="BU235" s="269"/>
      <c r="BV235" s="269"/>
      <c r="BW235" s="269"/>
      <c r="BX235" s="269"/>
      <c r="BY235" s="269"/>
      <c r="BZ235" s="269"/>
      <c r="CA235" s="269"/>
      <c r="CB235" s="269"/>
      <c r="CC235" s="269"/>
      <c r="CD235" s="269"/>
      <c r="CE235" s="269"/>
      <c r="CF235" s="269"/>
      <c r="CG235" s="269"/>
      <c r="CH235" s="269"/>
      <c r="CI235" s="269"/>
      <c r="CJ235" s="269"/>
      <c r="CK235" s="269"/>
      <c r="CL235" s="269"/>
      <c r="CM235" s="269"/>
      <c r="CN235" s="269"/>
      <c r="CO235" s="269"/>
      <c r="CP235" s="269"/>
      <c r="CQ235" s="269"/>
      <c r="CR235" s="269"/>
      <c r="CS235" s="269"/>
      <c r="CT235" s="269"/>
      <c r="CU235" s="269"/>
      <c r="CV235" s="269"/>
      <c r="CW235" s="269"/>
      <c r="CX235" s="269"/>
      <c r="CY235" s="269"/>
      <c r="CZ235" s="269"/>
      <c r="DA235" s="269"/>
      <c r="DB235" s="269"/>
      <c r="DC235" s="269"/>
      <c r="DD235" s="269"/>
      <c r="DE235" s="269"/>
      <c r="DF235" s="269"/>
      <c r="DG235" s="269"/>
      <c r="DH235" s="269"/>
      <c r="DI235" s="269"/>
      <c r="DJ235" s="269"/>
      <c r="DK235" s="269"/>
      <c r="DL235" s="269"/>
      <c r="DM235" s="269"/>
      <c r="DN235" s="269"/>
      <c r="DO235" s="269"/>
      <c r="DP235" s="269"/>
      <c r="DQ235" s="269"/>
      <c r="DR235" s="269"/>
      <c r="DS235" s="269"/>
      <c r="DT235" s="269"/>
      <c r="DU235" s="269"/>
      <c r="DV235" s="269"/>
      <c r="DW235" s="269"/>
      <c r="DX235" s="269"/>
      <c r="DY235" s="269"/>
      <c r="DZ235" s="269"/>
      <c r="EA235" s="269"/>
      <c r="EB235" s="269"/>
      <c r="EC235" s="269"/>
      <c r="ED235" s="269"/>
      <c r="EE235" s="269"/>
      <c r="EF235" s="269"/>
      <c r="EG235" s="269"/>
      <c r="EH235" s="269"/>
      <c r="EI235" s="269"/>
      <c r="EJ235" s="269"/>
      <c r="EK235" s="269"/>
      <c r="EL235" s="269"/>
      <c r="EM235" s="269"/>
      <c r="EN235" s="269"/>
      <c r="EO235" s="269"/>
      <c r="EP235" s="269"/>
      <c r="EQ235" s="269"/>
      <c r="ER235" s="269"/>
      <c r="ES235" s="269"/>
      <c r="ET235" s="269"/>
      <c r="EU235" s="269"/>
      <c r="EV235" s="269"/>
      <c r="EW235" s="269"/>
      <c r="EX235" s="269"/>
      <c r="EY235" s="269"/>
      <c r="EZ235" s="269"/>
      <c r="FA235" s="269"/>
      <c r="FB235" s="269"/>
      <c r="FC235" s="269"/>
      <c r="FD235" s="269"/>
      <c r="FE235" s="269"/>
      <c r="FF235" s="269"/>
      <c r="FG235" s="269"/>
      <c r="FH235" s="269"/>
      <c r="FI235" s="269"/>
      <c r="FJ235" s="269"/>
      <c r="FK235" s="269"/>
      <c r="FL235" s="269"/>
      <c r="FM235" s="269"/>
      <c r="FN235" s="269"/>
      <c r="FO235" s="269"/>
      <c r="FP235" s="269"/>
      <c r="FQ235" s="269"/>
      <c r="FR235" s="269"/>
      <c r="FS235" s="269"/>
      <c r="FT235" s="269"/>
      <c r="FU235" s="269"/>
      <c r="FV235" s="269"/>
      <c r="FW235" s="269"/>
      <c r="FX235" s="269"/>
      <c r="FY235" s="269"/>
      <c r="FZ235" s="269"/>
      <c r="GA235" s="269"/>
      <c r="GB235" s="269"/>
      <c r="GC235" s="269"/>
      <c r="GD235" s="269"/>
      <c r="GE235" s="269"/>
      <c r="GF235" s="269"/>
      <c r="GG235" s="269"/>
      <c r="GH235" s="269"/>
      <c r="GI235" s="269"/>
      <c r="GJ235" s="269"/>
      <c r="GK235" s="269"/>
      <c r="GL235" s="269"/>
      <c r="GM235" s="269"/>
      <c r="GN235" s="269"/>
      <c r="GO235" s="269"/>
      <c r="GP235" s="269"/>
      <c r="GQ235" s="269"/>
      <c r="GR235" s="269"/>
      <c r="GS235" s="269"/>
      <c r="GT235" s="269"/>
      <c r="GU235" s="269"/>
      <c r="GV235" s="269"/>
      <c r="GW235" s="269"/>
      <c r="GX235" s="269"/>
      <c r="GY235" s="269"/>
      <c r="GZ235" s="269"/>
      <c r="HA235" s="269"/>
      <c r="HB235" s="269"/>
      <c r="HC235" s="269"/>
      <c r="HD235" s="269"/>
      <c r="HE235" s="269"/>
      <c r="HF235" s="269"/>
      <c r="HG235" s="269"/>
      <c r="HH235" s="269"/>
      <c r="HI235" s="269"/>
      <c r="HJ235" s="269"/>
      <c r="HK235" s="269"/>
      <c r="HL235" s="269"/>
      <c r="HM235" s="269"/>
      <c r="HN235" s="269"/>
      <c r="HO235" s="269"/>
      <c r="HP235" s="269"/>
      <c r="HQ235" s="269"/>
      <c r="HR235" s="269"/>
      <c r="HS235" s="269"/>
      <c r="HT235" s="269"/>
      <c r="HU235" s="269"/>
      <c r="HV235" s="269"/>
      <c r="HW235" s="269"/>
      <c r="HX235" s="269"/>
      <c r="HY235" s="269"/>
      <c r="HZ235" s="269"/>
      <c r="IA235" s="269"/>
      <c r="IB235" s="269"/>
      <c r="IC235" s="269"/>
      <c r="ID235" s="269"/>
      <c r="IE235" s="269"/>
      <c r="IF235" s="269"/>
      <c r="IG235" s="269"/>
      <c r="IH235" s="269"/>
      <c r="II235" s="269"/>
      <c r="IJ235" s="269"/>
      <c r="IK235" s="269"/>
      <c r="IL235" s="269"/>
      <c r="IM235" s="269"/>
      <c r="IN235" s="269"/>
      <c r="IO235" s="269"/>
      <c r="IP235" s="269"/>
      <c r="IQ235" s="269"/>
      <c r="IR235" s="269"/>
      <c r="IS235" s="269"/>
      <c r="IT235" s="269"/>
      <c r="IU235" s="269"/>
      <c r="IV235" s="269"/>
      <c r="IW235" s="269"/>
      <c r="IX235" s="269"/>
      <c r="IY235" s="269"/>
      <c r="IZ235" s="269"/>
      <c r="JA235" s="269"/>
      <c r="JB235" s="269"/>
      <c r="JC235" s="269"/>
      <c r="JD235" s="269"/>
      <c r="JE235" s="269"/>
      <c r="JF235" s="269"/>
      <c r="JG235" s="269"/>
      <c r="JH235" s="269"/>
      <c r="JI235" s="269"/>
      <c r="JJ235" s="269"/>
      <c r="JK235" s="269"/>
      <c r="JL235" s="269"/>
      <c r="JM235" s="269"/>
      <c r="JN235" s="269"/>
      <c r="JO235" s="269"/>
      <c r="JP235" s="269"/>
      <c r="JQ235" s="269"/>
      <c r="JR235" s="269"/>
      <c r="JS235" s="269"/>
      <c r="JT235" s="269"/>
      <c r="JU235" s="269"/>
      <c r="JV235" s="269"/>
      <c r="JW235" s="269"/>
      <c r="JX235" s="269"/>
      <c r="JY235" s="269"/>
      <c r="JZ235" s="269"/>
      <c r="KA235" s="269"/>
      <c r="KB235" s="269"/>
      <c r="KC235" s="269"/>
      <c r="KD235" s="269"/>
      <c r="KE235" s="269"/>
      <c r="KF235" s="269"/>
      <c r="KG235" s="269"/>
      <c r="KH235" s="269"/>
      <c r="KI235" s="269"/>
      <c r="KJ235" s="269"/>
      <c r="KK235" s="269"/>
      <c r="KL235" s="269"/>
      <c r="KM235" s="269"/>
      <c r="KN235" s="269"/>
      <c r="KO235" s="269"/>
      <c r="KP235" s="269"/>
      <c r="KQ235" s="269"/>
      <c r="KR235" s="269"/>
      <c r="KS235" s="269"/>
      <c r="KT235" s="269"/>
      <c r="KU235" s="269"/>
      <c r="KV235" s="269"/>
      <c r="KW235" s="269"/>
      <c r="KX235" s="269"/>
      <c r="KY235" s="269"/>
      <c r="KZ235" s="269"/>
      <c r="LA235" s="269"/>
      <c r="LB235" s="269"/>
      <c r="LC235" s="269"/>
      <c r="LD235" s="269"/>
      <c r="LE235" s="269"/>
      <c r="LF235" s="269"/>
      <c r="LG235" s="269"/>
      <c r="LH235" s="269"/>
      <c r="LI235" s="269"/>
      <c r="LJ235" s="269"/>
      <c r="LK235" s="269"/>
      <c r="LL235" s="269"/>
      <c r="LM235" s="269"/>
      <c r="LN235" s="269"/>
      <c r="LO235" s="269"/>
      <c r="LP235" s="269"/>
      <c r="LQ235" s="269"/>
      <c r="LR235" s="269"/>
      <c r="LS235" s="269"/>
      <c r="LT235" s="269"/>
      <c r="LU235" s="269"/>
      <c r="LV235" s="269"/>
      <c r="LW235" s="269"/>
      <c r="LX235" s="269"/>
      <c r="LY235" s="269"/>
      <c r="LZ235" s="269"/>
      <c r="MA235" s="269"/>
      <c r="MB235" s="269"/>
      <c r="MC235" s="269"/>
      <c r="MD235" s="269"/>
      <c r="ME235" s="269"/>
      <c r="MF235" s="269"/>
      <c r="MG235" s="269"/>
      <c r="MH235" s="269"/>
      <c r="MI235" s="269"/>
      <c r="MJ235" s="269"/>
      <c r="MK235" s="269"/>
      <c r="ML235" s="269"/>
      <c r="MM235" s="269"/>
      <c r="MN235" s="269"/>
      <c r="MO235" s="269"/>
      <c r="MP235" s="269"/>
      <c r="MQ235" s="269"/>
      <c r="MR235" s="269"/>
      <c r="MS235" s="269"/>
      <c r="MT235" s="269"/>
      <c r="MU235" s="269"/>
      <c r="MV235" s="269"/>
      <c r="MW235" s="269"/>
      <c r="MX235" s="269"/>
      <c r="MY235" s="269"/>
      <c r="MZ235" s="269"/>
      <c r="NA235" s="269"/>
      <c r="NB235" s="269"/>
      <c r="NC235" s="269"/>
      <c r="ND235" s="269"/>
      <c r="NE235" s="269"/>
      <c r="NF235" s="269"/>
      <c r="NG235" s="269"/>
      <c r="NH235" s="269"/>
      <c r="NI235" s="269"/>
      <c r="NJ235" s="269"/>
      <c r="NK235" s="269"/>
      <c r="NL235" s="269"/>
      <c r="NM235" s="269"/>
      <c r="NN235" s="269"/>
      <c r="NO235" s="269"/>
      <c r="NP235" s="269"/>
      <c r="NQ235" s="269"/>
      <c r="NR235" s="269"/>
      <c r="NS235" s="269"/>
      <c r="NT235" s="269"/>
      <c r="NU235" s="269"/>
      <c r="NV235" s="269"/>
      <c r="NW235" s="269"/>
      <c r="NX235" s="269"/>
      <c r="NY235" s="269"/>
      <c r="NZ235" s="269"/>
      <c r="OA235" s="269"/>
      <c r="OB235" s="269"/>
      <c r="OC235" s="269"/>
      <c r="OD235" s="269"/>
      <c r="OE235" s="269"/>
      <c r="OF235" s="269"/>
      <c r="OG235" s="269"/>
      <c r="OH235" s="269"/>
      <c r="OI235" s="269"/>
      <c r="OJ235" s="269"/>
      <c r="OK235" s="269"/>
      <c r="OL235" s="269"/>
      <c r="OM235" s="269"/>
      <c r="ON235" s="269"/>
      <c r="OO235" s="269"/>
      <c r="OP235" s="269"/>
      <c r="OQ235" s="269"/>
      <c r="OR235" s="269"/>
      <c r="OS235" s="269"/>
      <c r="OT235" s="269"/>
      <c r="OU235" s="269"/>
      <c r="OV235" s="269"/>
      <c r="OW235" s="269"/>
      <c r="OX235" s="269"/>
      <c r="OY235" s="269"/>
      <c r="OZ235" s="269"/>
      <c r="PA235" s="269"/>
      <c r="PB235" s="269"/>
      <c r="PC235" s="269"/>
      <c r="PD235" s="269"/>
      <c r="PE235" s="269"/>
      <c r="PF235" s="269"/>
      <c r="PG235" s="269"/>
      <c r="PH235" s="269"/>
      <c r="PI235" s="269"/>
      <c r="PJ235" s="269"/>
      <c r="PK235" s="269"/>
      <c r="PL235" s="269"/>
      <c r="PM235" s="269"/>
      <c r="PN235" s="269"/>
      <c r="PO235" s="269"/>
      <c r="PP235" s="269"/>
      <c r="PQ235" s="269"/>
      <c r="PR235" s="269"/>
      <c r="PS235" s="269"/>
      <c r="PT235" s="269"/>
      <c r="PU235" s="269"/>
      <c r="PV235" s="269"/>
      <c r="PW235" s="269"/>
      <c r="PX235" s="269"/>
      <c r="PY235" s="269"/>
      <c r="PZ235" s="269"/>
      <c r="QA235" s="269"/>
      <c r="QB235" s="269"/>
      <c r="QC235" s="269"/>
      <c r="QD235" s="269"/>
      <c r="QE235" s="269"/>
      <c r="QF235" s="269"/>
      <c r="QG235" s="269"/>
      <c r="QH235" s="269"/>
      <c r="QI235" s="269"/>
      <c r="QJ235" s="269"/>
      <c r="QK235" s="269"/>
      <c r="QL235" s="269"/>
      <c r="QM235" s="269"/>
      <c r="QN235" s="269"/>
      <c r="QO235" s="269"/>
      <c r="QP235" s="269"/>
      <c r="QQ235" s="269"/>
      <c r="QR235" s="269"/>
      <c r="QS235" s="269"/>
      <c r="QT235" s="269"/>
      <c r="QU235" s="269"/>
      <c r="QV235" s="269"/>
      <c r="QW235" s="269"/>
      <c r="QX235" s="269"/>
      <c r="QY235" s="269"/>
      <c r="QZ235" s="269"/>
      <c r="RA235" s="269"/>
      <c r="RB235" s="269"/>
      <c r="RC235" s="269"/>
      <c r="RD235" s="269"/>
      <c r="RE235" s="269"/>
      <c r="RF235" s="269"/>
      <c r="RG235" s="269"/>
      <c r="RH235" s="269"/>
      <c r="RI235" s="269"/>
      <c r="RJ235" s="269"/>
      <c r="RK235" s="269"/>
      <c r="RL235" s="269"/>
      <c r="RM235" s="269"/>
      <c r="RN235" s="269"/>
      <c r="RO235" s="269"/>
      <c r="RP235" s="269"/>
      <c r="RQ235" s="269"/>
      <c r="RR235" s="269"/>
      <c r="RS235" s="269"/>
      <c r="RT235" s="269"/>
      <c r="RU235" s="269"/>
      <c r="RV235" s="269"/>
      <c r="RW235" s="269"/>
      <c r="RX235" s="269"/>
      <c r="RY235" s="269"/>
      <c r="RZ235" s="269"/>
      <c r="SA235" s="269"/>
      <c r="SB235" s="269"/>
      <c r="SC235" s="269"/>
      <c r="SD235" s="269"/>
      <c r="SE235" s="269"/>
      <c r="SF235" s="269"/>
      <c r="SG235" s="269"/>
      <c r="SH235" s="269"/>
      <c r="SI235" s="269"/>
      <c r="SJ235" s="269"/>
      <c r="SK235" s="269"/>
      <c r="SL235" s="269"/>
      <c r="SM235" s="269"/>
      <c r="SN235" s="269"/>
      <c r="SO235" s="269"/>
      <c r="SP235" s="269"/>
      <c r="SQ235" s="269"/>
      <c r="SR235" s="269"/>
      <c r="SS235" s="269"/>
      <c r="ST235" s="269"/>
      <c r="SU235" s="269"/>
      <c r="SV235" s="269"/>
      <c r="SW235" s="269"/>
      <c r="SX235" s="269"/>
      <c r="SY235" s="269"/>
      <c r="SZ235" s="269"/>
      <c r="TA235" s="269"/>
      <c r="TB235" s="269"/>
      <c r="TC235" s="269"/>
      <c r="TD235" s="269"/>
      <c r="TE235" s="269"/>
      <c r="TF235" s="269"/>
      <c r="TG235" s="269"/>
      <c r="TH235" s="269"/>
      <c r="TI235" s="269"/>
      <c r="TJ235" s="269"/>
      <c r="TK235" s="269"/>
      <c r="TL235" s="269"/>
      <c r="TM235" s="269"/>
      <c r="TN235" s="269"/>
      <c r="TO235" s="269"/>
      <c r="TP235" s="269"/>
      <c r="TQ235" s="269"/>
      <c r="TR235" s="269"/>
      <c r="TS235" s="269"/>
      <c r="TT235" s="269"/>
      <c r="TU235" s="269"/>
      <c r="TV235" s="269"/>
      <c r="TW235" s="269"/>
      <c r="TX235" s="269"/>
      <c r="TY235" s="269"/>
      <c r="TZ235" s="269"/>
      <c r="UA235" s="269"/>
      <c r="UB235" s="269"/>
      <c r="UC235" s="269"/>
      <c r="UD235" s="269"/>
      <c r="UE235" s="269"/>
      <c r="UF235" s="269"/>
      <c r="UG235" s="269"/>
      <c r="UH235" s="269"/>
      <c r="UI235" s="269"/>
      <c r="UJ235" s="269"/>
      <c r="UK235" s="269"/>
      <c r="UL235" s="269"/>
      <c r="UM235" s="269"/>
      <c r="UN235" s="269"/>
      <c r="UO235" s="269"/>
      <c r="UP235" s="269"/>
      <c r="UQ235" s="269"/>
      <c r="UR235" s="269"/>
      <c r="US235" s="269"/>
      <c r="UT235" s="269"/>
      <c r="UU235" s="269"/>
      <c r="UV235" s="269"/>
      <c r="UW235" s="269"/>
      <c r="UX235" s="269"/>
      <c r="UY235" s="269"/>
      <c r="UZ235" s="269"/>
      <c r="VA235" s="269"/>
      <c r="VB235" s="269"/>
      <c r="VC235" s="269"/>
      <c r="VD235" s="269"/>
      <c r="VE235" s="269"/>
      <c r="VF235" s="269"/>
      <c r="VG235" s="269"/>
      <c r="VH235" s="269"/>
      <c r="VI235" s="269"/>
      <c r="VJ235" s="269"/>
      <c r="VK235" s="269"/>
      <c r="VL235" s="269"/>
      <c r="VM235" s="269"/>
      <c r="VN235" s="269"/>
      <c r="VO235" s="269"/>
      <c r="VP235" s="269"/>
      <c r="VQ235" s="269"/>
      <c r="VR235" s="269"/>
      <c r="VS235" s="269"/>
      <c r="VT235" s="269"/>
      <c r="VU235" s="269"/>
      <c r="VV235" s="269"/>
      <c r="VW235" s="269"/>
      <c r="VX235" s="269"/>
      <c r="VY235" s="269"/>
      <c r="VZ235" s="269"/>
      <c r="WA235" s="269"/>
      <c r="WB235" s="269"/>
      <c r="WC235" s="269"/>
      <c r="WD235" s="269"/>
      <c r="WE235" s="269"/>
      <c r="WF235" s="269"/>
      <c r="WG235" s="269"/>
      <c r="WH235" s="269"/>
      <c r="WI235" s="269"/>
      <c r="WJ235" s="269"/>
      <c r="WK235" s="269"/>
      <c r="WL235" s="269"/>
      <c r="WM235" s="269"/>
      <c r="WN235" s="269"/>
      <c r="WO235" s="269"/>
      <c r="WP235" s="269"/>
      <c r="WQ235" s="269"/>
      <c r="WR235" s="269"/>
      <c r="WS235" s="269"/>
      <c r="WT235" s="269"/>
      <c r="WU235" s="269"/>
      <c r="WV235" s="269"/>
      <c r="WW235" s="269"/>
      <c r="WX235" s="269"/>
      <c r="WY235" s="269"/>
      <c r="WZ235" s="269"/>
      <c r="XA235" s="269"/>
      <c r="XB235" s="269"/>
      <c r="XC235" s="269"/>
      <c r="XD235" s="269"/>
      <c r="XE235" s="269"/>
      <c r="XF235" s="269"/>
      <c r="XG235" s="269"/>
      <c r="XH235" s="269"/>
      <c r="XI235" s="269"/>
      <c r="XJ235" s="269"/>
      <c r="XK235" s="269"/>
      <c r="XL235" s="269"/>
      <c r="XM235" s="269"/>
      <c r="XN235" s="269"/>
      <c r="XO235" s="269"/>
      <c r="XP235" s="269"/>
      <c r="XQ235" s="269"/>
      <c r="XR235" s="269"/>
      <c r="XS235" s="269"/>
      <c r="XT235" s="269"/>
      <c r="XU235" s="269"/>
      <c r="XV235" s="269"/>
      <c r="XW235" s="269"/>
      <c r="XX235" s="269"/>
      <c r="XY235" s="269"/>
      <c r="XZ235" s="269"/>
      <c r="YA235" s="269"/>
      <c r="YB235" s="269"/>
      <c r="YC235" s="269"/>
      <c r="YD235" s="269"/>
      <c r="YE235" s="269"/>
      <c r="YF235" s="269"/>
      <c r="YG235" s="269"/>
      <c r="YH235" s="269"/>
      <c r="YI235" s="269"/>
      <c r="YJ235" s="269"/>
      <c r="YK235" s="269"/>
      <c r="YL235" s="269"/>
      <c r="YM235" s="269"/>
      <c r="YN235" s="269"/>
      <c r="YO235" s="269"/>
      <c r="YP235" s="269"/>
      <c r="YQ235" s="269"/>
      <c r="YR235" s="269"/>
      <c r="YS235" s="269"/>
      <c r="YT235" s="269"/>
      <c r="YU235" s="269"/>
      <c r="YV235" s="269"/>
      <c r="YW235" s="269"/>
      <c r="YX235" s="269"/>
      <c r="YY235" s="269"/>
      <c r="YZ235" s="269"/>
      <c r="ZA235" s="269"/>
      <c r="ZB235" s="269"/>
      <c r="ZC235" s="269"/>
      <c r="ZD235" s="269"/>
      <c r="ZE235" s="269"/>
      <c r="ZF235" s="269"/>
      <c r="ZG235" s="269"/>
      <c r="ZH235" s="269"/>
      <c r="ZI235" s="269"/>
      <c r="ZJ235" s="269"/>
      <c r="ZK235" s="269"/>
      <c r="ZL235" s="269"/>
      <c r="ZM235" s="269"/>
      <c r="ZN235" s="269"/>
      <c r="ZO235" s="269"/>
      <c r="ZP235" s="269"/>
      <c r="ZQ235" s="269"/>
      <c r="ZR235" s="269"/>
      <c r="ZS235" s="269"/>
      <c r="ZT235" s="269"/>
      <c r="ZU235" s="269"/>
      <c r="ZV235" s="269"/>
      <c r="ZW235" s="269"/>
      <c r="ZX235" s="269"/>
      <c r="ZY235" s="269"/>
      <c r="ZZ235" s="269"/>
      <c r="AAA235" s="269"/>
      <c r="AAB235" s="269"/>
      <c r="AAC235" s="269"/>
      <c r="AAD235" s="269"/>
      <c r="AAE235" s="269"/>
      <c r="AAF235" s="269"/>
      <c r="AAG235" s="269"/>
      <c r="AAH235" s="269"/>
      <c r="AAI235" s="269"/>
      <c r="AAJ235" s="269"/>
      <c r="AAK235" s="269"/>
      <c r="AAL235" s="269"/>
      <c r="AAM235" s="269"/>
      <c r="AAN235" s="269"/>
      <c r="AAO235" s="269"/>
      <c r="AAP235" s="269"/>
      <c r="AAQ235" s="269"/>
      <c r="AAR235" s="269"/>
      <c r="AAS235" s="269"/>
      <c r="AAT235" s="269"/>
      <c r="AAU235" s="269"/>
      <c r="AAV235" s="269"/>
      <c r="AAW235" s="269"/>
      <c r="AAX235" s="269"/>
      <c r="AAY235" s="269"/>
      <c r="AAZ235" s="269"/>
      <c r="ABA235" s="269"/>
      <c r="ABB235" s="269"/>
      <c r="ABC235" s="269"/>
      <c r="ABD235" s="269"/>
      <c r="ABE235" s="269"/>
      <c r="ABF235" s="269"/>
      <c r="ABG235" s="269"/>
      <c r="ABH235" s="269"/>
      <c r="ABI235" s="269"/>
      <c r="ABJ235" s="269"/>
      <c r="ABK235" s="269"/>
      <c r="ABL235" s="269"/>
      <c r="ABM235" s="269"/>
      <c r="ABN235" s="269"/>
      <c r="ABO235" s="269"/>
      <c r="ABP235" s="269"/>
      <c r="ABQ235" s="269"/>
      <c r="ABR235" s="269"/>
      <c r="ABS235" s="269"/>
      <c r="ABT235" s="269"/>
      <c r="ABU235" s="269"/>
      <c r="ABV235" s="269"/>
      <c r="ABW235" s="269"/>
      <c r="ABX235" s="269"/>
      <c r="ABY235" s="269"/>
      <c r="ABZ235" s="269"/>
      <c r="ACA235" s="269"/>
      <c r="ACB235" s="269"/>
      <c r="ACC235" s="269"/>
      <c r="ACD235" s="269"/>
      <c r="ACE235" s="269"/>
      <c r="ACF235" s="269"/>
      <c r="ACG235" s="269"/>
      <c r="ACH235" s="269"/>
      <c r="ACI235" s="269"/>
      <c r="ACJ235" s="269"/>
      <c r="ACK235" s="269"/>
      <c r="ACL235" s="269"/>
      <c r="ACM235" s="269"/>
      <c r="ACN235" s="269"/>
      <c r="ACO235" s="269"/>
      <c r="ACP235" s="269"/>
      <c r="ACQ235" s="269"/>
      <c r="ACR235" s="269"/>
      <c r="ACS235" s="269"/>
      <c r="ACT235" s="269"/>
      <c r="ACU235" s="269"/>
      <c r="ACV235" s="269"/>
      <c r="ACW235" s="269"/>
      <c r="ACX235" s="269"/>
      <c r="ACY235" s="269"/>
      <c r="ACZ235" s="269"/>
      <c r="ADA235" s="269"/>
      <c r="ADB235" s="269"/>
      <c r="ADC235" s="269"/>
      <c r="ADD235" s="269"/>
      <c r="ADE235" s="269"/>
      <c r="ADF235" s="269"/>
      <c r="ADG235" s="269"/>
      <c r="ADH235" s="269"/>
      <c r="ADI235" s="269"/>
      <c r="ADJ235" s="269"/>
      <c r="ADK235" s="269"/>
      <c r="ADL235" s="269"/>
      <c r="ADM235" s="269"/>
      <c r="ADN235" s="269"/>
      <c r="ADO235" s="269"/>
      <c r="ADP235" s="269"/>
      <c r="ADQ235" s="269"/>
      <c r="ADR235" s="269"/>
      <c r="ADS235" s="269"/>
      <c r="ADT235" s="269"/>
      <c r="ADU235" s="269"/>
      <c r="ADV235" s="269"/>
      <c r="ADW235" s="269"/>
      <c r="ADX235" s="269"/>
      <c r="ADY235" s="269"/>
      <c r="ADZ235" s="269"/>
      <c r="AEA235" s="269"/>
      <c r="AEB235" s="269"/>
      <c r="AEC235" s="269"/>
      <c r="AED235" s="269"/>
      <c r="AEE235" s="269"/>
      <c r="AEF235" s="269"/>
      <c r="AEG235" s="269"/>
      <c r="AEH235" s="269"/>
      <c r="AEI235" s="269"/>
      <c r="AEJ235" s="269"/>
      <c r="AEK235" s="269"/>
      <c r="AEL235" s="269"/>
      <c r="AEM235" s="269"/>
      <c r="AEN235" s="269"/>
      <c r="AEO235" s="269"/>
      <c r="AEP235" s="269"/>
      <c r="AEQ235" s="269"/>
      <c r="AER235" s="269"/>
      <c r="AES235" s="269"/>
      <c r="AET235" s="269"/>
      <c r="AEU235" s="269"/>
      <c r="AEV235" s="269"/>
      <c r="AEW235" s="269"/>
      <c r="AEX235" s="269"/>
      <c r="AEY235" s="269"/>
      <c r="AEZ235" s="269"/>
      <c r="AFA235" s="269"/>
      <c r="AFB235" s="269"/>
      <c r="AFC235" s="269"/>
      <c r="AFD235" s="269"/>
      <c r="AFE235" s="269"/>
      <c r="AFF235" s="269"/>
      <c r="AFG235" s="269"/>
      <c r="AFH235" s="269"/>
      <c r="AFI235" s="269"/>
      <c r="AFJ235" s="269"/>
      <c r="AFK235" s="269"/>
      <c r="AFL235" s="269"/>
      <c r="AFM235" s="269"/>
      <c r="AFN235" s="269"/>
      <c r="AFO235" s="269"/>
      <c r="AFP235" s="269"/>
      <c r="AFQ235" s="269"/>
      <c r="AFR235" s="269"/>
      <c r="AFS235" s="269"/>
      <c r="AFT235" s="269"/>
      <c r="AFU235" s="269"/>
      <c r="AFV235" s="269"/>
      <c r="AFW235" s="269"/>
      <c r="AFX235" s="269"/>
      <c r="AFY235" s="269"/>
      <c r="AFZ235" s="269"/>
      <c r="AGA235" s="269"/>
      <c r="AGB235" s="269"/>
      <c r="AGC235" s="269"/>
      <c r="AGD235" s="269"/>
      <c r="AGE235" s="269"/>
      <c r="AGF235" s="269"/>
      <c r="AGG235" s="269"/>
      <c r="AGH235" s="269"/>
      <c r="AGI235" s="269"/>
      <c r="AGJ235" s="269"/>
      <c r="AGK235" s="269"/>
      <c r="AGL235" s="269"/>
      <c r="AGM235" s="269"/>
      <c r="AGN235" s="269"/>
      <c r="AGO235" s="269"/>
      <c r="AGP235" s="269"/>
      <c r="AGQ235" s="269"/>
      <c r="AGR235" s="269"/>
      <c r="AGS235" s="269"/>
      <c r="AGT235" s="269"/>
      <c r="AGU235" s="269"/>
      <c r="AGV235" s="269"/>
      <c r="AGW235" s="269"/>
      <c r="AGX235" s="269"/>
      <c r="AGY235" s="269"/>
      <c r="AGZ235" s="269"/>
      <c r="AHA235" s="269"/>
      <c r="AHB235" s="269"/>
      <c r="AHC235" s="269"/>
      <c r="AHD235" s="269"/>
      <c r="AHE235" s="269"/>
      <c r="AHF235" s="269"/>
      <c r="AHG235" s="269"/>
      <c r="AHH235" s="269"/>
      <c r="AHI235" s="269"/>
      <c r="AHJ235" s="269"/>
      <c r="AHK235" s="269"/>
      <c r="AHL235" s="269"/>
      <c r="AHM235" s="269"/>
      <c r="AHN235" s="269"/>
      <c r="AHO235" s="269"/>
      <c r="AHP235" s="269"/>
      <c r="AHQ235" s="269"/>
      <c r="AHR235" s="269"/>
      <c r="AHS235" s="269"/>
      <c r="AHT235" s="269"/>
      <c r="AHU235" s="269"/>
      <c r="AHV235" s="269"/>
      <c r="AHW235" s="269"/>
      <c r="AHX235" s="269"/>
      <c r="AHY235" s="269"/>
      <c r="AHZ235" s="269"/>
      <c r="AIA235" s="269"/>
      <c r="AIB235" s="269"/>
      <c r="AIC235" s="269"/>
      <c r="AID235" s="269"/>
      <c r="AIE235" s="269"/>
      <c r="AIF235" s="269"/>
      <c r="AIG235" s="269"/>
      <c r="AIH235" s="269"/>
      <c r="AII235" s="269"/>
      <c r="AIJ235" s="269"/>
      <c r="AIK235" s="269"/>
      <c r="AIL235" s="269"/>
      <c r="AIM235" s="269"/>
      <c r="AIN235" s="269"/>
      <c r="AIO235" s="269"/>
      <c r="AIP235" s="269"/>
      <c r="AIQ235" s="269"/>
      <c r="AIR235" s="269"/>
      <c r="AIS235" s="269"/>
      <c r="AIT235" s="269"/>
      <c r="AIU235" s="269"/>
      <c r="AIV235" s="269"/>
      <c r="AIW235" s="269"/>
      <c r="AIX235" s="269"/>
      <c r="AIY235" s="269"/>
      <c r="AIZ235" s="269"/>
      <c r="AJA235" s="269"/>
      <c r="AJB235" s="269"/>
      <c r="AJC235" s="269"/>
      <c r="AJD235" s="269"/>
      <c r="AJE235" s="269"/>
      <c r="AJF235" s="269"/>
      <c r="AJG235" s="269"/>
      <c r="AJH235" s="269"/>
      <c r="AJI235" s="269"/>
      <c r="AJJ235" s="269"/>
      <c r="AJK235" s="269"/>
      <c r="AJL235" s="269"/>
      <c r="AJM235" s="269"/>
      <c r="AJN235" s="269"/>
      <c r="AJO235" s="269"/>
      <c r="AJP235" s="269"/>
      <c r="AJQ235" s="269"/>
      <c r="AJR235" s="269"/>
      <c r="AJS235" s="269"/>
      <c r="AJT235" s="269"/>
      <c r="AJU235" s="269"/>
      <c r="AJV235" s="269"/>
      <c r="AJW235" s="269"/>
      <c r="AJX235" s="269"/>
      <c r="AJY235" s="269"/>
      <c r="AJZ235" s="269"/>
      <c r="AKA235" s="269"/>
      <c r="AKB235" s="269"/>
      <c r="AKC235" s="269"/>
      <c r="AKD235" s="269"/>
      <c r="AKE235" s="269"/>
      <c r="AKF235" s="269"/>
      <c r="AKG235" s="269"/>
      <c r="AKH235" s="269"/>
      <c r="AKI235" s="269"/>
      <c r="AKJ235" s="269"/>
      <c r="AKK235" s="269"/>
      <c r="AKL235" s="269"/>
      <c r="AKM235" s="269"/>
      <c r="AKN235" s="269"/>
      <c r="AKO235" s="269"/>
      <c r="AKP235" s="269"/>
      <c r="AKQ235" s="269"/>
      <c r="AKR235" s="269"/>
      <c r="AKS235" s="269"/>
      <c r="AKT235" s="269"/>
      <c r="AKU235" s="269"/>
      <c r="AKV235" s="269"/>
      <c r="AKW235" s="269"/>
      <c r="AKX235" s="269"/>
      <c r="AKY235" s="269"/>
      <c r="AKZ235" s="269"/>
      <c r="ALA235" s="269"/>
      <c r="ALB235" s="269"/>
      <c r="ALC235" s="269"/>
      <c r="ALD235" s="269"/>
      <c r="ALE235" s="269"/>
      <c r="ALF235" s="269"/>
      <c r="ALG235" s="269"/>
      <c r="ALH235" s="269"/>
      <c r="ALI235" s="269"/>
      <c r="ALJ235" s="269"/>
      <c r="ALK235" s="269"/>
      <c r="ALL235" s="269"/>
      <c r="ALM235" s="269"/>
      <c r="ALN235" s="269"/>
      <c r="ALO235" s="269"/>
      <c r="ALP235" s="269"/>
      <c r="ALQ235" s="269"/>
      <c r="ALR235" s="269"/>
      <c r="ALS235" s="269"/>
      <c r="ALT235" s="269"/>
      <c r="ALU235" s="269"/>
      <c r="ALV235" s="269"/>
      <c r="ALW235" s="269"/>
      <c r="ALX235" s="269"/>
      <c r="ALY235" s="269"/>
      <c r="ALZ235" s="269"/>
      <c r="AMA235" s="269"/>
      <c r="AMB235" s="269"/>
      <c r="AMC235" s="269"/>
      <c r="AMD235" s="269"/>
      <c r="AME235" s="269"/>
      <c r="AMF235" s="269"/>
      <c r="AMG235" s="269"/>
      <c r="AMH235" s="269"/>
      <c r="AMI235" s="269"/>
      <c r="AMJ235" s="269"/>
      <c r="AMK235" s="269"/>
      <c r="AML235" s="269"/>
      <c r="AMM235" s="269"/>
      <c r="AMN235" s="269"/>
      <c r="AMO235" s="269"/>
      <c r="AMP235" s="269"/>
      <c r="AMQ235" s="269"/>
      <c r="AMR235" s="269"/>
      <c r="AMS235" s="269"/>
      <c r="AMT235" s="269"/>
      <c r="AMU235" s="269"/>
      <c r="AMV235" s="269"/>
      <c r="AMW235" s="269"/>
      <c r="AMX235" s="269"/>
      <c r="AMY235" s="269"/>
      <c r="AMZ235" s="269"/>
      <c r="ANA235" s="269"/>
      <c r="ANB235" s="269"/>
      <c r="ANC235" s="269"/>
      <c r="AND235" s="269"/>
      <c r="ANE235" s="269"/>
      <c r="ANF235" s="269"/>
      <c r="ANG235" s="269"/>
      <c r="ANH235" s="269"/>
      <c r="ANI235" s="269"/>
      <c r="ANJ235" s="269"/>
      <c r="ANK235" s="269"/>
      <c r="ANL235" s="269"/>
      <c r="ANM235" s="269"/>
      <c r="ANN235" s="269"/>
      <c r="ANO235" s="269"/>
      <c r="ANP235" s="269"/>
      <c r="ANQ235" s="269"/>
      <c r="ANR235" s="269"/>
      <c r="ANS235" s="269"/>
      <c r="ANT235" s="269"/>
      <c r="ANU235" s="269"/>
      <c r="ANV235" s="269"/>
      <c r="ANW235" s="269"/>
      <c r="ANX235" s="269"/>
      <c r="ANY235" s="269"/>
      <c r="ANZ235" s="269"/>
      <c r="AOA235" s="269"/>
      <c r="AOB235" s="269"/>
      <c r="AOC235" s="269"/>
      <c r="AOD235" s="269"/>
      <c r="AOE235" s="269"/>
      <c r="AOF235" s="269"/>
      <c r="AOG235" s="269"/>
      <c r="AOH235" s="269"/>
      <c r="AOI235" s="269"/>
      <c r="AOJ235" s="269"/>
      <c r="AOK235" s="269"/>
      <c r="AOL235" s="269"/>
      <c r="AOM235" s="269"/>
      <c r="AON235" s="269"/>
      <c r="AOO235" s="269"/>
      <c r="AOP235" s="269"/>
      <c r="AOQ235" s="269"/>
      <c r="AOR235" s="269"/>
      <c r="AOS235" s="269"/>
      <c r="AOT235" s="269"/>
      <c r="AOU235" s="269"/>
      <c r="AOV235" s="269"/>
      <c r="AOW235" s="269"/>
      <c r="AOX235" s="269"/>
      <c r="AOY235" s="269"/>
      <c r="AOZ235" s="269"/>
      <c r="APA235" s="269"/>
      <c r="APB235" s="269"/>
      <c r="APC235" s="269"/>
      <c r="APD235" s="269"/>
      <c r="APE235" s="269"/>
      <c r="APF235" s="269"/>
      <c r="APG235" s="269"/>
      <c r="APH235" s="269"/>
      <c r="API235" s="269"/>
      <c r="APJ235" s="269"/>
      <c r="APK235" s="269"/>
      <c r="APL235" s="269"/>
      <c r="APM235" s="269"/>
      <c r="APN235" s="269"/>
      <c r="APO235" s="269"/>
      <c r="APP235" s="269"/>
      <c r="APQ235" s="269"/>
      <c r="APR235" s="269"/>
      <c r="APS235" s="269"/>
      <c r="APT235" s="269"/>
      <c r="APU235" s="269"/>
      <c r="APV235" s="269"/>
      <c r="APW235" s="269"/>
      <c r="APX235" s="269"/>
      <c r="APY235" s="269"/>
      <c r="APZ235" s="269"/>
      <c r="AQA235" s="269"/>
      <c r="AQB235" s="269"/>
      <c r="AQC235" s="269"/>
      <c r="AQD235" s="269"/>
      <c r="AQE235" s="269"/>
      <c r="AQF235" s="269"/>
      <c r="AQG235" s="269"/>
      <c r="AQH235" s="269"/>
      <c r="AQI235" s="269"/>
      <c r="AQJ235" s="269"/>
      <c r="AQK235" s="269"/>
      <c r="AQL235" s="269"/>
      <c r="AQM235" s="269"/>
      <c r="AQN235" s="269"/>
      <c r="AQO235" s="269"/>
      <c r="AQP235" s="269"/>
      <c r="AQQ235" s="269"/>
      <c r="AQR235" s="269"/>
      <c r="AQS235" s="269"/>
      <c r="AQT235" s="269"/>
      <c r="AQU235" s="269"/>
      <c r="AQV235" s="269"/>
      <c r="AQW235" s="269"/>
      <c r="AQX235" s="269"/>
      <c r="AQY235" s="269"/>
      <c r="AQZ235" s="269"/>
      <c r="ARA235" s="269"/>
      <c r="ARB235" s="269"/>
      <c r="ARC235" s="269"/>
      <c r="ARD235" s="269"/>
      <c r="ARE235" s="269"/>
      <c r="ARF235" s="269"/>
      <c r="ARG235" s="269"/>
      <c r="ARH235" s="269"/>
      <c r="ARI235" s="269"/>
      <c r="ARJ235" s="269"/>
      <c r="ARK235" s="269"/>
      <c r="ARL235" s="269"/>
      <c r="ARM235" s="269"/>
      <c r="ARN235" s="269"/>
      <c r="ARO235" s="269"/>
      <c r="ARP235" s="269"/>
      <c r="ARQ235" s="269"/>
      <c r="ARR235" s="269"/>
      <c r="ARS235" s="269"/>
      <c r="ART235" s="269"/>
      <c r="ARU235" s="269"/>
      <c r="ARV235" s="269"/>
      <c r="ARW235" s="269"/>
      <c r="ARX235" s="269"/>
      <c r="ARY235" s="269"/>
      <c r="ARZ235" s="269"/>
      <c r="ASA235" s="269"/>
      <c r="ASB235" s="269"/>
      <c r="ASC235" s="269"/>
      <c r="ASD235" s="269"/>
      <c r="ASE235" s="269"/>
      <c r="ASF235" s="269"/>
      <c r="ASG235" s="269"/>
      <c r="ASH235" s="269"/>
      <c r="ASI235" s="269"/>
      <c r="ASJ235" s="269"/>
      <c r="ASK235" s="269"/>
      <c r="ASL235" s="269"/>
      <c r="ASM235" s="269"/>
      <c r="ASN235" s="269"/>
      <c r="ASO235" s="269"/>
      <c r="ASP235" s="269"/>
      <c r="ASQ235" s="269"/>
      <c r="ASR235" s="269"/>
      <c r="ASS235" s="269"/>
      <c r="AST235" s="269"/>
      <c r="ASU235" s="269"/>
      <c r="ASV235" s="269"/>
      <c r="ASW235" s="269"/>
      <c r="ASX235" s="269"/>
      <c r="ASY235" s="269"/>
      <c r="ASZ235" s="269"/>
      <c r="ATA235" s="269"/>
      <c r="ATB235" s="269"/>
      <c r="ATC235" s="269"/>
      <c r="ATD235" s="269"/>
      <c r="ATE235" s="269"/>
      <c r="ATF235" s="269"/>
      <c r="ATG235" s="269"/>
      <c r="ATH235" s="269"/>
      <c r="ATI235" s="269"/>
      <c r="ATJ235" s="269"/>
      <c r="ATK235" s="269"/>
      <c r="ATL235" s="269"/>
      <c r="ATM235" s="269"/>
      <c r="ATN235" s="269"/>
      <c r="ATO235" s="269"/>
      <c r="ATP235" s="269"/>
      <c r="ATQ235" s="269"/>
      <c r="ATR235" s="269"/>
      <c r="ATS235" s="269"/>
      <c r="ATT235" s="269"/>
      <c r="ATU235" s="269"/>
      <c r="ATV235" s="269"/>
      <c r="ATW235" s="269"/>
      <c r="ATX235" s="269"/>
      <c r="ATY235" s="269"/>
      <c r="ATZ235" s="269"/>
      <c r="AUA235" s="269"/>
      <c r="AUB235" s="269"/>
      <c r="AUC235" s="269"/>
      <c r="AUD235" s="269"/>
      <c r="AUE235" s="269"/>
      <c r="AUF235" s="269"/>
      <c r="AUG235" s="269"/>
      <c r="AUH235" s="269"/>
      <c r="AUI235" s="269"/>
      <c r="AUJ235" s="269"/>
      <c r="AUK235" s="269"/>
      <c r="AUL235" s="269"/>
      <c r="AUM235" s="269"/>
      <c r="AUN235" s="269"/>
      <c r="AUO235" s="269"/>
      <c r="AUP235" s="269"/>
      <c r="AUQ235" s="269"/>
      <c r="AUR235" s="269"/>
      <c r="AUS235" s="269"/>
      <c r="AUT235" s="269"/>
      <c r="AUU235" s="269"/>
      <c r="AUV235" s="269"/>
      <c r="AUW235" s="269"/>
      <c r="AUX235" s="269"/>
      <c r="AUY235" s="269"/>
      <c r="AUZ235" s="269"/>
      <c r="AVA235" s="269"/>
      <c r="AVB235" s="269"/>
      <c r="AVC235" s="269"/>
      <c r="AVD235" s="269"/>
      <c r="AVE235" s="269"/>
      <c r="AVF235" s="269"/>
      <c r="AVG235" s="269"/>
      <c r="AVH235" s="269"/>
      <c r="AVI235" s="269"/>
      <c r="AVJ235" s="269"/>
      <c r="AVK235" s="269"/>
      <c r="AVL235" s="269"/>
      <c r="AVM235" s="269"/>
      <c r="AVN235" s="269"/>
      <c r="AVO235" s="269"/>
      <c r="AVP235" s="269"/>
      <c r="AVQ235" s="269"/>
      <c r="AVR235" s="269"/>
      <c r="AVS235" s="269"/>
      <c r="AVT235" s="269"/>
      <c r="AVU235" s="269"/>
      <c r="AVV235" s="269"/>
      <c r="AVW235" s="269"/>
      <c r="AVX235" s="269"/>
      <c r="AVY235" s="269"/>
      <c r="AVZ235" s="269"/>
      <c r="AWA235" s="269"/>
      <c r="AWB235" s="269"/>
      <c r="AWC235" s="269"/>
      <c r="AWD235" s="269"/>
      <c r="AWE235" s="269"/>
      <c r="AWF235" s="269"/>
      <c r="AWG235" s="269"/>
      <c r="AWH235" s="269"/>
      <c r="AWI235" s="269"/>
      <c r="AWJ235" s="269"/>
      <c r="AWK235" s="269"/>
      <c r="AWL235" s="269"/>
      <c r="AWM235" s="269"/>
      <c r="AWN235" s="269"/>
      <c r="AWO235" s="269"/>
      <c r="AWP235" s="269"/>
      <c r="AWQ235" s="269"/>
      <c r="AWR235" s="269"/>
      <c r="AWS235" s="269"/>
      <c r="AWT235" s="269"/>
      <c r="AWU235" s="269"/>
      <c r="AWV235" s="269"/>
      <c r="AWW235" s="269"/>
      <c r="AWX235" s="269"/>
      <c r="AWY235" s="269"/>
      <c r="AWZ235" s="269"/>
      <c r="AXA235" s="269"/>
      <c r="AXB235" s="269"/>
      <c r="AXC235" s="269"/>
      <c r="AXD235" s="269"/>
      <c r="AXE235" s="269"/>
      <c r="AXF235" s="269"/>
      <c r="AXG235" s="269"/>
      <c r="AXH235" s="269"/>
      <c r="AXI235" s="269"/>
      <c r="AXJ235" s="269"/>
      <c r="AXK235" s="269"/>
      <c r="AXL235" s="269"/>
      <c r="AXM235" s="269"/>
      <c r="AXN235" s="269"/>
      <c r="AXO235" s="269"/>
      <c r="AXP235" s="269"/>
      <c r="AXQ235" s="269"/>
      <c r="AXR235" s="269"/>
      <c r="AXS235" s="269"/>
      <c r="AXT235" s="269"/>
      <c r="AXU235" s="269"/>
      <c r="AXV235" s="269"/>
      <c r="AXW235" s="269"/>
      <c r="AXX235" s="269"/>
      <c r="AXY235" s="269"/>
      <c r="AXZ235" s="269"/>
      <c r="AYA235" s="269"/>
      <c r="AYB235" s="269"/>
      <c r="AYC235" s="269"/>
      <c r="AYD235" s="269"/>
      <c r="AYE235" s="269"/>
      <c r="AYF235" s="269"/>
      <c r="AYG235" s="269"/>
      <c r="AYH235" s="269"/>
      <c r="AYI235" s="269"/>
      <c r="AYJ235" s="269"/>
      <c r="AYK235" s="269"/>
      <c r="AYL235" s="269"/>
      <c r="AYM235" s="269"/>
      <c r="AYN235" s="269"/>
      <c r="AYO235" s="269"/>
      <c r="AYP235" s="269"/>
      <c r="AYQ235" s="269"/>
      <c r="AYR235" s="269"/>
      <c r="AYS235" s="269"/>
      <c r="AYT235" s="269"/>
      <c r="AYU235" s="269"/>
      <c r="AYV235" s="269"/>
      <c r="AYW235" s="269"/>
      <c r="AYX235" s="269"/>
      <c r="AYY235" s="269"/>
      <c r="AYZ235" s="269"/>
      <c r="AZA235" s="269"/>
      <c r="AZB235" s="269"/>
      <c r="AZC235" s="269"/>
      <c r="AZD235" s="269"/>
      <c r="AZE235" s="269"/>
      <c r="AZF235" s="269"/>
      <c r="AZG235" s="269"/>
      <c r="AZH235" s="269"/>
      <c r="AZI235" s="269"/>
      <c r="AZJ235" s="269"/>
      <c r="AZK235" s="269"/>
      <c r="AZL235" s="269"/>
      <c r="AZM235" s="269"/>
      <c r="AZN235" s="269"/>
      <c r="AZO235" s="269"/>
      <c r="AZP235" s="269"/>
      <c r="AZQ235" s="269"/>
      <c r="AZR235" s="269"/>
      <c r="AZS235" s="269"/>
      <c r="AZT235" s="269"/>
      <c r="AZU235" s="269"/>
      <c r="AZV235" s="269"/>
      <c r="AZW235" s="269"/>
      <c r="AZX235" s="269"/>
      <c r="AZY235" s="269"/>
      <c r="AZZ235" s="269"/>
      <c r="BAA235" s="269"/>
      <c r="BAB235" s="269"/>
      <c r="BAC235" s="269"/>
      <c r="BAD235" s="269"/>
      <c r="BAE235" s="269"/>
      <c r="BAF235" s="269"/>
      <c r="BAG235" s="269"/>
      <c r="BAH235" s="269"/>
      <c r="BAI235" s="269"/>
      <c r="BAJ235" s="269"/>
      <c r="BAK235" s="269"/>
      <c r="BAL235" s="269"/>
      <c r="BAM235" s="269"/>
      <c r="BAN235" s="269"/>
      <c r="BAO235" s="269"/>
      <c r="BAP235" s="269"/>
      <c r="BAQ235" s="269"/>
      <c r="BAR235" s="269"/>
      <c r="BAS235" s="269"/>
      <c r="BAT235" s="269"/>
      <c r="BAU235" s="269"/>
      <c r="BAV235" s="269"/>
      <c r="BAW235" s="269"/>
      <c r="BAX235" s="269"/>
      <c r="BAY235" s="269"/>
      <c r="BAZ235" s="269"/>
      <c r="BBA235" s="269"/>
      <c r="BBB235" s="269"/>
      <c r="BBC235" s="269"/>
      <c r="BBD235" s="269"/>
      <c r="BBE235" s="269"/>
      <c r="BBF235" s="269"/>
      <c r="BBG235" s="269"/>
      <c r="BBH235" s="269"/>
      <c r="BBI235" s="269"/>
      <c r="BBJ235" s="269"/>
      <c r="BBK235" s="269"/>
      <c r="BBL235" s="269"/>
      <c r="BBM235" s="269"/>
      <c r="BBN235" s="269"/>
      <c r="BBO235" s="269"/>
      <c r="BBP235" s="269"/>
      <c r="BBQ235" s="269"/>
      <c r="BBR235" s="269"/>
      <c r="BBS235" s="269"/>
      <c r="BBT235" s="269"/>
      <c r="BBU235" s="269"/>
      <c r="BBV235" s="269"/>
      <c r="BBW235" s="269"/>
      <c r="BBX235" s="269"/>
      <c r="BBY235" s="269"/>
      <c r="BBZ235" s="269"/>
      <c r="BCA235" s="269"/>
      <c r="BCB235" s="269"/>
      <c r="BCC235" s="269"/>
      <c r="BCD235" s="269"/>
      <c r="BCE235" s="269"/>
      <c r="BCF235" s="269"/>
      <c r="BCG235" s="269"/>
      <c r="BCH235" s="269"/>
      <c r="BCI235" s="269"/>
      <c r="BCJ235" s="269"/>
      <c r="BCK235" s="269"/>
      <c r="BCL235" s="269"/>
      <c r="BCM235" s="269"/>
      <c r="BCN235" s="269"/>
      <c r="BCO235" s="269"/>
      <c r="BCP235" s="269"/>
      <c r="BCQ235" s="269"/>
      <c r="BCR235" s="269"/>
      <c r="BCS235" s="269"/>
      <c r="BCT235" s="269"/>
      <c r="BCU235" s="269"/>
      <c r="BCV235" s="269"/>
      <c r="BCW235" s="269"/>
      <c r="BCX235" s="269"/>
      <c r="BCY235" s="269"/>
      <c r="BCZ235" s="269"/>
      <c r="BDA235" s="269"/>
      <c r="BDB235" s="269"/>
      <c r="BDC235" s="269"/>
      <c r="BDD235" s="269"/>
      <c r="BDE235" s="269"/>
      <c r="BDF235" s="269"/>
      <c r="BDG235" s="269"/>
      <c r="BDH235" s="269"/>
      <c r="BDI235" s="269"/>
      <c r="BDJ235" s="269"/>
      <c r="BDK235" s="269"/>
      <c r="BDL235" s="269"/>
      <c r="BDM235" s="269"/>
      <c r="BDN235" s="269"/>
      <c r="BDO235" s="269"/>
      <c r="BDP235" s="269"/>
      <c r="BDQ235" s="269"/>
      <c r="BDR235" s="269"/>
      <c r="BDS235" s="269"/>
      <c r="BDT235" s="269"/>
      <c r="BDU235" s="269"/>
      <c r="BDV235" s="269"/>
      <c r="BDW235" s="269"/>
      <c r="BDX235" s="269"/>
      <c r="BDY235" s="269"/>
      <c r="BDZ235" s="269"/>
      <c r="BEA235" s="269"/>
      <c r="BEB235" s="269"/>
      <c r="BEC235" s="269"/>
      <c r="BED235" s="269"/>
      <c r="BEE235" s="269"/>
      <c r="BEF235" s="269"/>
      <c r="BEG235" s="269"/>
      <c r="BEH235" s="269"/>
      <c r="BEI235" s="269"/>
      <c r="BEJ235" s="269"/>
      <c r="BEK235" s="269"/>
      <c r="BEL235" s="269"/>
      <c r="BEM235" s="269"/>
      <c r="BEN235" s="269"/>
      <c r="BEO235" s="269"/>
      <c r="BEP235" s="269"/>
      <c r="BEQ235" s="269"/>
      <c r="BER235" s="269"/>
      <c r="BES235" s="269"/>
      <c r="BET235" s="269"/>
      <c r="BEU235" s="269"/>
      <c r="BEV235" s="269"/>
      <c r="BEW235" s="269"/>
      <c r="BEX235" s="269"/>
      <c r="BEY235" s="269"/>
      <c r="BEZ235" s="269"/>
      <c r="BFA235" s="269"/>
      <c r="BFB235" s="269"/>
      <c r="BFC235" s="269"/>
      <c r="BFD235" s="269"/>
      <c r="BFE235" s="269"/>
      <c r="BFF235" s="269"/>
      <c r="BFG235" s="269"/>
      <c r="BFH235" s="269"/>
      <c r="BFI235" s="269"/>
      <c r="BFJ235" s="269"/>
      <c r="BFK235" s="269"/>
      <c r="BFL235" s="269"/>
      <c r="BFM235" s="269"/>
      <c r="BFN235" s="269"/>
      <c r="BFO235" s="269"/>
      <c r="BFP235" s="269"/>
      <c r="BFQ235" s="269"/>
      <c r="BFR235" s="269"/>
      <c r="BFS235" s="269"/>
      <c r="BFT235" s="269"/>
      <c r="BFU235" s="269"/>
      <c r="BFV235" s="269"/>
      <c r="BFW235" s="269"/>
      <c r="BFX235" s="269"/>
      <c r="BFY235" s="269"/>
      <c r="BFZ235" s="269"/>
      <c r="BGA235" s="269"/>
      <c r="BGB235" s="269"/>
      <c r="BGC235" s="269"/>
      <c r="BGD235" s="269"/>
      <c r="BGE235" s="269"/>
      <c r="BGF235" s="269"/>
      <c r="BGG235" s="269"/>
      <c r="BGH235" s="269"/>
      <c r="BGI235" s="269"/>
      <c r="BGJ235" s="269"/>
      <c r="BGK235" s="269"/>
      <c r="BGL235" s="269"/>
      <c r="BGM235" s="269"/>
      <c r="BGN235" s="269"/>
      <c r="BGO235" s="269"/>
      <c r="BGP235" s="269"/>
      <c r="BGQ235" s="269"/>
      <c r="BGR235" s="269"/>
      <c r="BGS235" s="269"/>
      <c r="BGT235" s="269"/>
      <c r="BGU235" s="269"/>
      <c r="BGV235" s="269"/>
      <c r="BGW235" s="269"/>
      <c r="BGX235" s="269"/>
      <c r="BGY235" s="269"/>
      <c r="BGZ235" s="269"/>
      <c r="BHA235" s="269"/>
      <c r="BHB235" s="269"/>
      <c r="BHC235" s="269"/>
      <c r="BHD235" s="269"/>
      <c r="BHE235" s="269"/>
      <c r="BHF235" s="269"/>
      <c r="BHG235" s="269"/>
      <c r="BHH235" s="269"/>
      <c r="BHI235" s="269"/>
      <c r="BHJ235" s="269"/>
      <c r="BHK235" s="269"/>
      <c r="BHL235" s="269"/>
      <c r="BHM235" s="269"/>
      <c r="BHN235" s="269"/>
      <c r="BHO235" s="269"/>
      <c r="BHP235" s="269"/>
      <c r="BHQ235" s="269"/>
      <c r="BHR235" s="269"/>
      <c r="BHS235" s="269"/>
      <c r="BHT235" s="269"/>
      <c r="BHU235" s="269"/>
      <c r="BHV235" s="269"/>
      <c r="BHW235" s="269"/>
      <c r="BHX235" s="269"/>
      <c r="BHY235" s="269"/>
      <c r="BHZ235" s="269"/>
      <c r="BIA235" s="269"/>
      <c r="BIB235" s="269"/>
      <c r="BIC235" s="269"/>
      <c r="BID235" s="269"/>
      <c r="BIE235" s="269"/>
      <c r="BIF235" s="269"/>
      <c r="BIG235" s="269"/>
      <c r="BIH235" s="269"/>
      <c r="BII235" s="269"/>
      <c r="BIJ235" s="269"/>
      <c r="BIK235" s="269"/>
      <c r="BIL235" s="269"/>
      <c r="BIM235" s="269"/>
      <c r="BIN235" s="269"/>
      <c r="BIO235" s="269"/>
      <c r="BIP235" s="269"/>
      <c r="BIQ235" s="269"/>
      <c r="BIR235" s="269"/>
      <c r="BIS235" s="269"/>
      <c r="BIT235" s="269"/>
      <c r="BIU235" s="269"/>
      <c r="BIV235" s="269"/>
      <c r="BIW235" s="269"/>
      <c r="BIX235" s="269"/>
      <c r="BIY235" s="269"/>
      <c r="BIZ235" s="269"/>
      <c r="BJA235" s="269"/>
      <c r="BJB235" s="269"/>
      <c r="BJC235" s="269"/>
      <c r="BJD235" s="269"/>
      <c r="BJE235" s="269"/>
      <c r="BJF235" s="269"/>
      <c r="BJG235" s="269"/>
      <c r="BJH235" s="269"/>
      <c r="BJI235" s="269"/>
      <c r="BJJ235" s="269"/>
      <c r="BJK235" s="269"/>
      <c r="BJL235" s="269"/>
      <c r="BJM235" s="269"/>
      <c r="BJN235" s="269"/>
      <c r="BJO235" s="269"/>
      <c r="BJP235" s="269"/>
      <c r="BJQ235" s="269"/>
      <c r="BJR235" s="269"/>
      <c r="BJS235" s="269"/>
      <c r="BJT235" s="269"/>
      <c r="BJU235" s="269"/>
      <c r="BJV235" s="269"/>
      <c r="BJW235" s="269"/>
      <c r="BJX235" s="269"/>
      <c r="BJY235" s="269"/>
      <c r="BJZ235" s="269"/>
      <c r="BKA235" s="269"/>
      <c r="BKB235" s="269"/>
      <c r="BKC235" s="269"/>
      <c r="BKD235" s="269"/>
      <c r="BKE235" s="269"/>
      <c r="BKF235" s="269"/>
      <c r="BKG235" s="269"/>
      <c r="BKH235" s="269"/>
      <c r="BKI235" s="269"/>
      <c r="BKJ235" s="269"/>
      <c r="BKK235" s="269"/>
      <c r="BKL235" s="269"/>
      <c r="BKM235" s="269"/>
      <c r="BKN235" s="269"/>
      <c r="BKO235" s="269"/>
      <c r="BKP235" s="269"/>
      <c r="BKQ235" s="269"/>
      <c r="BKR235" s="269"/>
      <c r="BKS235" s="269"/>
      <c r="BKT235" s="269"/>
      <c r="BKU235" s="269"/>
      <c r="BKV235" s="269"/>
      <c r="BKW235" s="269"/>
      <c r="BKX235" s="269"/>
      <c r="BKY235" s="269"/>
      <c r="BKZ235" s="269"/>
      <c r="BLA235" s="269"/>
      <c r="BLB235" s="269"/>
      <c r="BLC235" s="269"/>
      <c r="BLD235" s="269"/>
      <c r="BLE235" s="269"/>
      <c r="BLF235" s="269"/>
      <c r="BLG235" s="269"/>
      <c r="BLH235" s="269"/>
      <c r="BLI235" s="269"/>
      <c r="BLJ235" s="269"/>
      <c r="BLK235" s="269"/>
      <c r="BLL235" s="269"/>
      <c r="BLM235" s="269"/>
      <c r="BLN235" s="269"/>
      <c r="BLO235" s="269"/>
      <c r="BLP235" s="269"/>
      <c r="BLQ235" s="269"/>
      <c r="BLR235" s="269"/>
      <c r="BLS235" s="269"/>
      <c r="BLT235" s="269"/>
      <c r="BLU235" s="269"/>
      <c r="BLV235" s="269"/>
      <c r="BLW235" s="269"/>
      <c r="BLX235" s="269"/>
      <c r="BLY235" s="269"/>
      <c r="BLZ235" s="269"/>
      <c r="BMA235" s="269"/>
      <c r="BMB235" s="269"/>
      <c r="BMC235" s="269"/>
      <c r="BMD235" s="269"/>
      <c r="BME235" s="269"/>
      <c r="BMF235" s="269"/>
      <c r="BMG235" s="269"/>
      <c r="BMH235" s="269"/>
      <c r="BMI235" s="269"/>
      <c r="BMJ235" s="269"/>
      <c r="BMK235" s="269"/>
      <c r="BML235" s="269"/>
      <c r="BMM235" s="269"/>
      <c r="BMN235" s="269"/>
      <c r="BMO235" s="269"/>
      <c r="BMP235" s="269"/>
      <c r="BMQ235" s="269"/>
      <c r="BMR235" s="269"/>
      <c r="BMS235" s="269"/>
      <c r="BMT235" s="269"/>
      <c r="BMU235" s="269"/>
      <c r="BMV235" s="269"/>
      <c r="BMW235" s="269"/>
      <c r="BMX235" s="269"/>
      <c r="BMY235" s="269"/>
      <c r="BMZ235" s="269"/>
      <c r="BNA235" s="269"/>
      <c r="BNB235" s="269"/>
      <c r="BNC235" s="269"/>
      <c r="BND235" s="269"/>
      <c r="BNE235" s="269"/>
      <c r="BNF235" s="269"/>
      <c r="BNG235" s="269"/>
      <c r="BNH235" s="269"/>
      <c r="BNI235" s="269"/>
      <c r="BNJ235" s="269"/>
      <c r="BNK235" s="269"/>
      <c r="BNL235" s="269"/>
      <c r="BNM235" s="269"/>
      <c r="BNN235" s="269"/>
      <c r="BNO235" s="269"/>
      <c r="BNP235" s="269"/>
      <c r="BNQ235" s="269"/>
      <c r="BNR235" s="269"/>
      <c r="BNS235" s="269"/>
      <c r="BNT235" s="269"/>
      <c r="BNU235" s="269"/>
      <c r="BNV235" s="269"/>
      <c r="BNW235" s="269"/>
      <c r="BNX235" s="269"/>
      <c r="BNY235" s="269"/>
      <c r="BNZ235" s="269"/>
      <c r="BOA235" s="269"/>
      <c r="BOB235" s="269"/>
      <c r="BOC235" s="269"/>
      <c r="BOD235" s="269"/>
      <c r="BOE235" s="269"/>
      <c r="BOF235" s="269"/>
      <c r="BOG235" s="269"/>
      <c r="BOH235" s="269"/>
      <c r="BOI235" s="269"/>
      <c r="BOJ235" s="269"/>
      <c r="BOK235" s="269"/>
      <c r="BOL235" s="269"/>
      <c r="BOM235" s="269"/>
      <c r="BON235" s="269"/>
      <c r="BOO235" s="269"/>
      <c r="BOP235" s="269"/>
      <c r="BOQ235" s="269"/>
      <c r="BOR235" s="269"/>
      <c r="BOS235" s="269"/>
      <c r="BOT235" s="269"/>
      <c r="BOU235" s="269"/>
      <c r="BOV235" s="269"/>
      <c r="BOW235" s="269"/>
      <c r="BOX235" s="269"/>
      <c r="BOY235" s="269"/>
      <c r="BOZ235" s="269"/>
      <c r="BPA235" s="269"/>
      <c r="BPB235" s="269"/>
      <c r="BPC235" s="269"/>
      <c r="BPD235" s="269"/>
      <c r="BPE235" s="269"/>
      <c r="BPF235" s="269"/>
      <c r="BPG235" s="269"/>
      <c r="BPH235" s="269"/>
      <c r="BPI235" s="269"/>
      <c r="BPJ235" s="269"/>
      <c r="BPK235" s="269"/>
      <c r="BPL235" s="269"/>
      <c r="BPM235" s="269"/>
      <c r="BPN235" s="269"/>
      <c r="BPO235" s="269"/>
      <c r="BPP235" s="269"/>
      <c r="BPQ235" s="269"/>
      <c r="BPR235" s="269"/>
      <c r="BPS235" s="269"/>
      <c r="BPT235" s="269"/>
      <c r="BPU235" s="269"/>
      <c r="BPV235" s="269"/>
      <c r="BPW235" s="269"/>
      <c r="BPX235" s="269"/>
      <c r="BPY235" s="269"/>
      <c r="BPZ235" s="269"/>
      <c r="BQA235" s="269"/>
      <c r="BQB235" s="269"/>
      <c r="BQC235" s="269"/>
      <c r="BQD235" s="269"/>
      <c r="BQE235" s="269"/>
      <c r="BQF235" s="269"/>
      <c r="BQG235" s="269"/>
      <c r="BQH235" s="269"/>
      <c r="BQI235" s="269"/>
      <c r="BQJ235" s="269"/>
      <c r="BQK235" s="269"/>
      <c r="BQL235" s="269"/>
      <c r="BQM235" s="269"/>
      <c r="BQN235" s="269"/>
      <c r="BQO235" s="269"/>
      <c r="BQP235" s="269"/>
      <c r="BQQ235" s="269"/>
      <c r="BQR235" s="269"/>
      <c r="BQS235" s="269"/>
      <c r="BQT235" s="269"/>
      <c r="BQU235" s="269"/>
      <c r="BQV235" s="269"/>
      <c r="BQW235" s="269"/>
      <c r="BQX235" s="269"/>
      <c r="BQY235" s="269"/>
      <c r="BQZ235" s="269"/>
      <c r="BRA235" s="269"/>
      <c r="BRB235" s="269"/>
      <c r="BRC235" s="269"/>
      <c r="BRD235" s="269"/>
      <c r="BRE235" s="269"/>
      <c r="BRF235" s="269"/>
      <c r="BRG235" s="269"/>
      <c r="BRH235" s="269"/>
      <c r="BRI235" s="269"/>
      <c r="BRJ235" s="269"/>
      <c r="BRK235" s="269"/>
      <c r="BRL235" s="269"/>
      <c r="BRM235" s="269"/>
      <c r="BRN235" s="269"/>
      <c r="BRO235" s="269"/>
      <c r="BRP235" s="269"/>
      <c r="BRQ235" s="269"/>
      <c r="BRR235" s="269"/>
      <c r="BRS235" s="269"/>
      <c r="BRT235" s="269"/>
      <c r="BRU235" s="269"/>
      <c r="BRV235" s="269"/>
      <c r="BRW235" s="269"/>
      <c r="BRX235" s="269"/>
      <c r="BRY235" s="269"/>
      <c r="BRZ235" s="269"/>
      <c r="BSA235" s="269"/>
      <c r="BSB235" s="269"/>
      <c r="BSC235" s="269"/>
      <c r="BSD235" s="269"/>
      <c r="BSE235" s="269"/>
      <c r="BSF235" s="269"/>
      <c r="BSG235" s="269"/>
      <c r="BSH235" s="269"/>
      <c r="BSI235" s="269"/>
      <c r="BSJ235" s="269"/>
      <c r="BSK235" s="269"/>
      <c r="BSL235" s="269"/>
      <c r="BSM235" s="269"/>
      <c r="BSN235" s="269"/>
      <c r="BSO235" s="269"/>
      <c r="BSP235" s="269"/>
      <c r="BSQ235" s="269"/>
      <c r="BSR235" s="269"/>
      <c r="BSS235" s="269"/>
      <c r="BST235" s="269"/>
      <c r="BSU235" s="269"/>
      <c r="BSV235" s="269"/>
      <c r="BSW235" s="269"/>
      <c r="BSX235" s="269"/>
      <c r="BSY235" s="269"/>
      <c r="BSZ235" s="269"/>
      <c r="BTA235" s="269"/>
      <c r="BTB235" s="269"/>
      <c r="BTC235" s="269"/>
      <c r="BTD235" s="269"/>
      <c r="BTE235" s="269"/>
      <c r="BTF235" s="269"/>
      <c r="BTG235" s="269"/>
      <c r="BTH235" s="269"/>
      <c r="BTI235" s="269"/>
      <c r="BTJ235" s="269"/>
      <c r="BTK235" s="269"/>
      <c r="BTL235" s="269"/>
      <c r="BTM235" s="269"/>
      <c r="BTN235" s="269"/>
      <c r="BTO235" s="269"/>
      <c r="BTP235" s="269"/>
      <c r="BTQ235" s="269"/>
      <c r="BTR235" s="269"/>
      <c r="BTS235" s="269"/>
      <c r="BTT235" s="269"/>
      <c r="BTU235" s="269"/>
      <c r="BTV235" s="269"/>
      <c r="BTW235" s="269"/>
      <c r="BTX235" s="269"/>
      <c r="BTY235" s="269"/>
      <c r="BTZ235" s="269"/>
      <c r="BUA235" s="269"/>
      <c r="BUB235" s="269"/>
      <c r="BUC235" s="269"/>
      <c r="BUD235" s="269"/>
      <c r="BUE235" s="269"/>
      <c r="BUF235" s="269"/>
      <c r="BUG235" s="269"/>
      <c r="BUH235" s="269"/>
      <c r="BUI235" s="269"/>
      <c r="BUJ235" s="269"/>
      <c r="BUK235" s="269"/>
      <c r="BUL235" s="269"/>
      <c r="BUM235" s="269"/>
      <c r="BUN235" s="269"/>
      <c r="BUO235" s="269"/>
      <c r="BUP235" s="269"/>
      <c r="BUQ235" s="269"/>
      <c r="BUR235" s="269"/>
      <c r="BUS235" s="269"/>
      <c r="BUT235" s="269"/>
      <c r="BUU235" s="269"/>
      <c r="BUV235" s="269"/>
      <c r="BUW235" s="269"/>
      <c r="BUX235" s="269"/>
      <c r="BUY235" s="269"/>
      <c r="BUZ235" s="269"/>
      <c r="BVA235" s="269"/>
      <c r="BVB235" s="269"/>
      <c r="BVC235" s="269"/>
      <c r="BVD235" s="269"/>
      <c r="BVE235" s="269"/>
      <c r="BVF235" s="269"/>
      <c r="BVG235" s="269"/>
      <c r="BVH235" s="269"/>
      <c r="BVI235" s="269"/>
      <c r="BVJ235" s="269"/>
      <c r="BVK235" s="269"/>
      <c r="BVL235" s="269"/>
      <c r="BVM235" s="269"/>
      <c r="BVN235" s="269"/>
      <c r="BVO235" s="269"/>
      <c r="BVP235" s="269"/>
      <c r="BVQ235" s="269"/>
      <c r="BVR235" s="269"/>
      <c r="BVS235" s="269"/>
      <c r="BVT235" s="269"/>
      <c r="BVU235" s="269"/>
      <c r="BVV235" s="269"/>
      <c r="BVW235" s="269"/>
      <c r="BVX235" s="269"/>
      <c r="BVY235" s="269"/>
      <c r="BVZ235" s="269"/>
      <c r="BWA235" s="269"/>
      <c r="BWB235" s="269"/>
      <c r="BWC235" s="269"/>
      <c r="BWD235" s="269"/>
      <c r="BWE235" s="269"/>
      <c r="BWF235" s="269"/>
      <c r="BWG235" s="269"/>
      <c r="BWH235" s="269"/>
      <c r="BWI235" s="269"/>
      <c r="BWJ235" s="269"/>
      <c r="BWK235" s="269"/>
      <c r="BWL235" s="269"/>
      <c r="BWM235" s="269"/>
      <c r="BWN235" s="269"/>
      <c r="BWO235" s="269"/>
      <c r="BWP235" s="269"/>
      <c r="BWQ235" s="269"/>
      <c r="BWR235" s="269"/>
      <c r="BWS235" s="269"/>
      <c r="BWT235" s="269"/>
      <c r="BWU235" s="269"/>
      <c r="BWV235" s="269"/>
      <c r="BWW235" s="269"/>
      <c r="BWX235" s="269"/>
      <c r="BWY235" s="269"/>
      <c r="BWZ235" s="269"/>
      <c r="BXA235" s="269"/>
      <c r="BXB235" s="269"/>
      <c r="BXC235" s="269"/>
      <c r="BXD235" s="269"/>
      <c r="BXE235" s="269"/>
      <c r="BXF235" s="269"/>
      <c r="BXG235" s="269"/>
      <c r="BXH235" s="269"/>
      <c r="BXI235" s="269"/>
      <c r="BXJ235" s="269"/>
      <c r="BXK235" s="269"/>
      <c r="BXL235" s="269"/>
      <c r="BXM235" s="269"/>
      <c r="BXN235" s="269"/>
      <c r="BXO235" s="269"/>
      <c r="BXP235" s="269"/>
      <c r="BXQ235" s="269"/>
      <c r="BXR235" s="269"/>
      <c r="BXS235" s="269"/>
      <c r="BXT235" s="269"/>
      <c r="BXU235" s="269"/>
      <c r="BXV235" s="269"/>
      <c r="BXW235" s="269"/>
      <c r="BXX235" s="269"/>
      <c r="BXY235" s="269"/>
      <c r="BXZ235" s="269"/>
      <c r="BYA235" s="269"/>
      <c r="BYB235" s="269"/>
      <c r="BYC235" s="269"/>
      <c r="BYD235" s="269"/>
      <c r="BYE235" s="269"/>
      <c r="BYF235" s="269"/>
      <c r="BYG235" s="269"/>
      <c r="BYH235" s="269"/>
      <c r="BYI235" s="269"/>
      <c r="BYJ235" s="269"/>
      <c r="BYK235" s="269"/>
      <c r="BYL235" s="269"/>
      <c r="BYM235" s="269"/>
      <c r="BYN235" s="269"/>
      <c r="BYO235" s="269"/>
      <c r="BYP235" s="269"/>
      <c r="BYQ235" s="269"/>
      <c r="BYR235" s="269"/>
      <c r="BYS235" s="269"/>
      <c r="BYT235" s="269"/>
      <c r="BYU235" s="269"/>
      <c r="BYV235" s="269"/>
      <c r="BYW235" s="269"/>
      <c r="BYX235" s="269"/>
      <c r="BYY235" s="269"/>
      <c r="BYZ235" s="269"/>
      <c r="BZA235" s="269"/>
      <c r="BZB235" s="269"/>
      <c r="BZC235" s="269"/>
      <c r="BZD235" s="269"/>
      <c r="BZE235" s="269"/>
      <c r="BZF235" s="269"/>
      <c r="BZG235" s="269"/>
      <c r="BZH235" s="269"/>
      <c r="BZI235" s="269"/>
      <c r="BZJ235" s="269"/>
      <c r="BZK235" s="269"/>
      <c r="BZL235" s="269"/>
      <c r="BZM235" s="269"/>
      <c r="BZN235" s="269"/>
      <c r="BZO235" s="269"/>
      <c r="BZP235" s="269"/>
      <c r="BZQ235" s="269"/>
      <c r="BZR235" s="269"/>
      <c r="BZS235" s="269"/>
      <c r="BZT235" s="269"/>
      <c r="BZU235" s="269"/>
      <c r="BZV235" s="269"/>
      <c r="BZW235" s="269"/>
      <c r="BZX235" s="269"/>
      <c r="BZY235" s="269"/>
      <c r="BZZ235" s="269"/>
      <c r="CAA235" s="269"/>
      <c r="CAB235" s="269"/>
      <c r="CAC235" s="269"/>
      <c r="CAD235" s="269"/>
      <c r="CAE235" s="269"/>
      <c r="CAF235" s="269"/>
      <c r="CAG235" s="269"/>
      <c r="CAH235" s="269"/>
      <c r="CAI235" s="269"/>
      <c r="CAJ235" s="269"/>
      <c r="CAK235" s="269"/>
      <c r="CAL235" s="269"/>
      <c r="CAM235" s="269"/>
      <c r="CAN235" s="269"/>
      <c r="CAO235" s="269"/>
      <c r="CAP235" s="269"/>
      <c r="CAQ235" s="269"/>
      <c r="CAR235" s="269"/>
      <c r="CAS235" s="269"/>
      <c r="CAT235" s="269"/>
      <c r="CAU235" s="269"/>
      <c r="CAV235" s="269"/>
      <c r="CAW235" s="269"/>
      <c r="CAX235" s="269"/>
      <c r="CAY235" s="269"/>
      <c r="CAZ235" s="269"/>
      <c r="CBA235" s="269"/>
      <c r="CBB235" s="269"/>
      <c r="CBC235" s="269"/>
      <c r="CBD235" s="269"/>
      <c r="CBE235" s="269"/>
      <c r="CBF235" s="269"/>
      <c r="CBG235" s="269"/>
      <c r="CBH235" s="269"/>
      <c r="CBI235" s="269"/>
      <c r="CBJ235" s="269"/>
      <c r="CBK235" s="269"/>
      <c r="CBL235" s="269"/>
      <c r="CBM235" s="269"/>
      <c r="CBN235" s="269"/>
      <c r="CBO235" s="269"/>
      <c r="CBP235" s="269"/>
      <c r="CBQ235" s="269"/>
      <c r="CBR235" s="269"/>
      <c r="CBS235" s="269"/>
      <c r="CBT235" s="269"/>
      <c r="CBU235" s="269"/>
      <c r="CBV235" s="269"/>
      <c r="CBW235" s="269"/>
      <c r="CBX235" s="269"/>
      <c r="CBY235" s="269"/>
      <c r="CBZ235" s="269"/>
      <c r="CCA235" s="269"/>
      <c r="CCB235" s="269"/>
      <c r="CCC235" s="269"/>
      <c r="CCD235" s="269"/>
      <c r="CCE235" s="269"/>
      <c r="CCF235" s="269"/>
      <c r="CCG235" s="269"/>
      <c r="CCH235" s="269"/>
      <c r="CCI235" s="269"/>
      <c r="CCJ235" s="269"/>
      <c r="CCK235" s="269"/>
      <c r="CCL235" s="269"/>
      <c r="CCM235" s="269"/>
      <c r="CCN235" s="269"/>
      <c r="CCO235" s="269"/>
      <c r="CCP235" s="269"/>
      <c r="CCQ235" s="269"/>
      <c r="CCR235" s="269"/>
      <c r="CCS235" s="269"/>
      <c r="CCT235" s="269"/>
      <c r="CCU235" s="269"/>
      <c r="CCV235" s="269"/>
      <c r="CCW235" s="269"/>
      <c r="CCX235" s="269"/>
      <c r="CCY235" s="269"/>
      <c r="CCZ235" s="269"/>
      <c r="CDA235" s="269"/>
      <c r="CDB235" s="269"/>
      <c r="CDC235" s="269"/>
      <c r="CDD235" s="269"/>
      <c r="CDE235" s="269"/>
      <c r="CDF235" s="269"/>
      <c r="CDG235" s="269"/>
      <c r="CDH235" s="269"/>
      <c r="CDI235" s="269"/>
      <c r="CDJ235" s="269"/>
      <c r="CDK235" s="269"/>
      <c r="CDL235" s="269"/>
      <c r="CDM235" s="269"/>
      <c r="CDN235" s="269"/>
      <c r="CDO235" s="269"/>
      <c r="CDP235" s="269"/>
      <c r="CDQ235" s="269"/>
      <c r="CDR235" s="269"/>
      <c r="CDS235" s="269"/>
      <c r="CDT235" s="269"/>
      <c r="CDU235" s="269"/>
      <c r="CDV235" s="269"/>
      <c r="CDW235" s="269"/>
      <c r="CDX235" s="269"/>
      <c r="CDY235" s="269"/>
      <c r="CDZ235" s="269"/>
      <c r="CEA235" s="269"/>
      <c r="CEB235" s="269"/>
      <c r="CEC235" s="269"/>
      <c r="CED235" s="269"/>
      <c r="CEE235" s="269"/>
      <c r="CEF235" s="269"/>
      <c r="CEG235" s="269"/>
      <c r="CEH235" s="269"/>
      <c r="CEI235" s="269"/>
      <c r="CEJ235" s="269"/>
      <c r="CEK235" s="269"/>
      <c r="CEL235" s="269"/>
      <c r="CEM235" s="269"/>
      <c r="CEN235" s="269"/>
      <c r="CEO235" s="269"/>
      <c r="CEP235" s="269"/>
      <c r="CEQ235" s="269"/>
      <c r="CER235" s="269"/>
      <c r="CES235" s="269"/>
      <c r="CET235" s="269"/>
      <c r="CEU235" s="269"/>
      <c r="CEV235" s="269"/>
      <c r="CEW235" s="269"/>
      <c r="CEX235" s="269"/>
      <c r="CEY235" s="269"/>
      <c r="CEZ235" s="269"/>
      <c r="CFA235" s="269"/>
      <c r="CFB235" s="269"/>
      <c r="CFC235" s="269"/>
      <c r="CFD235" s="269"/>
      <c r="CFE235" s="269"/>
      <c r="CFF235" s="269"/>
      <c r="CFG235" s="269"/>
      <c r="CFH235" s="269"/>
      <c r="CFI235" s="269"/>
      <c r="CFJ235" s="269"/>
      <c r="CFK235" s="269"/>
      <c r="CFL235" s="269"/>
      <c r="CFM235" s="269"/>
      <c r="CFN235" s="269"/>
      <c r="CFO235" s="269"/>
      <c r="CFP235" s="269"/>
      <c r="CFQ235" s="269"/>
      <c r="CFR235" s="269"/>
      <c r="CFS235" s="269"/>
      <c r="CFT235" s="269"/>
      <c r="CFU235" s="269"/>
      <c r="CFV235" s="269"/>
      <c r="CFW235" s="269"/>
      <c r="CFX235" s="269"/>
      <c r="CFY235" s="269"/>
      <c r="CFZ235" s="269"/>
      <c r="CGA235" s="269"/>
      <c r="CGB235" s="269"/>
      <c r="CGC235" s="269"/>
      <c r="CGD235" s="269"/>
      <c r="CGE235" s="269"/>
      <c r="CGF235" s="269"/>
      <c r="CGG235" s="269"/>
      <c r="CGH235" s="269"/>
      <c r="CGI235" s="269"/>
      <c r="CGJ235" s="269"/>
      <c r="CGK235" s="269"/>
      <c r="CGL235" s="269"/>
      <c r="CGM235" s="269"/>
      <c r="CGN235" s="269"/>
      <c r="CGO235" s="269"/>
      <c r="CGP235" s="269"/>
      <c r="CGQ235" s="269"/>
      <c r="CGR235" s="269"/>
      <c r="CGS235" s="269"/>
      <c r="CGT235" s="269"/>
      <c r="CGU235" s="269"/>
      <c r="CGV235" s="269"/>
      <c r="CGW235" s="269"/>
      <c r="CGX235" s="269"/>
      <c r="CGY235" s="269"/>
      <c r="CGZ235" s="269"/>
      <c r="CHA235" s="269"/>
      <c r="CHB235" s="269"/>
      <c r="CHC235" s="269"/>
      <c r="CHD235" s="269"/>
      <c r="CHE235" s="269"/>
      <c r="CHF235" s="269"/>
      <c r="CHG235" s="269"/>
      <c r="CHH235" s="269"/>
      <c r="CHI235" s="269"/>
      <c r="CHJ235" s="269"/>
      <c r="CHK235" s="269"/>
      <c r="CHL235" s="269"/>
      <c r="CHM235" s="269"/>
      <c r="CHN235" s="269"/>
      <c r="CHO235" s="269"/>
      <c r="CHP235" s="269"/>
      <c r="CHQ235" s="269"/>
      <c r="CHR235" s="269"/>
      <c r="CHS235" s="269"/>
      <c r="CHT235" s="269"/>
      <c r="CHU235" s="269"/>
      <c r="CHV235" s="269"/>
      <c r="CHW235" s="269"/>
      <c r="CHX235" s="269"/>
      <c r="CHY235" s="269"/>
      <c r="CHZ235" s="269"/>
      <c r="CIA235" s="269"/>
      <c r="CIB235" s="269"/>
      <c r="CIC235" s="269"/>
      <c r="CID235" s="269"/>
      <c r="CIE235" s="269"/>
      <c r="CIF235" s="269"/>
      <c r="CIG235" s="269"/>
      <c r="CIH235" s="269"/>
      <c r="CII235" s="269"/>
      <c r="CIJ235" s="269"/>
      <c r="CIK235" s="269"/>
      <c r="CIL235" s="269"/>
      <c r="CIM235" s="269"/>
      <c r="CIN235" s="269"/>
      <c r="CIO235" s="269"/>
      <c r="CIP235" s="269"/>
      <c r="CIQ235" s="269"/>
      <c r="CIR235" s="269"/>
      <c r="CIS235" s="269"/>
      <c r="CIT235" s="269"/>
      <c r="CIU235" s="269"/>
      <c r="CIV235" s="269"/>
      <c r="CIW235" s="269"/>
      <c r="CIX235" s="269"/>
      <c r="CIY235" s="269"/>
      <c r="CIZ235" s="269"/>
      <c r="CJA235" s="269"/>
      <c r="CJB235" s="269"/>
      <c r="CJC235" s="269"/>
      <c r="CJD235" s="269"/>
      <c r="CJE235" s="269"/>
      <c r="CJF235" s="269"/>
      <c r="CJG235" s="269"/>
      <c r="CJH235" s="269"/>
      <c r="CJI235" s="269"/>
      <c r="CJJ235" s="269"/>
      <c r="CJK235" s="269"/>
      <c r="CJL235" s="269"/>
      <c r="CJM235" s="269"/>
      <c r="CJN235" s="269"/>
      <c r="CJO235" s="269"/>
      <c r="CJP235" s="269"/>
      <c r="CJQ235" s="269"/>
      <c r="CJR235" s="269"/>
      <c r="CJS235" s="269"/>
      <c r="CJT235" s="269"/>
      <c r="CJU235" s="269"/>
      <c r="CJV235" s="269"/>
      <c r="CJW235" s="269"/>
      <c r="CJX235" s="269"/>
      <c r="CJY235" s="269"/>
      <c r="CJZ235" s="269"/>
      <c r="CKA235" s="269"/>
      <c r="CKB235" s="269"/>
      <c r="CKC235" s="269"/>
      <c r="CKD235" s="269"/>
      <c r="CKE235" s="269"/>
      <c r="CKF235" s="269"/>
      <c r="CKG235" s="269"/>
      <c r="CKH235" s="269"/>
      <c r="CKI235" s="269"/>
      <c r="CKJ235" s="269"/>
      <c r="CKK235" s="269"/>
      <c r="CKL235" s="269"/>
      <c r="CKM235" s="269"/>
      <c r="CKN235" s="269"/>
      <c r="CKO235" s="269"/>
      <c r="CKP235" s="269"/>
      <c r="CKQ235" s="269"/>
      <c r="CKR235" s="269"/>
      <c r="CKS235" s="269"/>
      <c r="CKT235" s="269"/>
      <c r="CKU235" s="269"/>
      <c r="CKV235" s="269"/>
      <c r="CKW235" s="269"/>
      <c r="CKX235" s="269"/>
      <c r="CKY235" s="269"/>
      <c r="CKZ235" s="269"/>
      <c r="CLA235" s="269"/>
      <c r="CLB235" s="269"/>
      <c r="CLC235" s="269"/>
      <c r="CLD235" s="269"/>
      <c r="CLE235" s="269"/>
      <c r="CLF235" s="269"/>
      <c r="CLG235" s="269"/>
      <c r="CLH235" s="269"/>
      <c r="CLI235" s="269"/>
      <c r="CLJ235" s="269"/>
      <c r="CLK235" s="269"/>
      <c r="CLL235" s="269"/>
      <c r="CLM235" s="269"/>
      <c r="CLN235" s="269"/>
      <c r="CLO235" s="269"/>
      <c r="CLP235" s="269"/>
      <c r="CLQ235" s="269"/>
      <c r="CLR235" s="269"/>
      <c r="CLS235" s="269"/>
      <c r="CLT235" s="269"/>
      <c r="CLU235" s="269"/>
      <c r="CLV235" s="269"/>
      <c r="CLW235" s="269"/>
      <c r="CLX235" s="269"/>
      <c r="CLY235" s="269"/>
      <c r="CLZ235" s="269"/>
      <c r="CMA235" s="269"/>
      <c r="CMB235" s="269"/>
      <c r="CMC235" s="269"/>
      <c r="CMD235" s="269"/>
      <c r="CME235" s="269"/>
      <c r="CMF235" s="269"/>
      <c r="CMG235" s="269"/>
      <c r="CMH235" s="269"/>
      <c r="CMI235" s="269"/>
      <c r="CMJ235" s="269"/>
      <c r="CMK235" s="269"/>
      <c r="CML235" s="269"/>
      <c r="CMM235" s="269"/>
      <c r="CMN235" s="269"/>
      <c r="CMO235" s="269"/>
      <c r="CMP235" s="269"/>
      <c r="CMQ235" s="269"/>
      <c r="CMR235" s="269"/>
      <c r="CMS235" s="269"/>
      <c r="CMT235" s="269"/>
      <c r="CMU235" s="269"/>
      <c r="CMV235" s="269"/>
      <c r="CMW235" s="269"/>
      <c r="CMX235" s="269"/>
      <c r="CMY235" s="269"/>
      <c r="CMZ235" s="269"/>
      <c r="CNA235" s="269"/>
      <c r="CNB235" s="269"/>
      <c r="CNC235" s="269"/>
      <c r="CND235" s="269"/>
      <c r="CNE235" s="269"/>
      <c r="CNF235" s="269"/>
      <c r="CNG235" s="269"/>
      <c r="CNH235" s="269"/>
      <c r="CNI235" s="269"/>
      <c r="CNJ235" s="269"/>
      <c r="CNK235" s="269"/>
      <c r="CNL235" s="269"/>
      <c r="CNM235" s="269"/>
      <c r="CNN235" s="269"/>
      <c r="CNO235" s="269"/>
      <c r="CNP235" s="269"/>
      <c r="CNQ235" s="269"/>
      <c r="CNR235" s="269"/>
      <c r="CNS235" s="269"/>
      <c r="CNT235" s="269"/>
      <c r="CNU235" s="269"/>
      <c r="CNV235" s="269"/>
      <c r="CNW235" s="269"/>
      <c r="CNX235" s="269"/>
      <c r="CNY235" s="269"/>
      <c r="CNZ235" s="269"/>
      <c r="COA235" s="269"/>
      <c r="COB235" s="269"/>
      <c r="COC235" s="269"/>
      <c r="COD235" s="269"/>
      <c r="COE235" s="269"/>
      <c r="COF235" s="269"/>
      <c r="COG235" s="269"/>
      <c r="COH235" s="269"/>
      <c r="COI235" s="269"/>
      <c r="COJ235" s="269"/>
      <c r="COK235" s="269"/>
      <c r="COL235" s="269"/>
      <c r="COM235" s="269"/>
      <c r="CON235" s="269"/>
      <c r="COO235" s="269"/>
      <c r="COP235" s="269"/>
      <c r="COQ235" s="269"/>
      <c r="COR235" s="269"/>
      <c r="COS235" s="269"/>
      <c r="COT235" s="269"/>
      <c r="COU235" s="269"/>
      <c r="COV235" s="269"/>
      <c r="COW235" s="269"/>
      <c r="COX235" s="269"/>
      <c r="COY235" s="269"/>
      <c r="COZ235" s="269"/>
      <c r="CPA235" s="269"/>
      <c r="CPB235" s="269"/>
      <c r="CPC235" s="269"/>
      <c r="CPD235" s="269"/>
      <c r="CPE235" s="269"/>
      <c r="CPF235" s="269"/>
      <c r="CPG235" s="269"/>
      <c r="CPH235" s="269"/>
      <c r="CPI235" s="269"/>
      <c r="CPJ235" s="269"/>
      <c r="CPK235" s="269"/>
      <c r="CPL235" s="269"/>
      <c r="CPM235" s="269"/>
      <c r="CPN235" s="269"/>
      <c r="CPO235" s="269"/>
      <c r="CPP235" s="269"/>
      <c r="CPQ235" s="269"/>
      <c r="CPR235" s="269"/>
      <c r="CPS235" s="269"/>
      <c r="CPT235" s="269"/>
      <c r="CPU235" s="269"/>
      <c r="CPV235" s="269"/>
      <c r="CPW235" s="269"/>
      <c r="CPX235" s="269"/>
      <c r="CPY235" s="269"/>
      <c r="CPZ235" s="269"/>
      <c r="CQA235" s="269"/>
      <c r="CQB235" s="269"/>
      <c r="CQC235" s="269"/>
      <c r="CQD235" s="269"/>
      <c r="CQE235" s="269"/>
      <c r="CQF235" s="269"/>
      <c r="CQG235" s="269"/>
      <c r="CQH235" s="269"/>
      <c r="CQI235" s="269"/>
      <c r="CQJ235" s="269"/>
      <c r="CQK235" s="269"/>
      <c r="CQL235" s="269"/>
      <c r="CQM235" s="269"/>
      <c r="CQN235" s="269"/>
      <c r="CQO235" s="269"/>
      <c r="CQP235" s="269"/>
      <c r="CQQ235" s="269"/>
      <c r="CQR235" s="269"/>
      <c r="CQS235" s="269"/>
      <c r="CQT235" s="269"/>
      <c r="CQU235" s="269"/>
      <c r="CQV235" s="269"/>
      <c r="CQW235" s="269"/>
      <c r="CQX235" s="269"/>
      <c r="CQY235" s="269"/>
      <c r="CQZ235" s="269"/>
      <c r="CRA235" s="269"/>
      <c r="CRB235" s="269"/>
      <c r="CRC235" s="269"/>
      <c r="CRD235" s="269"/>
      <c r="CRE235" s="269"/>
      <c r="CRF235" s="269"/>
      <c r="CRG235" s="269"/>
      <c r="CRH235" s="269"/>
      <c r="CRI235" s="269"/>
      <c r="CRJ235" s="269"/>
      <c r="CRK235" s="269"/>
      <c r="CRL235" s="269"/>
      <c r="CRM235" s="269"/>
      <c r="CRN235" s="269"/>
      <c r="CRO235" s="269"/>
      <c r="CRP235" s="269"/>
      <c r="CRQ235" s="269"/>
      <c r="CRR235" s="269"/>
      <c r="CRS235" s="269"/>
      <c r="CRT235" s="269"/>
      <c r="CRU235" s="269"/>
      <c r="CRV235" s="269"/>
      <c r="CRW235" s="269"/>
      <c r="CRX235" s="269"/>
      <c r="CRY235" s="269"/>
      <c r="CRZ235" s="269"/>
      <c r="CSA235" s="269"/>
      <c r="CSB235" s="269"/>
      <c r="CSC235" s="269"/>
      <c r="CSD235" s="269"/>
      <c r="CSE235" s="269"/>
      <c r="CSF235" s="269"/>
      <c r="CSG235" s="269"/>
      <c r="CSH235" s="269"/>
      <c r="CSI235" s="269"/>
      <c r="CSJ235" s="269"/>
      <c r="CSK235" s="269"/>
      <c r="CSL235" s="269"/>
      <c r="CSM235" s="269"/>
      <c r="CSN235" s="269"/>
      <c r="CSO235" s="269"/>
      <c r="CSP235" s="269"/>
      <c r="CSQ235" s="269"/>
      <c r="CSR235" s="269"/>
      <c r="CSS235" s="269"/>
      <c r="CST235" s="269"/>
      <c r="CSU235" s="269"/>
      <c r="CSV235" s="269"/>
      <c r="CSW235" s="269"/>
      <c r="CSX235" s="269"/>
      <c r="CSY235" s="269"/>
      <c r="CSZ235" s="269"/>
      <c r="CTA235" s="269"/>
      <c r="CTB235" s="269"/>
      <c r="CTC235" s="269"/>
      <c r="CTD235" s="269"/>
      <c r="CTE235" s="269"/>
      <c r="CTF235" s="269"/>
      <c r="CTG235" s="269"/>
      <c r="CTH235" s="269"/>
      <c r="CTI235" s="269"/>
      <c r="CTJ235" s="269"/>
      <c r="CTK235" s="269"/>
      <c r="CTL235" s="269"/>
      <c r="CTM235" s="269"/>
      <c r="CTN235" s="269"/>
      <c r="CTO235" s="269"/>
      <c r="CTP235" s="269"/>
      <c r="CTQ235" s="269"/>
      <c r="CTR235" s="269"/>
      <c r="CTS235" s="269"/>
      <c r="CTT235" s="269"/>
      <c r="CTU235" s="269"/>
      <c r="CTV235" s="269"/>
      <c r="CTW235" s="269"/>
      <c r="CTX235" s="269"/>
      <c r="CTY235" s="269"/>
      <c r="CTZ235" s="269"/>
      <c r="CUA235" s="269"/>
      <c r="CUB235" s="269"/>
      <c r="CUC235" s="269"/>
      <c r="CUD235" s="269"/>
      <c r="CUE235" s="269"/>
      <c r="CUF235" s="269"/>
      <c r="CUG235" s="269"/>
      <c r="CUH235" s="269"/>
      <c r="CUI235" s="269"/>
      <c r="CUJ235" s="269"/>
      <c r="CUK235" s="269"/>
      <c r="CUL235" s="269"/>
      <c r="CUM235" s="269"/>
      <c r="CUN235" s="269"/>
      <c r="CUO235" s="269"/>
      <c r="CUP235" s="269"/>
      <c r="CUQ235" s="269"/>
      <c r="CUR235" s="269"/>
      <c r="CUS235" s="269"/>
      <c r="CUT235" s="269"/>
      <c r="CUU235" s="269"/>
      <c r="CUV235" s="269"/>
      <c r="CUW235" s="269"/>
      <c r="CUX235" s="269"/>
      <c r="CUY235" s="269"/>
      <c r="CUZ235" s="269"/>
      <c r="CVA235" s="269"/>
      <c r="CVB235" s="269"/>
      <c r="CVC235" s="269"/>
      <c r="CVD235" s="269"/>
      <c r="CVE235" s="269"/>
      <c r="CVF235" s="269"/>
      <c r="CVG235" s="269"/>
      <c r="CVH235" s="269"/>
      <c r="CVI235" s="269"/>
      <c r="CVJ235" s="269"/>
      <c r="CVK235" s="269"/>
      <c r="CVL235" s="269"/>
      <c r="CVM235" s="269"/>
      <c r="CVN235" s="269"/>
      <c r="CVO235" s="269"/>
      <c r="CVP235" s="269"/>
      <c r="CVQ235" s="269"/>
      <c r="CVR235" s="269"/>
      <c r="CVS235" s="269"/>
      <c r="CVT235" s="269"/>
      <c r="CVU235" s="269"/>
      <c r="CVV235" s="269"/>
      <c r="CVW235" s="269"/>
      <c r="CVX235" s="269"/>
      <c r="CVY235" s="269"/>
      <c r="CVZ235" s="269"/>
      <c r="CWA235" s="269"/>
      <c r="CWB235" s="269"/>
      <c r="CWC235" s="269"/>
      <c r="CWD235" s="269"/>
      <c r="CWE235" s="269"/>
      <c r="CWF235" s="269"/>
      <c r="CWG235" s="269"/>
      <c r="CWH235" s="269"/>
      <c r="CWI235" s="269"/>
      <c r="CWJ235" s="269"/>
      <c r="CWK235" s="269"/>
      <c r="CWL235" s="269"/>
      <c r="CWM235" s="269"/>
      <c r="CWN235" s="269"/>
      <c r="CWO235" s="269"/>
      <c r="CWP235" s="269"/>
      <c r="CWQ235" s="269"/>
      <c r="CWR235" s="269"/>
      <c r="CWS235" s="269"/>
      <c r="CWT235" s="269"/>
      <c r="CWU235" s="269"/>
      <c r="CWV235" s="269"/>
      <c r="CWW235" s="269"/>
      <c r="CWX235" s="269"/>
      <c r="CWY235" s="269"/>
      <c r="CWZ235" s="269"/>
      <c r="CXA235" s="269"/>
      <c r="CXB235" s="269"/>
      <c r="CXC235" s="269"/>
      <c r="CXD235" s="269"/>
      <c r="CXE235" s="269"/>
      <c r="CXF235" s="269"/>
      <c r="CXG235" s="269"/>
      <c r="CXH235" s="269"/>
      <c r="CXI235" s="269"/>
      <c r="CXJ235" s="269"/>
      <c r="CXK235" s="269"/>
      <c r="CXL235" s="269"/>
      <c r="CXM235" s="269"/>
      <c r="CXN235" s="269"/>
      <c r="CXO235" s="269"/>
      <c r="CXP235" s="269"/>
      <c r="CXQ235" s="269"/>
      <c r="CXR235" s="269"/>
      <c r="CXS235" s="269"/>
      <c r="CXT235" s="269"/>
      <c r="CXU235" s="269"/>
      <c r="CXV235" s="269"/>
      <c r="CXW235" s="269"/>
      <c r="CXX235" s="269"/>
      <c r="CXY235" s="269"/>
      <c r="CXZ235" s="269"/>
      <c r="CYA235" s="269"/>
      <c r="CYB235" s="269"/>
      <c r="CYC235" s="269"/>
      <c r="CYD235" s="269"/>
      <c r="CYE235" s="269"/>
      <c r="CYF235" s="269"/>
      <c r="CYG235" s="269"/>
      <c r="CYH235" s="269"/>
      <c r="CYI235" s="269"/>
      <c r="CYJ235" s="269"/>
      <c r="CYK235" s="269"/>
      <c r="CYL235" s="269"/>
      <c r="CYM235" s="269"/>
      <c r="CYN235" s="269"/>
      <c r="CYO235" s="269"/>
      <c r="CYP235" s="269"/>
      <c r="CYQ235" s="269"/>
      <c r="CYR235" s="269"/>
      <c r="CYS235" s="269"/>
      <c r="CYT235" s="269"/>
      <c r="CYU235" s="269"/>
      <c r="CYV235" s="269"/>
      <c r="CYW235" s="269"/>
      <c r="CYX235" s="269"/>
      <c r="CYY235" s="269"/>
      <c r="CYZ235" s="269"/>
      <c r="CZA235" s="269"/>
      <c r="CZB235" s="269"/>
      <c r="CZC235" s="269"/>
      <c r="CZD235" s="269"/>
      <c r="CZE235" s="269"/>
      <c r="CZF235" s="269"/>
      <c r="CZG235" s="269"/>
      <c r="CZH235" s="269"/>
      <c r="CZI235" s="269"/>
      <c r="CZJ235" s="269"/>
      <c r="CZK235" s="269"/>
      <c r="CZL235" s="269"/>
      <c r="CZM235" s="269"/>
      <c r="CZN235" s="269"/>
      <c r="CZO235" s="269"/>
      <c r="CZP235" s="269"/>
      <c r="CZQ235" s="269"/>
      <c r="CZR235" s="269"/>
      <c r="CZS235" s="269"/>
      <c r="CZT235" s="269"/>
      <c r="CZU235" s="269"/>
      <c r="CZV235" s="269"/>
      <c r="CZW235" s="269"/>
      <c r="CZX235" s="269"/>
      <c r="CZY235" s="269"/>
      <c r="CZZ235" s="269"/>
      <c r="DAA235" s="269"/>
      <c r="DAB235" s="269"/>
      <c r="DAC235" s="269"/>
      <c r="DAD235" s="269"/>
      <c r="DAE235" s="269"/>
      <c r="DAF235" s="269"/>
      <c r="DAG235" s="269"/>
      <c r="DAH235" s="269"/>
      <c r="DAI235" s="269"/>
      <c r="DAJ235" s="269"/>
      <c r="DAK235" s="269"/>
      <c r="DAL235" s="269"/>
      <c r="DAM235" s="269"/>
      <c r="DAN235" s="269"/>
      <c r="DAO235" s="269"/>
      <c r="DAP235" s="269"/>
      <c r="DAQ235" s="269"/>
      <c r="DAR235" s="269"/>
      <c r="DAS235" s="269"/>
      <c r="DAT235" s="269"/>
      <c r="DAU235" s="269"/>
      <c r="DAV235" s="269"/>
      <c r="DAW235" s="269"/>
      <c r="DAX235" s="269"/>
      <c r="DAY235" s="269"/>
      <c r="DAZ235" s="269"/>
      <c r="DBA235" s="269"/>
      <c r="DBB235" s="269"/>
      <c r="DBC235" s="269"/>
      <c r="DBD235" s="269"/>
      <c r="DBE235" s="269"/>
      <c r="DBF235" s="269"/>
      <c r="DBG235" s="269"/>
      <c r="DBH235" s="269"/>
      <c r="DBI235" s="269"/>
      <c r="DBJ235" s="269"/>
      <c r="DBK235" s="269"/>
      <c r="DBL235" s="269"/>
      <c r="DBM235" s="269"/>
      <c r="DBN235" s="269"/>
      <c r="DBO235" s="269"/>
      <c r="DBP235" s="269"/>
      <c r="DBQ235" s="269"/>
      <c r="DBR235" s="269"/>
      <c r="DBS235" s="269"/>
      <c r="DBT235" s="269"/>
      <c r="DBU235" s="269"/>
      <c r="DBV235" s="269"/>
      <c r="DBW235" s="269"/>
      <c r="DBX235" s="269"/>
      <c r="DBY235" s="269"/>
      <c r="DBZ235" s="269"/>
      <c r="DCA235" s="269"/>
      <c r="DCB235" s="269"/>
      <c r="DCC235" s="269"/>
      <c r="DCD235" s="269"/>
      <c r="DCE235" s="269"/>
      <c r="DCF235" s="269"/>
      <c r="DCG235" s="269"/>
      <c r="DCH235" s="269"/>
      <c r="DCI235" s="269"/>
      <c r="DCJ235" s="269"/>
      <c r="DCK235" s="269"/>
      <c r="DCL235" s="269"/>
      <c r="DCM235" s="269"/>
      <c r="DCN235" s="269"/>
      <c r="DCO235" s="269"/>
      <c r="DCP235" s="269"/>
      <c r="DCQ235" s="269"/>
      <c r="DCR235" s="269"/>
      <c r="DCS235" s="269"/>
      <c r="DCT235" s="269"/>
      <c r="DCU235" s="269"/>
      <c r="DCV235" s="269"/>
      <c r="DCW235" s="269"/>
      <c r="DCX235" s="269"/>
      <c r="DCY235" s="269"/>
      <c r="DCZ235" s="269"/>
      <c r="DDA235" s="269"/>
      <c r="DDB235" s="269"/>
      <c r="DDC235" s="269"/>
      <c r="DDD235" s="269"/>
      <c r="DDE235" s="269"/>
      <c r="DDF235" s="269"/>
      <c r="DDG235" s="269"/>
      <c r="DDH235" s="269"/>
      <c r="DDI235" s="269"/>
      <c r="DDJ235" s="269"/>
      <c r="DDK235" s="269"/>
      <c r="DDL235" s="269"/>
      <c r="DDM235" s="269"/>
      <c r="DDN235" s="269"/>
      <c r="DDO235" s="269"/>
      <c r="DDP235" s="269"/>
      <c r="DDQ235" s="269"/>
      <c r="DDR235" s="269"/>
      <c r="DDS235" s="269"/>
      <c r="DDT235" s="269"/>
      <c r="DDU235" s="269"/>
      <c r="DDV235" s="269"/>
      <c r="DDW235" s="269"/>
      <c r="DDX235" s="269"/>
      <c r="DDY235" s="269"/>
      <c r="DDZ235" s="269"/>
      <c r="DEA235" s="269"/>
      <c r="DEB235" s="269"/>
      <c r="DEC235" s="269"/>
      <c r="DED235" s="269"/>
      <c r="DEE235" s="269"/>
      <c r="DEF235" s="269"/>
      <c r="DEG235" s="269"/>
      <c r="DEH235" s="269"/>
      <c r="DEI235" s="269"/>
      <c r="DEJ235" s="269"/>
      <c r="DEK235" s="269"/>
      <c r="DEL235" s="269"/>
      <c r="DEM235" s="269"/>
      <c r="DEN235" s="269"/>
      <c r="DEO235" s="269"/>
      <c r="DEP235" s="269"/>
      <c r="DEQ235" s="269"/>
      <c r="DER235" s="269"/>
      <c r="DES235" s="269"/>
      <c r="DET235" s="269"/>
      <c r="DEU235" s="269"/>
      <c r="DEV235" s="269"/>
      <c r="DEW235" s="269"/>
      <c r="DEX235" s="269"/>
      <c r="DEY235" s="269"/>
      <c r="DEZ235" s="269"/>
      <c r="DFA235" s="269"/>
      <c r="DFB235" s="269"/>
      <c r="DFC235" s="269"/>
      <c r="DFD235" s="269"/>
      <c r="DFE235" s="269"/>
      <c r="DFF235" s="269"/>
      <c r="DFG235" s="269"/>
      <c r="DFH235" s="269"/>
      <c r="DFI235" s="269"/>
      <c r="DFJ235" s="269"/>
      <c r="DFK235" s="269"/>
      <c r="DFL235" s="269"/>
      <c r="DFM235" s="269"/>
      <c r="DFN235" s="269"/>
      <c r="DFO235" s="269"/>
      <c r="DFP235" s="269"/>
      <c r="DFQ235" s="269"/>
      <c r="DFR235" s="269"/>
      <c r="DFS235" s="269"/>
      <c r="DFT235" s="269"/>
      <c r="DFU235" s="269"/>
      <c r="DFV235" s="269"/>
      <c r="DFW235" s="269"/>
      <c r="DFX235" s="269"/>
      <c r="DFY235" s="269"/>
      <c r="DFZ235" s="269"/>
      <c r="DGA235" s="269"/>
      <c r="DGB235" s="269"/>
      <c r="DGC235" s="269"/>
      <c r="DGD235" s="269"/>
      <c r="DGE235" s="269"/>
      <c r="DGF235" s="269"/>
      <c r="DGG235" s="269"/>
      <c r="DGH235" s="269"/>
      <c r="DGI235" s="269"/>
      <c r="DGJ235" s="269"/>
      <c r="DGK235" s="269"/>
      <c r="DGL235" s="269"/>
      <c r="DGM235" s="269"/>
      <c r="DGN235" s="269"/>
      <c r="DGO235" s="269"/>
      <c r="DGP235" s="269"/>
      <c r="DGQ235" s="269"/>
      <c r="DGR235" s="269"/>
      <c r="DGS235" s="269"/>
      <c r="DGT235" s="269"/>
      <c r="DGU235" s="269"/>
      <c r="DGV235" s="269"/>
      <c r="DGW235" s="269"/>
      <c r="DGX235" s="269"/>
      <c r="DGY235" s="269"/>
      <c r="DGZ235" s="269"/>
      <c r="DHA235" s="269"/>
      <c r="DHB235" s="269"/>
      <c r="DHC235" s="269"/>
      <c r="DHD235" s="269"/>
      <c r="DHE235" s="269"/>
      <c r="DHF235" s="269"/>
      <c r="DHG235" s="269"/>
      <c r="DHH235" s="269"/>
      <c r="DHI235" s="269"/>
      <c r="DHJ235" s="269"/>
      <c r="DHK235" s="269"/>
      <c r="DHL235" s="269"/>
      <c r="DHM235" s="269"/>
      <c r="DHN235" s="269"/>
      <c r="DHO235" s="269"/>
      <c r="DHP235" s="269"/>
      <c r="DHQ235" s="269"/>
      <c r="DHR235" s="269"/>
      <c r="DHS235" s="269"/>
      <c r="DHT235" s="269"/>
      <c r="DHU235" s="269"/>
      <c r="DHV235" s="269"/>
      <c r="DHW235" s="269"/>
      <c r="DHX235" s="269"/>
      <c r="DHY235" s="269"/>
      <c r="DHZ235" s="269"/>
      <c r="DIA235" s="269"/>
      <c r="DIB235" s="269"/>
      <c r="DIC235" s="269"/>
      <c r="DID235" s="269"/>
      <c r="DIE235" s="269"/>
      <c r="DIF235" s="269"/>
      <c r="DIG235" s="269"/>
      <c r="DIH235" s="269"/>
      <c r="DII235" s="269"/>
      <c r="DIJ235" s="269"/>
      <c r="DIK235" s="269"/>
      <c r="DIL235" s="269"/>
      <c r="DIM235" s="269"/>
      <c r="DIN235" s="269"/>
      <c r="DIO235" s="269"/>
      <c r="DIP235" s="269"/>
      <c r="DIQ235" s="269"/>
      <c r="DIR235" s="269"/>
      <c r="DIS235" s="269"/>
      <c r="DIT235" s="269"/>
      <c r="DIU235" s="269"/>
      <c r="DIV235" s="269"/>
      <c r="DIW235" s="269"/>
      <c r="DIX235" s="269"/>
      <c r="DIY235" s="269"/>
      <c r="DIZ235" s="269"/>
      <c r="DJA235" s="269"/>
      <c r="DJB235" s="269"/>
      <c r="DJC235" s="269"/>
      <c r="DJD235" s="269"/>
      <c r="DJE235" s="269"/>
      <c r="DJF235" s="269"/>
      <c r="DJG235" s="269"/>
      <c r="DJH235" s="269"/>
      <c r="DJI235" s="269"/>
      <c r="DJJ235" s="269"/>
      <c r="DJK235" s="269"/>
      <c r="DJL235" s="269"/>
      <c r="DJM235" s="269"/>
      <c r="DJN235" s="269"/>
      <c r="DJO235" s="269"/>
      <c r="DJP235" s="269"/>
      <c r="DJQ235" s="269"/>
      <c r="DJR235" s="269"/>
      <c r="DJS235" s="269"/>
      <c r="DJT235" s="269"/>
      <c r="DJU235" s="269"/>
      <c r="DJV235" s="269"/>
      <c r="DJW235" s="269"/>
      <c r="DJX235" s="269"/>
      <c r="DJY235" s="269"/>
      <c r="DJZ235" s="269"/>
      <c r="DKA235" s="269"/>
      <c r="DKB235" s="269"/>
      <c r="DKC235" s="269"/>
      <c r="DKD235" s="269"/>
      <c r="DKE235" s="269"/>
      <c r="DKF235" s="269"/>
      <c r="DKG235" s="269"/>
      <c r="DKH235" s="269"/>
      <c r="DKI235" s="269"/>
      <c r="DKJ235" s="269"/>
      <c r="DKK235" s="269"/>
      <c r="DKL235" s="269"/>
      <c r="DKM235" s="269"/>
      <c r="DKN235" s="269"/>
      <c r="DKO235" s="269"/>
      <c r="DKP235" s="269"/>
      <c r="DKQ235" s="269"/>
      <c r="DKR235" s="269"/>
      <c r="DKS235" s="269"/>
      <c r="DKT235" s="269"/>
      <c r="DKU235" s="269"/>
      <c r="DKV235" s="269"/>
      <c r="DKW235" s="269"/>
      <c r="DKX235" s="269"/>
      <c r="DKY235" s="269"/>
      <c r="DKZ235" s="269"/>
      <c r="DLA235" s="269"/>
      <c r="DLB235" s="269"/>
      <c r="DLC235" s="269"/>
      <c r="DLD235" s="269"/>
      <c r="DLE235" s="269"/>
      <c r="DLF235" s="269"/>
      <c r="DLG235" s="269"/>
      <c r="DLH235" s="269"/>
      <c r="DLI235" s="269"/>
      <c r="DLJ235" s="269"/>
      <c r="DLK235" s="269"/>
      <c r="DLL235" s="269"/>
      <c r="DLM235" s="269"/>
      <c r="DLN235" s="269"/>
      <c r="DLO235" s="269"/>
      <c r="DLP235" s="269"/>
      <c r="DLQ235" s="269"/>
      <c r="DLR235" s="269"/>
      <c r="DLS235" s="269"/>
      <c r="DLT235" s="269"/>
      <c r="DLU235" s="269"/>
      <c r="DLV235" s="269"/>
      <c r="DLW235" s="269"/>
      <c r="DLX235" s="269"/>
      <c r="DLY235" s="269"/>
      <c r="DLZ235" s="269"/>
      <c r="DMA235" s="269"/>
      <c r="DMB235" s="269"/>
      <c r="DMC235" s="269"/>
      <c r="DMD235" s="269"/>
      <c r="DME235" s="269"/>
      <c r="DMF235" s="269"/>
      <c r="DMG235" s="269"/>
      <c r="DMH235" s="269"/>
      <c r="DMI235" s="269"/>
      <c r="DMJ235" s="269"/>
      <c r="DMK235" s="269"/>
      <c r="DML235" s="269"/>
      <c r="DMM235" s="269"/>
      <c r="DMN235" s="269"/>
      <c r="DMO235" s="269"/>
      <c r="DMP235" s="269"/>
      <c r="DMQ235" s="269"/>
      <c r="DMR235" s="269"/>
      <c r="DMS235" s="269"/>
      <c r="DMT235" s="269"/>
      <c r="DMU235" s="269"/>
      <c r="DMV235" s="269"/>
      <c r="DMW235" s="269"/>
      <c r="DMX235" s="269"/>
      <c r="DMY235" s="269"/>
      <c r="DMZ235" s="269"/>
      <c r="DNA235" s="269"/>
      <c r="DNB235" s="269"/>
      <c r="DNC235" s="269"/>
      <c r="DND235" s="269"/>
      <c r="DNE235" s="269"/>
      <c r="DNF235" s="269"/>
      <c r="DNG235" s="269"/>
      <c r="DNH235" s="269"/>
      <c r="DNI235" s="269"/>
      <c r="DNJ235" s="269"/>
      <c r="DNK235" s="269"/>
      <c r="DNL235" s="269"/>
      <c r="DNM235" s="269"/>
      <c r="DNN235" s="269"/>
      <c r="DNO235" s="269"/>
      <c r="DNP235" s="269"/>
      <c r="DNQ235" s="269"/>
      <c r="DNR235" s="269"/>
      <c r="DNS235" s="269"/>
      <c r="DNT235" s="269"/>
      <c r="DNU235" s="269"/>
      <c r="DNV235" s="269"/>
      <c r="DNW235" s="269"/>
      <c r="DNX235" s="269"/>
      <c r="DNY235" s="269"/>
      <c r="DNZ235" s="269"/>
      <c r="DOA235" s="269"/>
      <c r="DOB235" s="269"/>
      <c r="DOC235" s="269"/>
      <c r="DOD235" s="269"/>
      <c r="DOE235" s="269"/>
      <c r="DOF235" s="269"/>
      <c r="DOG235" s="269"/>
      <c r="DOH235" s="269"/>
      <c r="DOI235" s="269"/>
      <c r="DOJ235" s="269"/>
      <c r="DOK235" s="269"/>
      <c r="DOL235" s="269"/>
      <c r="DOM235" s="269"/>
      <c r="DON235" s="269"/>
      <c r="DOO235" s="269"/>
      <c r="DOP235" s="269"/>
      <c r="DOQ235" s="269"/>
      <c r="DOR235" s="269"/>
      <c r="DOS235" s="269"/>
      <c r="DOT235" s="269"/>
      <c r="DOU235" s="269"/>
      <c r="DOV235" s="269"/>
      <c r="DOW235" s="269"/>
      <c r="DOX235" s="269"/>
      <c r="DOY235" s="269"/>
      <c r="DOZ235" s="269"/>
      <c r="DPA235" s="269"/>
      <c r="DPB235" s="269"/>
      <c r="DPC235" s="269"/>
      <c r="DPD235" s="269"/>
      <c r="DPE235" s="269"/>
      <c r="DPF235" s="269"/>
      <c r="DPG235" s="269"/>
      <c r="DPH235" s="269"/>
      <c r="DPI235" s="269"/>
      <c r="DPJ235" s="269"/>
      <c r="DPK235" s="269"/>
      <c r="DPL235" s="269"/>
      <c r="DPM235" s="269"/>
      <c r="DPN235" s="269"/>
      <c r="DPO235" s="269"/>
      <c r="DPP235" s="269"/>
      <c r="DPQ235" s="269"/>
      <c r="DPR235" s="269"/>
      <c r="DPS235" s="269"/>
      <c r="DPT235" s="269"/>
      <c r="DPU235" s="269"/>
      <c r="DPV235" s="269"/>
      <c r="DPW235" s="269"/>
      <c r="DPX235" s="269"/>
      <c r="DPY235" s="269"/>
      <c r="DPZ235" s="269"/>
      <c r="DQA235" s="269"/>
      <c r="DQB235" s="269"/>
      <c r="DQC235" s="269"/>
      <c r="DQD235" s="269"/>
      <c r="DQE235" s="269"/>
      <c r="DQF235" s="269"/>
      <c r="DQG235" s="269"/>
      <c r="DQH235" s="269"/>
      <c r="DQI235" s="269"/>
      <c r="DQJ235" s="269"/>
      <c r="DQK235" s="269"/>
      <c r="DQL235" s="269"/>
      <c r="DQM235" s="269"/>
      <c r="DQN235" s="269"/>
      <c r="DQO235" s="269"/>
      <c r="DQP235" s="269"/>
      <c r="DQQ235" s="269"/>
      <c r="DQR235" s="269"/>
      <c r="DQS235" s="269"/>
      <c r="DQT235" s="269"/>
      <c r="DQU235" s="269"/>
      <c r="DQV235" s="269"/>
      <c r="DQW235" s="269"/>
      <c r="DQX235" s="269"/>
      <c r="DQY235" s="269"/>
      <c r="DQZ235" s="269"/>
      <c r="DRA235" s="269"/>
      <c r="DRB235" s="269"/>
      <c r="DRC235" s="269"/>
      <c r="DRD235" s="269"/>
      <c r="DRE235" s="269"/>
      <c r="DRF235" s="269"/>
      <c r="DRG235" s="269"/>
      <c r="DRH235" s="269"/>
      <c r="DRI235" s="269"/>
      <c r="DRJ235" s="269"/>
      <c r="DRK235" s="269"/>
      <c r="DRL235" s="269"/>
      <c r="DRM235" s="269"/>
      <c r="DRN235" s="269"/>
      <c r="DRO235" s="269"/>
      <c r="DRP235" s="269"/>
      <c r="DRQ235" s="269"/>
      <c r="DRR235" s="269"/>
      <c r="DRS235" s="269"/>
      <c r="DRT235" s="269"/>
      <c r="DRU235" s="269"/>
      <c r="DRV235" s="269"/>
      <c r="DRW235" s="269"/>
      <c r="DRX235" s="269"/>
      <c r="DRY235" s="269"/>
      <c r="DRZ235" s="269"/>
      <c r="DSA235" s="269"/>
      <c r="DSB235" s="269"/>
      <c r="DSC235" s="269"/>
      <c r="DSD235" s="269"/>
      <c r="DSE235" s="269"/>
      <c r="DSF235" s="269"/>
      <c r="DSG235" s="269"/>
      <c r="DSH235" s="269"/>
      <c r="DSI235" s="269"/>
      <c r="DSJ235" s="269"/>
      <c r="DSK235" s="269"/>
      <c r="DSL235" s="269"/>
      <c r="DSM235" s="269"/>
      <c r="DSN235" s="269"/>
      <c r="DSO235" s="269"/>
      <c r="DSP235" s="269"/>
      <c r="DSQ235" s="269"/>
      <c r="DSR235" s="269"/>
      <c r="DSS235" s="269"/>
      <c r="DST235" s="269"/>
      <c r="DSU235" s="269"/>
      <c r="DSV235" s="269"/>
      <c r="DSW235" s="269"/>
      <c r="DSX235" s="269"/>
      <c r="DSY235" s="269"/>
      <c r="DSZ235" s="269"/>
      <c r="DTA235" s="269"/>
      <c r="DTB235" s="269"/>
      <c r="DTC235" s="269"/>
      <c r="DTD235" s="269"/>
      <c r="DTE235" s="269"/>
      <c r="DTF235" s="269"/>
      <c r="DTG235" s="269"/>
      <c r="DTH235" s="269"/>
      <c r="DTI235" s="269"/>
      <c r="DTJ235" s="269"/>
      <c r="DTK235" s="269"/>
      <c r="DTL235" s="269"/>
      <c r="DTM235" s="269"/>
      <c r="DTN235" s="269"/>
      <c r="DTO235" s="269"/>
      <c r="DTP235" s="269"/>
      <c r="DTQ235" s="269"/>
      <c r="DTR235" s="269"/>
      <c r="DTS235" s="269"/>
      <c r="DTT235" s="269"/>
      <c r="DTU235" s="269"/>
      <c r="DTV235" s="269"/>
      <c r="DTW235" s="269"/>
      <c r="DTX235" s="269"/>
      <c r="DTY235" s="269"/>
      <c r="DTZ235" s="269"/>
      <c r="DUA235" s="269"/>
      <c r="DUB235" s="269"/>
      <c r="DUC235" s="269"/>
      <c r="DUD235" s="269"/>
      <c r="DUE235" s="269"/>
      <c r="DUF235" s="269"/>
      <c r="DUG235" s="269"/>
      <c r="DUH235" s="269"/>
      <c r="DUI235" s="269"/>
      <c r="DUJ235" s="269"/>
      <c r="DUK235" s="269"/>
      <c r="DUL235" s="269"/>
      <c r="DUM235" s="269"/>
      <c r="DUN235" s="269"/>
      <c r="DUO235" s="269"/>
      <c r="DUP235" s="269"/>
      <c r="DUQ235" s="269"/>
      <c r="DUR235" s="269"/>
      <c r="DUS235" s="269"/>
      <c r="DUT235" s="269"/>
      <c r="DUU235" s="269"/>
      <c r="DUV235" s="269"/>
      <c r="DUW235" s="269"/>
      <c r="DUX235" s="269"/>
      <c r="DUY235" s="269"/>
      <c r="DUZ235" s="269"/>
      <c r="DVA235" s="269"/>
      <c r="DVB235" s="269"/>
      <c r="DVC235" s="269"/>
      <c r="DVD235" s="269"/>
      <c r="DVE235" s="269"/>
      <c r="DVF235" s="269"/>
      <c r="DVG235" s="269"/>
      <c r="DVH235" s="269"/>
      <c r="DVI235" s="269"/>
      <c r="DVJ235" s="269"/>
      <c r="DVK235" s="269"/>
      <c r="DVL235" s="269"/>
      <c r="DVM235" s="269"/>
      <c r="DVN235" s="269"/>
      <c r="DVO235" s="269"/>
      <c r="DVP235" s="269"/>
      <c r="DVQ235" s="269"/>
      <c r="DVR235" s="269"/>
      <c r="DVS235" s="269"/>
      <c r="DVT235" s="269"/>
      <c r="DVU235" s="269"/>
      <c r="DVV235" s="269"/>
      <c r="DVW235" s="269"/>
      <c r="DVX235" s="269"/>
      <c r="DVY235" s="269"/>
      <c r="DVZ235" s="269"/>
      <c r="DWA235" s="269"/>
      <c r="DWB235" s="269"/>
      <c r="DWC235" s="269"/>
      <c r="DWD235" s="269"/>
      <c r="DWE235" s="269"/>
      <c r="DWF235" s="269"/>
      <c r="DWG235" s="269"/>
      <c r="DWH235" s="269"/>
      <c r="DWI235" s="269"/>
      <c r="DWJ235" s="269"/>
      <c r="DWK235" s="269"/>
      <c r="DWL235" s="269"/>
      <c r="DWM235" s="269"/>
      <c r="DWN235" s="269"/>
      <c r="DWO235" s="269"/>
      <c r="DWP235" s="269"/>
      <c r="DWQ235" s="269"/>
      <c r="DWR235" s="269"/>
      <c r="DWS235" s="269"/>
      <c r="DWT235" s="269"/>
      <c r="DWU235" s="269"/>
      <c r="DWV235" s="269"/>
      <c r="DWW235" s="269"/>
      <c r="DWX235" s="269"/>
      <c r="DWY235" s="269"/>
      <c r="DWZ235" s="269"/>
      <c r="DXA235" s="269"/>
      <c r="DXB235" s="269"/>
      <c r="DXC235" s="269"/>
      <c r="DXD235" s="269"/>
      <c r="DXE235" s="269"/>
      <c r="DXF235" s="269"/>
      <c r="DXG235" s="269"/>
      <c r="DXH235" s="269"/>
      <c r="DXI235" s="269"/>
      <c r="DXJ235" s="269"/>
      <c r="DXK235" s="269"/>
      <c r="DXL235" s="269"/>
      <c r="DXM235" s="269"/>
      <c r="DXN235" s="269"/>
      <c r="DXO235" s="269"/>
      <c r="DXP235" s="269"/>
      <c r="DXQ235" s="269"/>
      <c r="DXR235" s="269"/>
      <c r="DXS235" s="269"/>
      <c r="DXT235" s="269"/>
      <c r="DXU235" s="269"/>
      <c r="DXV235" s="269"/>
      <c r="DXW235" s="269"/>
      <c r="DXX235" s="269"/>
      <c r="DXY235" s="269"/>
      <c r="DXZ235" s="269"/>
      <c r="DYA235" s="269"/>
      <c r="DYB235" s="269"/>
      <c r="DYC235" s="269"/>
      <c r="DYD235" s="269"/>
      <c r="DYE235" s="269"/>
      <c r="DYF235" s="269"/>
      <c r="DYG235" s="269"/>
      <c r="DYH235" s="269"/>
      <c r="DYI235" s="269"/>
      <c r="DYJ235" s="269"/>
      <c r="DYK235" s="269"/>
      <c r="DYL235" s="269"/>
      <c r="DYM235" s="269"/>
      <c r="DYN235" s="269"/>
      <c r="DYO235" s="269"/>
      <c r="DYP235" s="269"/>
      <c r="DYQ235" s="269"/>
      <c r="DYR235" s="269"/>
      <c r="DYS235" s="269"/>
      <c r="DYT235" s="269"/>
      <c r="DYU235" s="269"/>
      <c r="DYV235" s="269"/>
      <c r="DYW235" s="269"/>
      <c r="DYX235" s="269"/>
      <c r="DYY235" s="269"/>
      <c r="DYZ235" s="269"/>
      <c r="DZA235" s="269"/>
      <c r="DZB235" s="269"/>
      <c r="DZC235" s="269"/>
      <c r="DZD235" s="269"/>
      <c r="DZE235" s="269"/>
      <c r="DZF235" s="269"/>
      <c r="DZG235" s="269"/>
      <c r="DZH235" s="269"/>
      <c r="DZI235" s="269"/>
      <c r="DZJ235" s="269"/>
      <c r="DZK235" s="269"/>
      <c r="DZL235" s="269"/>
      <c r="DZM235" s="269"/>
      <c r="DZN235" s="269"/>
      <c r="DZO235" s="269"/>
      <c r="DZP235" s="269"/>
      <c r="DZQ235" s="269"/>
      <c r="DZR235" s="269"/>
      <c r="DZS235" s="269"/>
      <c r="DZT235" s="269"/>
      <c r="DZU235" s="269"/>
      <c r="DZV235" s="269"/>
      <c r="DZW235" s="269"/>
      <c r="DZX235" s="269"/>
      <c r="DZY235" s="269"/>
      <c r="DZZ235" s="269"/>
      <c r="EAA235" s="269"/>
      <c r="EAB235" s="269"/>
      <c r="EAC235" s="269"/>
      <c r="EAD235" s="269"/>
      <c r="EAE235" s="269"/>
      <c r="EAF235" s="269"/>
      <c r="EAG235" s="269"/>
      <c r="EAH235" s="269"/>
      <c r="EAI235" s="269"/>
      <c r="EAJ235" s="269"/>
      <c r="EAK235" s="269"/>
      <c r="EAL235" s="269"/>
      <c r="EAM235" s="269"/>
      <c r="EAN235" s="269"/>
      <c r="EAO235" s="269"/>
      <c r="EAP235" s="269"/>
      <c r="EAQ235" s="269"/>
      <c r="EAR235" s="269"/>
      <c r="EAS235" s="269"/>
      <c r="EAT235" s="269"/>
      <c r="EAU235" s="269"/>
      <c r="EAV235" s="269"/>
      <c r="EAW235" s="269"/>
      <c r="EAX235" s="269"/>
      <c r="EAY235" s="269"/>
      <c r="EAZ235" s="269"/>
      <c r="EBA235" s="269"/>
      <c r="EBB235" s="269"/>
      <c r="EBC235" s="269"/>
      <c r="EBD235" s="269"/>
      <c r="EBE235" s="269"/>
      <c r="EBF235" s="269"/>
      <c r="EBG235" s="269"/>
      <c r="EBH235" s="269"/>
      <c r="EBI235" s="269"/>
      <c r="EBJ235" s="269"/>
      <c r="EBK235" s="269"/>
      <c r="EBL235" s="269"/>
      <c r="EBM235" s="269"/>
      <c r="EBN235" s="269"/>
      <c r="EBO235" s="269"/>
      <c r="EBP235" s="269"/>
      <c r="EBQ235" s="269"/>
      <c r="EBR235" s="269"/>
      <c r="EBS235" s="269"/>
      <c r="EBT235" s="269"/>
      <c r="EBU235" s="269"/>
      <c r="EBV235" s="269"/>
      <c r="EBW235" s="269"/>
      <c r="EBX235" s="269"/>
      <c r="EBY235" s="269"/>
      <c r="EBZ235" s="269"/>
      <c r="ECA235" s="269"/>
      <c r="ECB235" s="269"/>
      <c r="ECC235" s="269"/>
      <c r="ECD235" s="269"/>
      <c r="ECE235" s="269"/>
      <c r="ECF235" s="269"/>
      <c r="ECG235" s="269"/>
      <c r="ECH235" s="269"/>
      <c r="ECI235" s="269"/>
      <c r="ECJ235" s="269"/>
      <c r="ECK235" s="269"/>
      <c r="ECL235" s="269"/>
      <c r="ECM235" s="269"/>
      <c r="ECN235" s="269"/>
      <c r="ECO235" s="269"/>
      <c r="ECP235" s="269"/>
      <c r="ECQ235" s="269"/>
      <c r="ECR235" s="269"/>
      <c r="ECS235" s="269"/>
      <c r="ECT235" s="269"/>
      <c r="ECU235" s="269"/>
      <c r="ECV235" s="269"/>
      <c r="ECW235" s="269"/>
      <c r="ECX235" s="269"/>
      <c r="ECY235" s="269"/>
      <c r="ECZ235" s="269"/>
      <c r="EDA235" s="269"/>
      <c r="EDB235" s="269"/>
      <c r="EDC235" s="269"/>
      <c r="EDD235" s="269"/>
      <c r="EDE235" s="269"/>
      <c r="EDF235" s="269"/>
      <c r="EDG235" s="269"/>
      <c r="EDH235" s="269"/>
      <c r="EDI235" s="269"/>
      <c r="EDJ235" s="269"/>
      <c r="EDK235" s="269"/>
      <c r="EDL235" s="269"/>
      <c r="EDM235" s="269"/>
      <c r="EDN235" s="269"/>
      <c r="EDO235" s="269"/>
      <c r="EDP235" s="269"/>
      <c r="EDQ235" s="269"/>
      <c r="EDR235" s="269"/>
      <c r="EDS235" s="269"/>
      <c r="EDT235" s="269"/>
      <c r="EDU235" s="269"/>
      <c r="EDV235" s="269"/>
      <c r="EDW235" s="269"/>
      <c r="EDX235" s="269"/>
      <c r="EDY235" s="269"/>
      <c r="EDZ235" s="269"/>
      <c r="EEA235" s="269"/>
      <c r="EEB235" s="269"/>
      <c r="EEC235" s="269"/>
      <c r="EED235" s="269"/>
      <c r="EEE235" s="269"/>
      <c r="EEF235" s="269"/>
      <c r="EEG235" s="269"/>
      <c r="EEH235" s="269"/>
      <c r="EEI235" s="269"/>
      <c r="EEJ235" s="269"/>
      <c r="EEK235" s="269"/>
      <c r="EEL235" s="269"/>
      <c r="EEM235" s="269"/>
      <c r="EEN235" s="269"/>
      <c r="EEO235" s="269"/>
      <c r="EEP235" s="269"/>
      <c r="EEQ235" s="269"/>
      <c r="EER235" s="269"/>
      <c r="EES235" s="269"/>
      <c r="EET235" s="269"/>
      <c r="EEU235" s="269"/>
      <c r="EEV235" s="269"/>
      <c r="EEW235" s="269"/>
      <c r="EEX235" s="269"/>
      <c r="EEY235" s="269"/>
      <c r="EEZ235" s="269"/>
      <c r="EFA235" s="269"/>
      <c r="EFB235" s="269"/>
      <c r="EFC235" s="269"/>
      <c r="EFD235" s="269"/>
      <c r="EFE235" s="269"/>
      <c r="EFF235" s="269"/>
      <c r="EFG235" s="269"/>
      <c r="EFH235" s="269"/>
      <c r="EFI235" s="269"/>
      <c r="EFJ235" s="269"/>
      <c r="EFK235" s="269"/>
      <c r="EFL235" s="269"/>
      <c r="EFM235" s="269"/>
      <c r="EFN235" s="269"/>
      <c r="EFO235" s="269"/>
      <c r="EFP235" s="269"/>
      <c r="EFQ235" s="269"/>
      <c r="EFR235" s="269"/>
      <c r="EFS235" s="269"/>
      <c r="EFT235" s="269"/>
      <c r="EFU235" s="269"/>
      <c r="EFV235" s="269"/>
      <c r="EFW235" s="269"/>
      <c r="EFX235" s="269"/>
      <c r="EFY235" s="269"/>
      <c r="EFZ235" s="269"/>
      <c r="EGA235" s="269"/>
      <c r="EGB235" s="269"/>
      <c r="EGC235" s="269"/>
      <c r="EGD235" s="269"/>
      <c r="EGE235" s="269"/>
      <c r="EGF235" s="269"/>
      <c r="EGG235" s="269"/>
      <c r="EGH235" s="269"/>
      <c r="EGI235" s="269"/>
      <c r="EGJ235" s="269"/>
      <c r="EGK235" s="269"/>
      <c r="EGL235" s="269"/>
      <c r="EGM235" s="269"/>
      <c r="EGN235" s="269"/>
      <c r="EGO235" s="269"/>
      <c r="EGP235" s="269"/>
      <c r="EGQ235" s="269"/>
      <c r="EGR235" s="269"/>
      <c r="EGS235" s="269"/>
      <c r="EGT235" s="269"/>
      <c r="EGU235" s="269"/>
      <c r="EGV235" s="269"/>
      <c r="EGW235" s="269"/>
      <c r="EGX235" s="269"/>
      <c r="EGY235" s="269"/>
      <c r="EGZ235" s="269"/>
      <c r="EHA235" s="269"/>
      <c r="EHB235" s="269"/>
      <c r="EHC235" s="269"/>
      <c r="EHD235" s="269"/>
      <c r="EHE235" s="269"/>
      <c r="EHF235" s="269"/>
      <c r="EHG235" s="269"/>
      <c r="EHH235" s="269"/>
      <c r="EHI235" s="269"/>
      <c r="EHJ235" s="269"/>
      <c r="EHK235" s="269"/>
      <c r="EHL235" s="269"/>
      <c r="EHM235" s="269"/>
      <c r="EHN235" s="269"/>
      <c r="EHO235" s="269"/>
      <c r="EHP235" s="269"/>
      <c r="EHQ235" s="269"/>
      <c r="EHR235" s="269"/>
      <c r="EHS235" s="269"/>
      <c r="EHT235" s="269"/>
      <c r="EHU235" s="269"/>
      <c r="EHV235" s="269"/>
      <c r="EHW235" s="269"/>
      <c r="EHX235" s="269"/>
      <c r="EHY235" s="269"/>
      <c r="EHZ235" s="269"/>
      <c r="EIA235" s="269"/>
      <c r="EIB235" s="269"/>
      <c r="EIC235" s="269"/>
      <c r="EID235" s="269"/>
      <c r="EIE235" s="269"/>
      <c r="EIF235" s="269"/>
      <c r="EIG235" s="269"/>
      <c r="EIH235" s="269"/>
      <c r="EII235" s="269"/>
      <c r="EIJ235" s="269"/>
      <c r="EIK235" s="269"/>
      <c r="EIL235" s="269"/>
      <c r="EIM235" s="269"/>
      <c r="EIN235" s="269"/>
      <c r="EIO235" s="269"/>
      <c r="EIP235" s="269"/>
      <c r="EIQ235" s="269"/>
      <c r="EIR235" s="269"/>
      <c r="EIS235" s="269"/>
      <c r="EIT235" s="269"/>
      <c r="EIU235" s="269"/>
      <c r="EIV235" s="269"/>
      <c r="EIW235" s="269"/>
      <c r="EIX235" s="269"/>
      <c r="EIY235" s="269"/>
      <c r="EIZ235" s="269"/>
      <c r="EJA235" s="269"/>
      <c r="EJB235" s="269"/>
      <c r="EJC235" s="269"/>
      <c r="EJD235" s="269"/>
      <c r="EJE235" s="269"/>
      <c r="EJF235" s="269"/>
      <c r="EJG235" s="269"/>
      <c r="EJH235" s="269"/>
      <c r="EJI235" s="269"/>
      <c r="EJJ235" s="269"/>
      <c r="EJK235" s="269"/>
      <c r="EJL235" s="269"/>
      <c r="EJM235" s="269"/>
      <c r="EJN235" s="269"/>
      <c r="EJO235" s="269"/>
      <c r="EJP235" s="269"/>
      <c r="EJQ235" s="269"/>
      <c r="EJR235" s="269"/>
      <c r="EJS235" s="269"/>
      <c r="EJT235" s="269"/>
      <c r="EJU235" s="269"/>
      <c r="EJV235" s="269"/>
      <c r="EJW235" s="269"/>
      <c r="EJX235" s="269"/>
      <c r="EJY235" s="269"/>
      <c r="EJZ235" s="269"/>
      <c r="EKA235" s="269"/>
      <c r="EKB235" s="269"/>
      <c r="EKC235" s="269"/>
      <c r="EKD235" s="269"/>
      <c r="EKE235" s="269"/>
      <c r="EKF235" s="269"/>
      <c r="EKG235" s="269"/>
      <c r="EKH235" s="269"/>
      <c r="EKI235" s="269"/>
      <c r="EKJ235" s="269"/>
      <c r="EKK235" s="269"/>
      <c r="EKL235" s="269"/>
      <c r="EKM235" s="269"/>
      <c r="EKN235" s="269"/>
      <c r="EKO235" s="269"/>
      <c r="EKP235" s="269"/>
      <c r="EKQ235" s="269"/>
      <c r="EKR235" s="269"/>
      <c r="EKS235" s="269"/>
      <c r="EKT235" s="269"/>
      <c r="EKU235" s="269"/>
      <c r="EKV235" s="269"/>
      <c r="EKW235" s="269"/>
      <c r="EKX235" s="269"/>
      <c r="EKY235" s="269"/>
      <c r="EKZ235" s="269"/>
      <c r="ELA235" s="269"/>
      <c r="ELB235" s="269"/>
      <c r="ELC235" s="269"/>
      <c r="ELD235" s="269"/>
      <c r="ELE235" s="269"/>
      <c r="ELF235" s="269"/>
      <c r="ELG235" s="269"/>
      <c r="ELH235" s="269"/>
      <c r="ELI235" s="269"/>
      <c r="ELJ235" s="269"/>
      <c r="ELK235" s="269"/>
      <c r="ELL235" s="269"/>
      <c r="ELM235" s="269"/>
      <c r="ELN235" s="269"/>
      <c r="ELO235" s="269"/>
      <c r="ELP235" s="269"/>
      <c r="ELQ235" s="269"/>
      <c r="ELR235" s="269"/>
      <c r="ELS235" s="269"/>
      <c r="ELT235" s="269"/>
      <c r="ELU235" s="269"/>
      <c r="ELV235" s="269"/>
      <c r="ELW235" s="269"/>
      <c r="ELX235" s="269"/>
      <c r="ELY235" s="269"/>
      <c r="ELZ235" s="269"/>
      <c r="EMA235" s="269"/>
      <c r="EMB235" s="269"/>
      <c r="EMC235" s="269"/>
      <c r="EMD235" s="269"/>
      <c r="EME235" s="269"/>
      <c r="EMF235" s="269"/>
      <c r="EMG235" s="269"/>
      <c r="EMH235" s="269"/>
      <c r="EMI235" s="269"/>
      <c r="EMJ235" s="269"/>
      <c r="EMK235" s="269"/>
      <c r="EML235" s="269"/>
      <c r="EMM235" s="269"/>
      <c r="EMN235" s="269"/>
      <c r="EMO235" s="269"/>
      <c r="EMP235" s="269"/>
      <c r="EMQ235" s="269"/>
      <c r="EMR235" s="269"/>
      <c r="EMS235" s="269"/>
      <c r="EMT235" s="269"/>
      <c r="EMU235" s="269"/>
      <c r="EMV235" s="269"/>
      <c r="EMW235" s="269"/>
      <c r="EMX235" s="269"/>
      <c r="EMY235" s="269"/>
      <c r="EMZ235" s="269"/>
      <c r="ENA235" s="269"/>
      <c r="ENB235" s="269"/>
      <c r="ENC235" s="269"/>
      <c r="END235" s="269"/>
      <c r="ENE235" s="269"/>
      <c r="ENF235" s="269"/>
      <c r="ENG235" s="269"/>
      <c r="ENH235" s="269"/>
      <c r="ENI235" s="269"/>
      <c r="ENJ235" s="269"/>
      <c r="ENK235" s="269"/>
      <c r="ENL235" s="269"/>
      <c r="ENM235" s="269"/>
      <c r="ENN235" s="269"/>
      <c r="ENO235" s="269"/>
      <c r="ENP235" s="269"/>
      <c r="ENQ235" s="269"/>
      <c r="ENR235" s="269"/>
      <c r="ENS235" s="269"/>
      <c r="ENT235" s="269"/>
      <c r="ENU235" s="269"/>
      <c r="ENV235" s="269"/>
      <c r="ENW235" s="269"/>
      <c r="ENX235" s="269"/>
      <c r="ENY235" s="269"/>
      <c r="ENZ235" s="269"/>
      <c r="EOA235" s="269"/>
      <c r="EOB235" s="269"/>
      <c r="EOC235" s="269"/>
      <c r="EOD235" s="269"/>
      <c r="EOE235" s="269"/>
      <c r="EOF235" s="269"/>
      <c r="EOG235" s="269"/>
      <c r="EOH235" s="269"/>
      <c r="EOI235" s="269"/>
      <c r="EOJ235" s="269"/>
      <c r="EOK235" s="269"/>
      <c r="EOL235" s="269"/>
      <c r="EOM235" s="269"/>
      <c r="EON235" s="269"/>
      <c r="EOO235" s="269"/>
      <c r="EOP235" s="269"/>
      <c r="EOQ235" s="269"/>
      <c r="EOR235" s="269"/>
      <c r="EOS235" s="269"/>
      <c r="EOT235" s="269"/>
      <c r="EOU235" s="269"/>
      <c r="EOV235" s="269"/>
      <c r="EOW235" s="269"/>
      <c r="EOX235" s="269"/>
      <c r="EOY235" s="269"/>
      <c r="EOZ235" s="269"/>
      <c r="EPA235" s="269"/>
      <c r="EPB235" s="269"/>
      <c r="EPC235" s="269"/>
      <c r="EPD235" s="269"/>
      <c r="EPE235" s="269"/>
      <c r="EPF235" s="269"/>
      <c r="EPG235" s="269"/>
      <c r="EPH235" s="269"/>
      <c r="EPI235" s="269"/>
      <c r="EPJ235" s="269"/>
      <c r="EPK235" s="269"/>
      <c r="EPL235" s="269"/>
      <c r="EPM235" s="269"/>
      <c r="EPN235" s="269"/>
      <c r="EPO235" s="269"/>
      <c r="EPP235" s="269"/>
      <c r="EPQ235" s="269"/>
      <c r="EPR235" s="269"/>
      <c r="EPS235" s="269"/>
      <c r="EPT235" s="269"/>
      <c r="EPU235" s="269"/>
      <c r="EPV235" s="269"/>
      <c r="EPW235" s="269"/>
      <c r="EPX235" s="269"/>
      <c r="EPY235" s="269"/>
      <c r="EPZ235" s="269"/>
      <c r="EQA235" s="269"/>
      <c r="EQB235" s="269"/>
      <c r="EQC235" s="269"/>
      <c r="EQD235" s="269"/>
      <c r="EQE235" s="269"/>
      <c r="EQF235" s="269"/>
      <c r="EQG235" s="269"/>
      <c r="EQH235" s="269"/>
      <c r="EQI235" s="269"/>
      <c r="EQJ235" s="269"/>
      <c r="EQK235" s="269"/>
      <c r="EQL235" s="269"/>
      <c r="EQM235" s="269"/>
      <c r="EQN235" s="269"/>
      <c r="EQO235" s="269"/>
      <c r="EQP235" s="269"/>
      <c r="EQQ235" s="269"/>
      <c r="EQR235" s="269"/>
      <c r="EQS235" s="269"/>
      <c r="EQT235" s="269"/>
      <c r="EQU235" s="269"/>
      <c r="EQV235" s="269"/>
      <c r="EQW235" s="269"/>
      <c r="EQX235" s="269"/>
      <c r="EQY235" s="269"/>
      <c r="EQZ235" s="269"/>
      <c r="ERA235" s="269"/>
      <c r="ERB235" s="269"/>
      <c r="ERC235" s="269"/>
      <c r="ERD235" s="269"/>
      <c r="ERE235" s="269"/>
      <c r="ERF235" s="269"/>
      <c r="ERG235" s="269"/>
      <c r="ERH235" s="269"/>
      <c r="ERI235" s="269"/>
      <c r="ERJ235" s="269"/>
      <c r="ERK235" s="269"/>
      <c r="ERL235" s="269"/>
      <c r="ERM235" s="269"/>
      <c r="ERN235" s="269"/>
      <c r="ERO235" s="269"/>
      <c r="ERP235" s="269"/>
      <c r="ERQ235" s="269"/>
      <c r="ERR235" s="269"/>
      <c r="ERS235" s="269"/>
      <c r="ERT235" s="269"/>
      <c r="ERU235" s="269"/>
      <c r="ERV235" s="269"/>
      <c r="ERW235" s="269"/>
      <c r="ERX235" s="269"/>
      <c r="ERY235" s="269"/>
      <c r="ERZ235" s="269"/>
      <c r="ESA235" s="269"/>
      <c r="ESB235" s="269"/>
      <c r="ESC235" s="269"/>
      <c r="ESD235" s="269"/>
      <c r="ESE235" s="269"/>
      <c r="ESF235" s="269"/>
      <c r="ESG235" s="269"/>
      <c r="ESH235" s="269"/>
      <c r="ESI235" s="269"/>
      <c r="ESJ235" s="269"/>
      <c r="ESK235" s="269"/>
      <c r="ESL235" s="269"/>
      <c r="ESM235" s="269"/>
      <c r="ESN235" s="269"/>
      <c r="ESO235" s="269"/>
      <c r="ESP235" s="269"/>
      <c r="ESQ235" s="269"/>
      <c r="ESR235" s="269"/>
      <c r="ESS235" s="269"/>
      <c r="EST235" s="269"/>
      <c r="ESU235" s="269"/>
      <c r="ESV235" s="269"/>
      <c r="ESW235" s="269"/>
      <c r="ESX235" s="269"/>
      <c r="ESY235" s="269"/>
      <c r="ESZ235" s="269"/>
      <c r="ETA235" s="269"/>
      <c r="ETB235" s="269"/>
      <c r="ETC235" s="269"/>
      <c r="ETD235" s="269"/>
      <c r="ETE235" s="269"/>
      <c r="ETF235" s="269"/>
      <c r="ETG235" s="269"/>
      <c r="ETH235" s="269"/>
      <c r="ETI235" s="269"/>
      <c r="ETJ235" s="269"/>
      <c r="ETK235" s="269"/>
      <c r="ETL235" s="269"/>
      <c r="ETM235" s="269"/>
      <c r="ETN235" s="269"/>
      <c r="ETO235" s="269"/>
      <c r="ETP235" s="269"/>
      <c r="ETQ235" s="269"/>
      <c r="ETR235" s="269"/>
      <c r="ETS235" s="269"/>
      <c r="ETT235" s="269"/>
      <c r="ETU235" s="269"/>
      <c r="ETV235" s="269"/>
      <c r="ETW235" s="269"/>
      <c r="ETX235" s="269"/>
      <c r="ETY235" s="269"/>
      <c r="ETZ235" s="269"/>
      <c r="EUA235" s="269"/>
      <c r="EUB235" s="269"/>
      <c r="EUC235" s="269"/>
      <c r="EUD235" s="269"/>
      <c r="EUE235" s="269"/>
      <c r="EUF235" s="269"/>
      <c r="EUG235" s="269"/>
      <c r="EUH235" s="269"/>
      <c r="EUI235" s="269"/>
      <c r="EUJ235" s="269"/>
      <c r="EUK235" s="269"/>
      <c r="EUL235" s="269"/>
      <c r="EUM235" s="269"/>
      <c r="EUN235" s="269"/>
      <c r="EUO235" s="269"/>
      <c r="EUP235" s="269"/>
      <c r="EUQ235" s="269"/>
      <c r="EUR235" s="269"/>
      <c r="EUS235" s="269"/>
      <c r="EUT235" s="269"/>
      <c r="EUU235" s="269"/>
      <c r="EUV235" s="269"/>
      <c r="EUW235" s="269"/>
      <c r="EUX235" s="269"/>
      <c r="EUY235" s="269"/>
      <c r="EUZ235" s="269"/>
      <c r="EVA235" s="269"/>
      <c r="EVB235" s="269"/>
      <c r="EVC235" s="269"/>
      <c r="EVD235" s="269"/>
      <c r="EVE235" s="269"/>
      <c r="EVF235" s="269"/>
      <c r="EVG235" s="269"/>
      <c r="EVH235" s="269"/>
      <c r="EVI235" s="269"/>
      <c r="EVJ235" s="269"/>
      <c r="EVK235" s="269"/>
      <c r="EVL235" s="269"/>
      <c r="EVM235" s="269"/>
      <c r="EVN235" s="269"/>
      <c r="EVO235" s="269"/>
      <c r="EVP235" s="269"/>
      <c r="EVQ235" s="269"/>
      <c r="EVR235" s="269"/>
      <c r="EVS235" s="269"/>
      <c r="EVT235" s="269"/>
      <c r="EVU235" s="269"/>
      <c r="EVV235" s="269"/>
      <c r="EVW235" s="269"/>
      <c r="EVX235" s="269"/>
      <c r="EVY235" s="269"/>
      <c r="EVZ235" s="269"/>
      <c r="EWA235" s="269"/>
      <c r="EWB235" s="269"/>
      <c r="EWC235" s="269"/>
      <c r="EWD235" s="269"/>
      <c r="EWE235" s="269"/>
      <c r="EWF235" s="269"/>
      <c r="EWG235" s="269"/>
      <c r="EWH235" s="269"/>
      <c r="EWI235" s="269"/>
      <c r="EWJ235" s="269"/>
      <c r="EWK235" s="269"/>
      <c r="EWL235" s="269"/>
      <c r="EWM235" s="269"/>
      <c r="EWN235" s="269"/>
      <c r="EWO235" s="269"/>
      <c r="EWP235" s="269"/>
      <c r="EWQ235" s="269"/>
      <c r="EWR235" s="269"/>
      <c r="EWS235" s="269"/>
      <c r="EWT235" s="269"/>
      <c r="EWU235" s="269"/>
      <c r="EWV235" s="269"/>
      <c r="EWW235" s="269"/>
      <c r="EWX235" s="269"/>
      <c r="EWY235" s="269"/>
      <c r="EWZ235" s="269"/>
      <c r="EXA235" s="269"/>
      <c r="EXB235" s="269"/>
      <c r="EXC235" s="269"/>
      <c r="EXD235" s="269"/>
      <c r="EXE235" s="269"/>
      <c r="EXF235" s="269"/>
      <c r="EXG235" s="269"/>
      <c r="EXH235" s="269"/>
      <c r="EXI235" s="269"/>
      <c r="EXJ235" s="269"/>
      <c r="EXK235" s="269"/>
      <c r="EXL235" s="269"/>
      <c r="EXM235" s="269"/>
      <c r="EXN235" s="269"/>
      <c r="EXO235" s="269"/>
      <c r="EXP235" s="269"/>
      <c r="EXQ235" s="269"/>
      <c r="EXR235" s="269"/>
      <c r="EXS235" s="269"/>
      <c r="EXT235" s="269"/>
      <c r="EXU235" s="269"/>
      <c r="EXV235" s="269"/>
      <c r="EXW235" s="269"/>
      <c r="EXX235" s="269"/>
      <c r="EXY235" s="269"/>
      <c r="EXZ235" s="269"/>
      <c r="EYA235" s="269"/>
      <c r="EYB235" s="269"/>
      <c r="EYC235" s="269"/>
      <c r="EYD235" s="269"/>
      <c r="EYE235" s="269"/>
      <c r="EYF235" s="269"/>
      <c r="EYG235" s="269"/>
      <c r="EYH235" s="269"/>
      <c r="EYI235" s="269"/>
      <c r="EYJ235" s="269"/>
      <c r="EYK235" s="269"/>
      <c r="EYL235" s="269"/>
      <c r="EYM235" s="269"/>
      <c r="EYN235" s="269"/>
      <c r="EYO235" s="269"/>
      <c r="EYP235" s="269"/>
      <c r="EYQ235" s="269"/>
      <c r="EYR235" s="269"/>
      <c r="EYS235" s="269"/>
      <c r="EYT235" s="269"/>
      <c r="EYU235" s="269"/>
      <c r="EYV235" s="269"/>
      <c r="EYW235" s="269"/>
      <c r="EYX235" s="269"/>
      <c r="EYY235" s="269"/>
      <c r="EYZ235" s="269"/>
      <c r="EZA235" s="269"/>
      <c r="EZB235" s="269"/>
      <c r="EZC235" s="269"/>
      <c r="EZD235" s="269"/>
      <c r="EZE235" s="269"/>
      <c r="EZF235" s="269"/>
      <c r="EZG235" s="269"/>
      <c r="EZH235" s="269"/>
      <c r="EZI235" s="269"/>
      <c r="EZJ235" s="269"/>
      <c r="EZK235" s="269"/>
      <c r="EZL235" s="269"/>
      <c r="EZM235" s="269"/>
      <c r="EZN235" s="269"/>
      <c r="EZO235" s="269"/>
      <c r="EZP235" s="269"/>
      <c r="EZQ235" s="269"/>
      <c r="EZR235" s="269"/>
      <c r="EZS235" s="269"/>
      <c r="EZT235" s="269"/>
      <c r="EZU235" s="269"/>
      <c r="EZV235" s="269"/>
      <c r="EZW235" s="269"/>
      <c r="EZX235" s="269"/>
      <c r="EZY235" s="269"/>
      <c r="EZZ235" s="269"/>
      <c r="FAA235" s="269"/>
      <c r="FAB235" s="269"/>
      <c r="FAC235" s="269"/>
      <c r="FAD235" s="269"/>
      <c r="FAE235" s="269"/>
      <c r="FAF235" s="269"/>
      <c r="FAG235" s="269"/>
      <c r="FAH235" s="269"/>
      <c r="FAI235" s="269"/>
      <c r="FAJ235" s="269"/>
      <c r="FAK235" s="269"/>
      <c r="FAL235" s="269"/>
      <c r="FAM235" s="269"/>
      <c r="FAN235" s="269"/>
      <c r="FAO235" s="269"/>
      <c r="FAP235" s="269"/>
      <c r="FAQ235" s="269"/>
      <c r="FAR235" s="269"/>
      <c r="FAS235" s="269"/>
      <c r="FAT235" s="269"/>
      <c r="FAU235" s="269"/>
      <c r="FAV235" s="269"/>
      <c r="FAW235" s="269"/>
      <c r="FAX235" s="269"/>
      <c r="FAY235" s="269"/>
      <c r="FAZ235" s="269"/>
      <c r="FBA235" s="269"/>
      <c r="FBB235" s="269"/>
      <c r="FBC235" s="269"/>
      <c r="FBD235" s="269"/>
      <c r="FBE235" s="269"/>
      <c r="FBF235" s="269"/>
      <c r="FBG235" s="269"/>
      <c r="FBH235" s="269"/>
      <c r="FBI235" s="269"/>
      <c r="FBJ235" s="269"/>
      <c r="FBK235" s="269"/>
      <c r="FBL235" s="269"/>
      <c r="FBM235" s="269"/>
      <c r="FBN235" s="269"/>
      <c r="FBO235" s="269"/>
      <c r="FBP235" s="269"/>
      <c r="FBQ235" s="269"/>
      <c r="FBR235" s="269"/>
      <c r="FBS235" s="269"/>
      <c r="FBT235" s="269"/>
      <c r="FBU235" s="269"/>
      <c r="FBV235" s="269"/>
      <c r="FBW235" s="269"/>
      <c r="FBX235" s="269"/>
      <c r="FBY235" s="269"/>
      <c r="FBZ235" s="269"/>
      <c r="FCA235" s="269"/>
      <c r="FCB235" s="269"/>
      <c r="FCC235" s="269"/>
      <c r="FCD235" s="269"/>
      <c r="FCE235" s="269"/>
      <c r="FCF235" s="269"/>
      <c r="FCG235" s="269"/>
      <c r="FCH235" s="269"/>
      <c r="FCI235" s="269"/>
      <c r="FCJ235" s="269"/>
      <c r="FCK235" s="269"/>
      <c r="FCL235" s="269"/>
      <c r="FCM235" s="269"/>
      <c r="FCN235" s="269"/>
      <c r="FCO235" s="269"/>
      <c r="FCP235" s="269"/>
      <c r="FCQ235" s="269"/>
      <c r="FCR235" s="269"/>
      <c r="FCS235" s="269"/>
      <c r="FCT235" s="269"/>
      <c r="FCU235" s="269"/>
      <c r="FCV235" s="269"/>
      <c r="FCW235" s="269"/>
      <c r="FCX235" s="269"/>
      <c r="FCY235" s="269"/>
      <c r="FCZ235" s="269"/>
      <c r="FDA235" s="269"/>
      <c r="FDB235" s="269"/>
      <c r="FDC235" s="269"/>
      <c r="FDD235" s="269"/>
      <c r="FDE235" s="269"/>
      <c r="FDF235" s="269"/>
      <c r="FDG235" s="269"/>
      <c r="FDH235" s="269"/>
      <c r="FDI235" s="269"/>
      <c r="FDJ235" s="269"/>
      <c r="FDK235" s="269"/>
      <c r="FDL235" s="269"/>
      <c r="FDM235" s="269"/>
      <c r="FDN235" s="269"/>
      <c r="FDO235" s="269"/>
      <c r="FDP235" s="269"/>
      <c r="FDQ235" s="269"/>
      <c r="FDR235" s="269"/>
      <c r="FDS235" s="269"/>
      <c r="FDT235" s="269"/>
      <c r="FDU235" s="269"/>
      <c r="FDV235" s="269"/>
      <c r="FDW235" s="269"/>
      <c r="FDX235" s="269"/>
      <c r="FDY235" s="269"/>
      <c r="FDZ235" s="269"/>
      <c r="FEA235" s="269"/>
      <c r="FEB235" s="269"/>
      <c r="FEC235" s="269"/>
      <c r="FED235" s="269"/>
      <c r="FEE235" s="269"/>
      <c r="FEF235" s="269"/>
      <c r="FEG235" s="269"/>
      <c r="FEH235" s="269"/>
      <c r="FEI235" s="269"/>
      <c r="FEJ235" s="269"/>
      <c r="FEK235" s="269"/>
      <c r="FEL235" s="269"/>
      <c r="FEM235" s="269"/>
      <c r="FEN235" s="269"/>
      <c r="FEO235" s="269"/>
      <c r="FEP235" s="269"/>
      <c r="FEQ235" s="269"/>
      <c r="FER235" s="269"/>
      <c r="FES235" s="269"/>
      <c r="FET235" s="269"/>
      <c r="FEU235" s="269"/>
      <c r="FEV235" s="269"/>
      <c r="FEW235" s="269"/>
      <c r="FEX235" s="269"/>
      <c r="FEY235" s="269"/>
      <c r="FEZ235" s="269"/>
      <c r="FFA235" s="269"/>
      <c r="FFB235" s="269"/>
      <c r="FFC235" s="269"/>
      <c r="FFD235" s="269"/>
      <c r="FFE235" s="269"/>
      <c r="FFF235" s="269"/>
      <c r="FFG235" s="269"/>
      <c r="FFH235" s="269"/>
      <c r="FFI235" s="269"/>
      <c r="FFJ235" s="269"/>
      <c r="FFK235" s="269"/>
      <c r="FFL235" s="269"/>
      <c r="FFM235" s="269"/>
      <c r="FFN235" s="269"/>
      <c r="FFO235" s="269"/>
      <c r="FFP235" s="269"/>
      <c r="FFQ235" s="269"/>
      <c r="FFR235" s="269"/>
      <c r="FFS235" s="269"/>
      <c r="FFT235" s="269"/>
      <c r="FFU235" s="269"/>
      <c r="FFV235" s="269"/>
      <c r="FFW235" s="269"/>
      <c r="FFX235" s="269"/>
      <c r="FFY235" s="269"/>
      <c r="FFZ235" s="269"/>
      <c r="FGA235" s="269"/>
      <c r="FGB235" s="269"/>
      <c r="FGC235" s="269"/>
      <c r="FGD235" s="269"/>
      <c r="FGE235" s="269"/>
      <c r="FGF235" s="269"/>
      <c r="FGG235" s="269"/>
      <c r="FGH235" s="269"/>
      <c r="FGI235" s="269"/>
      <c r="FGJ235" s="269"/>
      <c r="FGK235" s="269"/>
      <c r="FGL235" s="269"/>
      <c r="FGM235" s="269"/>
      <c r="FGN235" s="269"/>
      <c r="FGO235" s="269"/>
      <c r="FGP235" s="269"/>
      <c r="FGQ235" s="269"/>
      <c r="FGR235" s="269"/>
      <c r="FGS235" s="269"/>
      <c r="FGT235" s="269"/>
      <c r="FGU235" s="269"/>
      <c r="FGV235" s="269"/>
      <c r="FGW235" s="269"/>
      <c r="FGX235" s="269"/>
      <c r="FGY235" s="269"/>
      <c r="FGZ235" s="269"/>
      <c r="FHA235" s="269"/>
      <c r="FHB235" s="269"/>
      <c r="FHC235" s="269"/>
      <c r="FHD235" s="269"/>
      <c r="FHE235" s="269"/>
      <c r="FHF235" s="269"/>
      <c r="FHG235" s="269"/>
      <c r="FHH235" s="269"/>
      <c r="FHI235" s="269"/>
      <c r="FHJ235" s="269"/>
      <c r="FHK235" s="269"/>
      <c r="FHL235" s="269"/>
      <c r="FHM235" s="269"/>
      <c r="FHN235" s="269"/>
      <c r="FHO235" s="269"/>
      <c r="FHP235" s="269"/>
      <c r="FHQ235" s="269"/>
      <c r="FHR235" s="269"/>
      <c r="FHS235" s="269"/>
      <c r="FHT235" s="269"/>
      <c r="FHU235" s="269"/>
      <c r="FHV235" s="269"/>
      <c r="FHW235" s="269"/>
      <c r="FHX235" s="269"/>
      <c r="FHY235" s="269"/>
      <c r="FHZ235" s="269"/>
      <c r="FIA235" s="269"/>
      <c r="FIB235" s="269"/>
      <c r="FIC235" s="269"/>
      <c r="FID235" s="269"/>
      <c r="FIE235" s="269"/>
      <c r="FIF235" s="269"/>
      <c r="FIG235" s="269"/>
      <c r="FIH235" s="269"/>
      <c r="FII235" s="269"/>
      <c r="FIJ235" s="269"/>
      <c r="FIK235" s="269"/>
      <c r="FIL235" s="269"/>
      <c r="FIM235" s="269"/>
      <c r="FIN235" s="269"/>
      <c r="FIO235" s="269"/>
      <c r="FIP235" s="269"/>
      <c r="FIQ235" s="269"/>
      <c r="FIR235" s="269"/>
      <c r="FIS235" s="269"/>
      <c r="FIT235" s="269"/>
      <c r="FIU235" s="269"/>
      <c r="FIV235" s="269"/>
      <c r="FIW235" s="269"/>
      <c r="FIX235" s="269"/>
      <c r="FIY235" s="269"/>
      <c r="FIZ235" s="269"/>
      <c r="FJA235" s="269"/>
      <c r="FJB235" s="269"/>
      <c r="FJC235" s="269"/>
      <c r="FJD235" s="269"/>
      <c r="FJE235" s="269"/>
      <c r="FJF235" s="269"/>
      <c r="FJG235" s="269"/>
      <c r="FJH235" s="269"/>
      <c r="FJI235" s="269"/>
      <c r="FJJ235" s="269"/>
      <c r="FJK235" s="269"/>
      <c r="FJL235" s="269"/>
      <c r="FJM235" s="269"/>
      <c r="FJN235" s="269"/>
      <c r="FJO235" s="269"/>
      <c r="FJP235" s="269"/>
      <c r="FJQ235" s="269"/>
      <c r="FJR235" s="269"/>
      <c r="FJS235" s="269"/>
      <c r="FJT235" s="269"/>
      <c r="FJU235" s="269"/>
      <c r="FJV235" s="269"/>
      <c r="FJW235" s="269"/>
      <c r="FJX235" s="269"/>
      <c r="FJY235" s="269"/>
      <c r="FJZ235" s="269"/>
      <c r="FKA235" s="269"/>
      <c r="FKB235" s="269"/>
      <c r="FKC235" s="269"/>
      <c r="FKD235" s="269"/>
      <c r="FKE235" s="269"/>
      <c r="FKF235" s="269"/>
      <c r="FKG235" s="269"/>
      <c r="FKH235" s="269"/>
      <c r="FKI235" s="269"/>
      <c r="FKJ235" s="269"/>
      <c r="FKK235" s="269"/>
      <c r="FKL235" s="269"/>
      <c r="FKM235" s="269"/>
      <c r="FKN235" s="269"/>
      <c r="FKO235" s="269"/>
      <c r="FKP235" s="269"/>
      <c r="FKQ235" s="269"/>
      <c r="FKR235" s="269"/>
      <c r="FKS235" s="269"/>
      <c r="FKT235" s="269"/>
      <c r="FKU235" s="269"/>
      <c r="FKV235" s="269"/>
      <c r="FKW235" s="269"/>
      <c r="FKX235" s="269"/>
      <c r="FKY235" s="269"/>
      <c r="FKZ235" s="269"/>
      <c r="FLA235" s="269"/>
      <c r="FLB235" s="269"/>
      <c r="FLC235" s="269"/>
      <c r="FLD235" s="269"/>
      <c r="FLE235" s="269"/>
      <c r="FLF235" s="269"/>
      <c r="FLG235" s="269"/>
      <c r="FLH235" s="269"/>
      <c r="FLI235" s="269"/>
      <c r="FLJ235" s="269"/>
      <c r="FLK235" s="269"/>
      <c r="FLL235" s="269"/>
      <c r="FLM235" s="269"/>
      <c r="FLN235" s="269"/>
      <c r="FLO235" s="269"/>
      <c r="FLP235" s="269"/>
      <c r="FLQ235" s="269"/>
      <c r="FLR235" s="269"/>
      <c r="FLS235" s="269"/>
      <c r="FLT235" s="269"/>
      <c r="FLU235" s="269"/>
      <c r="FLV235" s="269"/>
      <c r="FLW235" s="269"/>
      <c r="FLX235" s="269"/>
      <c r="FLY235" s="269"/>
      <c r="FLZ235" s="269"/>
      <c r="FMA235" s="269"/>
      <c r="FMB235" s="269"/>
      <c r="FMC235" s="269"/>
      <c r="FMD235" s="269"/>
      <c r="FME235" s="269"/>
      <c r="FMF235" s="269"/>
      <c r="FMG235" s="269"/>
      <c r="FMH235" s="269"/>
      <c r="FMI235" s="269"/>
      <c r="FMJ235" s="269"/>
      <c r="FMK235" s="269"/>
      <c r="FML235" s="269"/>
      <c r="FMM235" s="269"/>
      <c r="FMN235" s="269"/>
      <c r="FMO235" s="269"/>
      <c r="FMP235" s="269"/>
      <c r="FMQ235" s="269"/>
      <c r="FMR235" s="269"/>
      <c r="FMS235" s="269"/>
      <c r="FMT235" s="269"/>
      <c r="FMU235" s="269"/>
      <c r="FMV235" s="269"/>
      <c r="FMW235" s="269"/>
      <c r="FMX235" s="269"/>
      <c r="FMY235" s="269"/>
      <c r="FMZ235" s="269"/>
      <c r="FNA235" s="269"/>
      <c r="FNB235" s="269"/>
      <c r="FNC235" s="269"/>
      <c r="FND235" s="269"/>
      <c r="FNE235" s="269"/>
      <c r="FNF235" s="269"/>
      <c r="FNG235" s="269"/>
      <c r="FNH235" s="269"/>
      <c r="FNI235" s="269"/>
      <c r="FNJ235" s="269"/>
      <c r="FNK235" s="269"/>
      <c r="FNL235" s="269"/>
      <c r="FNM235" s="269"/>
      <c r="FNN235" s="269"/>
      <c r="FNO235" s="269"/>
      <c r="FNP235" s="269"/>
      <c r="FNQ235" s="269"/>
      <c r="FNR235" s="269"/>
      <c r="FNS235" s="269"/>
      <c r="FNT235" s="269"/>
      <c r="FNU235" s="269"/>
      <c r="FNV235" s="269"/>
      <c r="FNW235" s="269"/>
      <c r="FNX235" s="269"/>
      <c r="FNY235" s="269"/>
      <c r="FNZ235" s="269"/>
      <c r="FOA235" s="269"/>
      <c r="FOB235" s="269"/>
      <c r="FOC235" s="269"/>
      <c r="FOD235" s="269"/>
      <c r="FOE235" s="269"/>
      <c r="FOF235" s="269"/>
      <c r="FOG235" s="269"/>
      <c r="FOH235" s="269"/>
      <c r="FOI235" s="269"/>
      <c r="FOJ235" s="269"/>
      <c r="FOK235" s="269"/>
      <c r="FOL235" s="269"/>
      <c r="FOM235" s="269"/>
      <c r="FON235" s="269"/>
      <c r="FOO235" s="269"/>
      <c r="FOP235" s="269"/>
      <c r="FOQ235" s="269"/>
      <c r="FOR235" s="269"/>
      <c r="FOS235" s="269"/>
      <c r="FOT235" s="269"/>
      <c r="FOU235" s="269"/>
      <c r="FOV235" s="269"/>
      <c r="FOW235" s="269"/>
      <c r="FOX235" s="269"/>
      <c r="FOY235" s="269"/>
      <c r="FOZ235" s="269"/>
      <c r="FPA235" s="269"/>
      <c r="FPB235" s="269"/>
      <c r="FPC235" s="269"/>
      <c r="FPD235" s="269"/>
      <c r="FPE235" s="269"/>
      <c r="FPF235" s="269"/>
      <c r="FPG235" s="269"/>
      <c r="FPH235" s="269"/>
      <c r="FPI235" s="269"/>
      <c r="FPJ235" s="269"/>
      <c r="FPK235" s="269"/>
      <c r="FPL235" s="269"/>
      <c r="FPM235" s="269"/>
      <c r="FPN235" s="269"/>
      <c r="FPO235" s="269"/>
      <c r="FPP235" s="269"/>
      <c r="FPQ235" s="269"/>
      <c r="FPR235" s="269"/>
      <c r="FPS235" s="269"/>
      <c r="FPT235" s="269"/>
      <c r="FPU235" s="269"/>
      <c r="FPV235" s="269"/>
      <c r="FPW235" s="269"/>
      <c r="FPX235" s="269"/>
      <c r="FPY235" s="269"/>
      <c r="FPZ235" s="269"/>
      <c r="FQA235" s="269"/>
      <c r="FQB235" s="269"/>
      <c r="FQC235" s="269"/>
      <c r="FQD235" s="269"/>
      <c r="FQE235" s="269"/>
      <c r="FQF235" s="269"/>
      <c r="FQG235" s="269"/>
      <c r="FQH235" s="269"/>
      <c r="FQI235" s="269"/>
      <c r="FQJ235" s="269"/>
      <c r="FQK235" s="269"/>
      <c r="FQL235" s="269"/>
      <c r="FQM235" s="269"/>
      <c r="FQN235" s="269"/>
      <c r="FQO235" s="269"/>
      <c r="FQP235" s="269"/>
      <c r="FQQ235" s="269"/>
      <c r="FQR235" s="269"/>
      <c r="FQS235" s="269"/>
      <c r="FQT235" s="269"/>
      <c r="FQU235" s="269"/>
      <c r="FQV235" s="269"/>
      <c r="FQW235" s="269"/>
      <c r="FQX235" s="269"/>
      <c r="FQY235" s="269"/>
      <c r="FQZ235" s="269"/>
      <c r="FRA235" s="269"/>
      <c r="FRB235" s="269"/>
      <c r="FRC235" s="269"/>
      <c r="FRD235" s="269"/>
      <c r="FRE235" s="269"/>
      <c r="FRF235" s="269"/>
      <c r="FRG235" s="269"/>
      <c r="FRH235" s="269"/>
      <c r="FRI235" s="269"/>
      <c r="FRJ235" s="269"/>
      <c r="FRK235" s="269"/>
      <c r="FRL235" s="269"/>
      <c r="FRM235" s="269"/>
      <c r="FRN235" s="269"/>
      <c r="FRO235" s="269"/>
      <c r="FRP235" s="269"/>
      <c r="FRQ235" s="269"/>
      <c r="FRR235" s="269"/>
      <c r="FRS235" s="269"/>
      <c r="FRT235" s="269"/>
      <c r="FRU235" s="269"/>
      <c r="FRV235" s="269"/>
      <c r="FRW235" s="269"/>
      <c r="FRX235" s="269"/>
      <c r="FRY235" s="269"/>
      <c r="FRZ235" s="269"/>
      <c r="FSA235" s="269"/>
      <c r="FSB235" s="269"/>
      <c r="FSC235" s="269"/>
      <c r="FSD235" s="269"/>
      <c r="FSE235" s="269"/>
      <c r="FSF235" s="269"/>
      <c r="FSG235" s="269"/>
      <c r="FSH235" s="269"/>
      <c r="FSI235" s="269"/>
      <c r="FSJ235" s="269"/>
      <c r="FSK235" s="269"/>
      <c r="FSL235" s="269"/>
      <c r="FSM235" s="269"/>
      <c r="FSN235" s="269"/>
      <c r="FSO235" s="269"/>
      <c r="FSP235" s="269"/>
      <c r="FSQ235" s="269"/>
      <c r="FSR235" s="269"/>
      <c r="FSS235" s="269"/>
      <c r="FST235" s="269"/>
      <c r="FSU235" s="269"/>
      <c r="FSV235" s="269"/>
      <c r="FSW235" s="269"/>
      <c r="FSX235" s="269"/>
      <c r="FSY235" s="269"/>
      <c r="FSZ235" s="269"/>
      <c r="FTA235" s="269"/>
      <c r="FTB235" s="269"/>
      <c r="FTC235" s="269"/>
      <c r="FTD235" s="269"/>
      <c r="FTE235" s="269"/>
      <c r="FTF235" s="269"/>
      <c r="FTG235" s="269"/>
      <c r="FTH235" s="269"/>
      <c r="FTI235" s="269"/>
      <c r="FTJ235" s="269"/>
      <c r="FTK235" s="269"/>
      <c r="FTL235" s="269"/>
      <c r="FTM235" s="269"/>
      <c r="FTN235" s="269"/>
      <c r="FTO235" s="269"/>
      <c r="FTP235" s="269"/>
      <c r="FTQ235" s="269"/>
      <c r="FTR235" s="269"/>
      <c r="FTS235" s="269"/>
      <c r="FTT235" s="269"/>
      <c r="FTU235" s="269"/>
      <c r="FTV235" s="269"/>
      <c r="FTW235" s="269"/>
      <c r="FTX235" s="269"/>
      <c r="FTY235" s="269"/>
      <c r="FTZ235" s="269"/>
      <c r="FUA235" s="269"/>
      <c r="FUB235" s="269"/>
      <c r="FUC235" s="269"/>
      <c r="FUD235" s="269"/>
      <c r="FUE235" s="269"/>
      <c r="FUF235" s="269"/>
      <c r="FUG235" s="269"/>
      <c r="FUH235" s="269"/>
      <c r="FUI235" s="269"/>
      <c r="FUJ235" s="269"/>
      <c r="FUK235" s="269"/>
      <c r="FUL235" s="269"/>
      <c r="FUM235" s="269"/>
      <c r="FUN235" s="269"/>
      <c r="FUO235" s="269"/>
      <c r="FUP235" s="269"/>
      <c r="FUQ235" s="269"/>
      <c r="FUR235" s="269"/>
      <c r="FUS235" s="269"/>
      <c r="FUT235" s="269"/>
      <c r="FUU235" s="269"/>
      <c r="FUV235" s="269"/>
      <c r="FUW235" s="269"/>
      <c r="FUX235" s="269"/>
      <c r="FUY235" s="269"/>
      <c r="FUZ235" s="269"/>
      <c r="FVA235" s="269"/>
      <c r="FVB235" s="269"/>
      <c r="FVC235" s="269"/>
      <c r="FVD235" s="269"/>
      <c r="FVE235" s="269"/>
      <c r="FVF235" s="269"/>
      <c r="FVG235" s="269"/>
      <c r="FVH235" s="269"/>
      <c r="FVI235" s="269"/>
      <c r="FVJ235" s="269"/>
      <c r="FVK235" s="269"/>
      <c r="FVL235" s="269"/>
      <c r="FVM235" s="269"/>
      <c r="FVN235" s="269"/>
      <c r="FVO235" s="269"/>
      <c r="FVP235" s="269"/>
      <c r="FVQ235" s="269"/>
      <c r="FVR235" s="269"/>
      <c r="FVS235" s="269"/>
      <c r="FVT235" s="269"/>
      <c r="FVU235" s="269"/>
      <c r="FVV235" s="269"/>
      <c r="FVW235" s="269"/>
      <c r="FVX235" s="269"/>
      <c r="FVY235" s="269"/>
      <c r="FVZ235" s="269"/>
      <c r="FWA235" s="269"/>
      <c r="FWB235" s="269"/>
      <c r="FWC235" s="269"/>
      <c r="FWD235" s="269"/>
      <c r="FWE235" s="269"/>
      <c r="FWF235" s="269"/>
      <c r="FWG235" s="269"/>
      <c r="FWH235" s="269"/>
      <c r="FWI235" s="269"/>
      <c r="FWJ235" s="269"/>
      <c r="FWK235" s="269"/>
      <c r="FWL235" s="269"/>
      <c r="FWM235" s="269"/>
      <c r="FWN235" s="269"/>
      <c r="FWO235" s="269"/>
      <c r="FWP235" s="269"/>
      <c r="FWQ235" s="269"/>
      <c r="FWR235" s="269"/>
      <c r="FWS235" s="269"/>
      <c r="FWT235" s="269"/>
      <c r="FWU235" s="269"/>
      <c r="FWV235" s="269"/>
      <c r="FWW235" s="269"/>
      <c r="FWX235" s="269"/>
      <c r="FWY235" s="269"/>
      <c r="FWZ235" s="269"/>
      <c r="FXA235" s="269"/>
      <c r="FXB235" s="269"/>
      <c r="FXC235" s="269"/>
      <c r="FXD235" s="269"/>
      <c r="FXE235" s="269"/>
      <c r="FXF235" s="269"/>
      <c r="FXG235" s="269"/>
      <c r="FXH235" s="269"/>
      <c r="FXI235" s="269"/>
      <c r="FXJ235" s="269"/>
      <c r="FXK235" s="269"/>
      <c r="FXL235" s="269"/>
      <c r="FXM235" s="269"/>
      <c r="FXN235" s="269"/>
      <c r="FXO235" s="269"/>
      <c r="FXP235" s="269"/>
      <c r="FXQ235" s="269"/>
      <c r="FXR235" s="269"/>
      <c r="FXS235" s="269"/>
      <c r="FXT235" s="269"/>
      <c r="FXU235" s="269"/>
      <c r="FXV235" s="269"/>
      <c r="FXW235" s="269"/>
      <c r="FXX235" s="269"/>
      <c r="FXY235" s="269"/>
      <c r="FXZ235" s="269"/>
      <c r="FYA235" s="269"/>
      <c r="FYB235" s="269"/>
      <c r="FYC235" s="269"/>
      <c r="FYD235" s="269"/>
      <c r="FYE235" s="269"/>
      <c r="FYF235" s="269"/>
      <c r="FYG235" s="269"/>
      <c r="FYH235" s="269"/>
      <c r="FYI235" s="269"/>
      <c r="FYJ235" s="269"/>
      <c r="FYK235" s="269"/>
      <c r="FYL235" s="269"/>
      <c r="FYM235" s="269"/>
      <c r="FYN235" s="269"/>
      <c r="FYO235" s="269"/>
      <c r="FYP235" s="269"/>
      <c r="FYQ235" s="269"/>
      <c r="FYR235" s="269"/>
      <c r="FYS235" s="269"/>
      <c r="FYT235" s="269"/>
      <c r="FYU235" s="269"/>
      <c r="FYV235" s="269"/>
      <c r="FYW235" s="269"/>
      <c r="FYX235" s="269"/>
      <c r="FYY235" s="269"/>
      <c r="FYZ235" s="269"/>
      <c r="FZA235" s="269"/>
      <c r="FZB235" s="269"/>
      <c r="FZC235" s="269"/>
      <c r="FZD235" s="269"/>
      <c r="FZE235" s="269"/>
      <c r="FZF235" s="269"/>
      <c r="FZG235" s="269"/>
      <c r="FZH235" s="269"/>
      <c r="FZI235" s="269"/>
      <c r="FZJ235" s="269"/>
      <c r="FZK235" s="269"/>
      <c r="FZL235" s="269"/>
      <c r="FZM235" s="269"/>
      <c r="FZN235" s="269"/>
      <c r="FZO235" s="269"/>
      <c r="FZP235" s="269"/>
      <c r="FZQ235" s="269"/>
      <c r="FZR235" s="269"/>
      <c r="FZS235" s="269"/>
      <c r="FZT235" s="269"/>
      <c r="FZU235" s="269"/>
      <c r="FZV235" s="269"/>
      <c r="FZW235" s="269"/>
      <c r="FZX235" s="269"/>
      <c r="FZY235" s="269"/>
      <c r="FZZ235" s="269"/>
      <c r="GAA235" s="269"/>
      <c r="GAB235" s="269"/>
      <c r="GAC235" s="269"/>
      <c r="GAD235" s="269"/>
      <c r="GAE235" s="269"/>
      <c r="GAF235" s="269"/>
      <c r="GAG235" s="269"/>
      <c r="GAH235" s="269"/>
      <c r="GAI235" s="269"/>
      <c r="GAJ235" s="269"/>
      <c r="GAK235" s="269"/>
      <c r="GAL235" s="269"/>
      <c r="GAM235" s="269"/>
      <c r="GAN235" s="269"/>
      <c r="GAO235" s="269"/>
      <c r="GAP235" s="269"/>
      <c r="GAQ235" s="269"/>
      <c r="GAR235" s="269"/>
      <c r="GAS235" s="269"/>
      <c r="GAT235" s="269"/>
      <c r="GAU235" s="269"/>
      <c r="GAV235" s="269"/>
      <c r="GAW235" s="269"/>
      <c r="GAX235" s="269"/>
      <c r="GAY235" s="269"/>
      <c r="GAZ235" s="269"/>
      <c r="GBA235" s="269"/>
      <c r="GBB235" s="269"/>
      <c r="GBC235" s="269"/>
      <c r="GBD235" s="269"/>
      <c r="GBE235" s="269"/>
      <c r="GBF235" s="269"/>
      <c r="GBG235" s="269"/>
      <c r="GBH235" s="269"/>
      <c r="GBI235" s="269"/>
      <c r="GBJ235" s="269"/>
      <c r="GBK235" s="269"/>
      <c r="GBL235" s="269"/>
      <c r="GBM235" s="269"/>
      <c r="GBN235" s="269"/>
      <c r="GBO235" s="269"/>
      <c r="GBP235" s="269"/>
      <c r="GBQ235" s="269"/>
      <c r="GBR235" s="269"/>
      <c r="GBS235" s="269"/>
      <c r="GBT235" s="269"/>
      <c r="GBU235" s="269"/>
      <c r="GBV235" s="269"/>
      <c r="GBW235" s="269"/>
      <c r="GBX235" s="269"/>
      <c r="GBY235" s="269"/>
      <c r="GBZ235" s="269"/>
      <c r="GCA235" s="269"/>
      <c r="GCB235" s="269"/>
      <c r="GCC235" s="269"/>
      <c r="GCD235" s="269"/>
      <c r="GCE235" s="269"/>
      <c r="GCF235" s="269"/>
      <c r="GCG235" s="269"/>
      <c r="GCH235" s="269"/>
      <c r="GCI235" s="269"/>
      <c r="GCJ235" s="269"/>
      <c r="GCK235" s="269"/>
      <c r="GCL235" s="269"/>
      <c r="GCM235" s="269"/>
      <c r="GCN235" s="269"/>
      <c r="GCO235" s="269"/>
      <c r="GCP235" s="269"/>
      <c r="GCQ235" s="269"/>
      <c r="GCR235" s="269"/>
      <c r="GCS235" s="269"/>
      <c r="GCT235" s="269"/>
      <c r="GCU235" s="269"/>
      <c r="GCV235" s="269"/>
      <c r="GCW235" s="269"/>
      <c r="GCX235" s="269"/>
      <c r="GCY235" s="269"/>
      <c r="GCZ235" s="269"/>
      <c r="GDA235" s="269"/>
      <c r="GDB235" s="269"/>
      <c r="GDC235" s="269"/>
      <c r="GDD235" s="269"/>
      <c r="GDE235" s="269"/>
      <c r="GDF235" s="269"/>
      <c r="GDG235" s="269"/>
      <c r="GDH235" s="269"/>
      <c r="GDI235" s="269"/>
      <c r="GDJ235" s="269"/>
      <c r="GDK235" s="269"/>
      <c r="GDL235" s="269"/>
      <c r="GDM235" s="269"/>
      <c r="GDN235" s="269"/>
      <c r="GDO235" s="269"/>
      <c r="GDP235" s="269"/>
      <c r="GDQ235" s="269"/>
      <c r="GDR235" s="269"/>
      <c r="GDS235" s="269"/>
      <c r="GDT235" s="269"/>
      <c r="GDU235" s="269"/>
      <c r="GDV235" s="269"/>
      <c r="GDW235" s="269"/>
      <c r="GDX235" s="269"/>
      <c r="GDY235" s="269"/>
      <c r="GDZ235" s="269"/>
      <c r="GEA235" s="269"/>
      <c r="GEB235" s="269"/>
      <c r="GEC235" s="269"/>
      <c r="GED235" s="269"/>
      <c r="GEE235" s="269"/>
      <c r="GEF235" s="269"/>
      <c r="GEG235" s="269"/>
      <c r="GEH235" s="269"/>
      <c r="GEI235" s="269"/>
      <c r="GEJ235" s="269"/>
      <c r="GEK235" s="269"/>
      <c r="GEL235" s="269"/>
      <c r="GEM235" s="269"/>
      <c r="GEN235" s="269"/>
      <c r="GEO235" s="269"/>
      <c r="GEP235" s="269"/>
      <c r="GEQ235" s="269"/>
      <c r="GER235" s="269"/>
      <c r="GES235" s="269"/>
      <c r="GET235" s="269"/>
      <c r="GEU235" s="269"/>
      <c r="GEV235" s="269"/>
      <c r="GEW235" s="269"/>
      <c r="GEX235" s="269"/>
      <c r="GEY235" s="269"/>
      <c r="GEZ235" s="269"/>
      <c r="GFA235" s="269"/>
      <c r="GFB235" s="269"/>
      <c r="GFC235" s="269"/>
      <c r="GFD235" s="269"/>
      <c r="GFE235" s="269"/>
      <c r="GFF235" s="269"/>
      <c r="GFG235" s="269"/>
      <c r="GFH235" s="269"/>
      <c r="GFI235" s="269"/>
      <c r="GFJ235" s="269"/>
      <c r="GFK235" s="269"/>
      <c r="GFL235" s="269"/>
      <c r="GFM235" s="269"/>
      <c r="GFN235" s="269"/>
      <c r="GFO235" s="269"/>
      <c r="GFP235" s="269"/>
      <c r="GFQ235" s="269"/>
      <c r="GFR235" s="269"/>
      <c r="GFS235" s="269"/>
      <c r="GFT235" s="269"/>
      <c r="GFU235" s="269"/>
      <c r="GFV235" s="269"/>
      <c r="GFW235" s="269"/>
      <c r="GFX235" s="269"/>
      <c r="GFY235" s="269"/>
      <c r="GFZ235" s="269"/>
      <c r="GGA235" s="269"/>
      <c r="GGB235" s="269"/>
      <c r="GGC235" s="269"/>
      <c r="GGD235" s="269"/>
      <c r="GGE235" s="269"/>
      <c r="GGF235" s="269"/>
      <c r="GGG235" s="269"/>
      <c r="GGH235" s="269"/>
      <c r="GGI235" s="269"/>
      <c r="GGJ235" s="269"/>
      <c r="GGK235" s="269"/>
      <c r="GGL235" s="269"/>
      <c r="GGM235" s="269"/>
      <c r="GGN235" s="269"/>
      <c r="GGO235" s="269"/>
      <c r="GGP235" s="269"/>
      <c r="GGQ235" s="269"/>
      <c r="GGR235" s="269"/>
      <c r="GGS235" s="269"/>
      <c r="GGT235" s="269"/>
      <c r="GGU235" s="269"/>
      <c r="GGV235" s="269"/>
      <c r="GGW235" s="269"/>
      <c r="GGX235" s="269"/>
      <c r="GGY235" s="269"/>
      <c r="GGZ235" s="269"/>
      <c r="GHA235" s="269"/>
      <c r="GHB235" s="269"/>
      <c r="GHC235" s="269"/>
      <c r="GHD235" s="269"/>
      <c r="GHE235" s="269"/>
      <c r="GHF235" s="269"/>
      <c r="GHG235" s="269"/>
      <c r="GHH235" s="269"/>
      <c r="GHI235" s="269"/>
      <c r="GHJ235" s="269"/>
      <c r="GHK235" s="269"/>
      <c r="GHL235" s="269"/>
      <c r="GHM235" s="269"/>
      <c r="GHN235" s="269"/>
      <c r="GHO235" s="269"/>
      <c r="GHP235" s="269"/>
      <c r="GHQ235" s="269"/>
      <c r="GHR235" s="269"/>
      <c r="GHS235" s="269"/>
      <c r="GHT235" s="269"/>
      <c r="GHU235" s="269"/>
      <c r="GHV235" s="269"/>
      <c r="GHW235" s="269"/>
      <c r="GHX235" s="269"/>
      <c r="GHY235" s="269"/>
      <c r="GHZ235" s="269"/>
      <c r="GIA235" s="269"/>
      <c r="GIB235" s="269"/>
      <c r="GIC235" s="269"/>
      <c r="GID235" s="269"/>
      <c r="GIE235" s="269"/>
      <c r="GIF235" s="269"/>
      <c r="GIG235" s="269"/>
      <c r="GIH235" s="269"/>
      <c r="GII235" s="269"/>
      <c r="GIJ235" s="269"/>
      <c r="GIK235" s="269"/>
      <c r="GIL235" s="269"/>
      <c r="GIM235" s="269"/>
      <c r="GIN235" s="269"/>
      <c r="GIO235" s="269"/>
      <c r="GIP235" s="269"/>
      <c r="GIQ235" s="269"/>
      <c r="GIR235" s="269"/>
      <c r="GIS235" s="269"/>
      <c r="GIT235" s="269"/>
      <c r="GIU235" s="269"/>
      <c r="GIV235" s="269"/>
      <c r="GIW235" s="269"/>
      <c r="GIX235" s="269"/>
      <c r="GIY235" s="269"/>
      <c r="GIZ235" s="269"/>
      <c r="GJA235" s="269"/>
      <c r="GJB235" s="269"/>
      <c r="GJC235" s="269"/>
      <c r="GJD235" s="269"/>
      <c r="GJE235" s="269"/>
      <c r="GJF235" s="269"/>
      <c r="GJG235" s="269"/>
      <c r="GJH235" s="269"/>
      <c r="GJI235" s="269"/>
      <c r="GJJ235" s="269"/>
      <c r="GJK235" s="269"/>
      <c r="GJL235" s="269"/>
      <c r="GJM235" s="269"/>
      <c r="GJN235" s="269"/>
      <c r="GJO235" s="269"/>
      <c r="GJP235" s="269"/>
      <c r="GJQ235" s="269"/>
      <c r="GJR235" s="269"/>
      <c r="GJS235" s="269"/>
      <c r="GJT235" s="269"/>
      <c r="GJU235" s="269"/>
      <c r="GJV235" s="269"/>
      <c r="GJW235" s="269"/>
      <c r="GJX235" s="269"/>
      <c r="GJY235" s="269"/>
      <c r="GJZ235" s="269"/>
      <c r="GKA235" s="269"/>
      <c r="GKB235" s="269"/>
      <c r="GKC235" s="269"/>
      <c r="GKD235" s="269"/>
      <c r="GKE235" s="269"/>
      <c r="GKF235" s="269"/>
      <c r="GKG235" s="269"/>
      <c r="GKH235" s="269"/>
      <c r="GKI235" s="269"/>
      <c r="GKJ235" s="269"/>
      <c r="GKK235" s="269"/>
      <c r="GKL235" s="269"/>
      <c r="GKM235" s="269"/>
      <c r="GKN235" s="269"/>
      <c r="GKO235" s="269"/>
      <c r="GKP235" s="269"/>
      <c r="GKQ235" s="269"/>
      <c r="GKR235" s="269"/>
      <c r="GKS235" s="269"/>
      <c r="GKT235" s="269"/>
      <c r="GKU235" s="269"/>
      <c r="GKV235" s="269"/>
      <c r="GKW235" s="269"/>
      <c r="GKX235" s="269"/>
      <c r="GKY235" s="269"/>
      <c r="GKZ235" s="269"/>
      <c r="GLA235" s="269"/>
      <c r="GLB235" s="269"/>
      <c r="GLC235" s="269"/>
      <c r="GLD235" s="269"/>
      <c r="GLE235" s="269"/>
      <c r="GLF235" s="269"/>
      <c r="GLG235" s="269"/>
      <c r="GLH235" s="269"/>
      <c r="GLI235" s="269"/>
      <c r="GLJ235" s="269"/>
      <c r="GLK235" s="269"/>
      <c r="GLL235" s="269"/>
      <c r="GLM235" s="269"/>
      <c r="GLN235" s="269"/>
      <c r="GLO235" s="269"/>
      <c r="GLP235" s="269"/>
      <c r="GLQ235" s="269"/>
      <c r="GLR235" s="269"/>
      <c r="GLS235" s="269"/>
      <c r="GLT235" s="269"/>
      <c r="GLU235" s="269"/>
      <c r="GLV235" s="269"/>
      <c r="GLW235" s="269"/>
      <c r="GLX235" s="269"/>
      <c r="GLY235" s="269"/>
      <c r="GLZ235" s="269"/>
      <c r="GMA235" s="269"/>
      <c r="GMB235" s="269"/>
      <c r="GMC235" s="269"/>
      <c r="GMD235" s="269"/>
      <c r="GME235" s="269"/>
      <c r="GMF235" s="269"/>
      <c r="GMG235" s="269"/>
      <c r="GMH235" s="269"/>
      <c r="GMI235" s="269"/>
      <c r="GMJ235" s="269"/>
      <c r="GMK235" s="269"/>
      <c r="GML235" s="269"/>
      <c r="GMM235" s="269"/>
      <c r="GMN235" s="269"/>
      <c r="GMO235" s="269"/>
      <c r="GMP235" s="269"/>
      <c r="GMQ235" s="269"/>
      <c r="GMR235" s="269"/>
      <c r="GMS235" s="269"/>
      <c r="GMT235" s="269"/>
      <c r="GMU235" s="269"/>
      <c r="GMV235" s="269"/>
      <c r="GMW235" s="269"/>
      <c r="GMX235" s="269"/>
      <c r="GMY235" s="269"/>
      <c r="GMZ235" s="269"/>
      <c r="GNA235" s="269"/>
      <c r="GNB235" s="269"/>
      <c r="GNC235" s="269"/>
      <c r="GND235" s="269"/>
      <c r="GNE235" s="269"/>
      <c r="GNF235" s="269"/>
      <c r="GNG235" s="269"/>
      <c r="GNH235" s="269"/>
      <c r="GNI235" s="269"/>
      <c r="GNJ235" s="269"/>
      <c r="GNK235" s="269"/>
      <c r="GNL235" s="269"/>
      <c r="GNM235" s="269"/>
      <c r="GNN235" s="269"/>
      <c r="GNO235" s="269"/>
      <c r="GNP235" s="269"/>
      <c r="GNQ235" s="269"/>
      <c r="GNR235" s="269"/>
      <c r="GNS235" s="269"/>
      <c r="GNT235" s="269"/>
      <c r="GNU235" s="269"/>
      <c r="GNV235" s="269"/>
      <c r="GNW235" s="269"/>
      <c r="GNX235" s="269"/>
      <c r="GNY235" s="269"/>
      <c r="GNZ235" s="269"/>
      <c r="GOA235" s="269"/>
      <c r="GOB235" s="269"/>
      <c r="GOC235" s="269"/>
      <c r="GOD235" s="269"/>
      <c r="GOE235" s="269"/>
      <c r="GOF235" s="269"/>
      <c r="GOG235" s="269"/>
      <c r="GOH235" s="269"/>
      <c r="GOI235" s="269"/>
      <c r="GOJ235" s="269"/>
      <c r="GOK235" s="269"/>
      <c r="GOL235" s="269"/>
      <c r="GOM235" s="269"/>
      <c r="GON235" s="269"/>
      <c r="GOO235" s="269"/>
      <c r="GOP235" s="269"/>
      <c r="GOQ235" s="269"/>
      <c r="GOR235" s="269"/>
      <c r="GOS235" s="269"/>
      <c r="GOT235" s="269"/>
      <c r="GOU235" s="269"/>
      <c r="GOV235" s="269"/>
      <c r="GOW235" s="269"/>
      <c r="GOX235" s="269"/>
      <c r="GOY235" s="269"/>
      <c r="GOZ235" s="269"/>
      <c r="GPA235" s="269"/>
      <c r="GPB235" s="269"/>
      <c r="GPC235" s="269"/>
      <c r="GPD235" s="269"/>
      <c r="GPE235" s="269"/>
      <c r="GPF235" s="269"/>
      <c r="GPG235" s="269"/>
      <c r="GPH235" s="269"/>
      <c r="GPI235" s="269"/>
      <c r="GPJ235" s="269"/>
      <c r="GPK235" s="269"/>
      <c r="GPL235" s="269"/>
      <c r="GPM235" s="269"/>
      <c r="GPN235" s="269"/>
      <c r="GPO235" s="269"/>
      <c r="GPP235" s="269"/>
      <c r="GPQ235" s="269"/>
      <c r="GPR235" s="269"/>
      <c r="GPS235" s="269"/>
      <c r="GPT235" s="269"/>
      <c r="GPU235" s="269"/>
      <c r="GPV235" s="269"/>
      <c r="GPW235" s="269"/>
      <c r="GPX235" s="269"/>
      <c r="GPY235" s="269"/>
      <c r="GPZ235" s="269"/>
      <c r="GQA235" s="269"/>
      <c r="GQB235" s="269"/>
      <c r="GQC235" s="269"/>
      <c r="GQD235" s="269"/>
      <c r="GQE235" s="269"/>
      <c r="GQF235" s="269"/>
      <c r="GQG235" s="269"/>
      <c r="GQH235" s="269"/>
      <c r="GQI235" s="269"/>
      <c r="GQJ235" s="269"/>
      <c r="GQK235" s="269"/>
      <c r="GQL235" s="269"/>
      <c r="GQM235" s="269"/>
      <c r="GQN235" s="269"/>
      <c r="GQO235" s="269"/>
      <c r="GQP235" s="269"/>
      <c r="GQQ235" s="269"/>
      <c r="GQR235" s="269"/>
      <c r="GQS235" s="269"/>
      <c r="GQT235" s="269"/>
      <c r="GQU235" s="269"/>
      <c r="GQV235" s="269"/>
      <c r="GQW235" s="269"/>
      <c r="GQX235" s="269"/>
      <c r="GQY235" s="269"/>
      <c r="GQZ235" s="269"/>
      <c r="GRA235" s="269"/>
      <c r="GRB235" s="269"/>
      <c r="GRC235" s="269"/>
      <c r="GRD235" s="269"/>
      <c r="GRE235" s="269"/>
      <c r="GRF235" s="269"/>
      <c r="GRG235" s="269"/>
      <c r="GRH235" s="269"/>
      <c r="GRI235" s="269"/>
      <c r="GRJ235" s="269"/>
      <c r="GRK235" s="269"/>
      <c r="GRL235" s="269"/>
      <c r="GRM235" s="269"/>
      <c r="GRN235" s="269"/>
      <c r="GRO235" s="269"/>
      <c r="GRP235" s="269"/>
      <c r="GRQ235" s="269"/>
      <c r="GRR235" s="269"/>
      <c r="GRS235" s="269"/>
      <c r="GRT235" s="269"/>
      <c r="GRU235" s="269"/>
      <c r="GRV235" s="269"/>
      <c r="GRW235" s="269"/>
      <c r="GRX235" s="269"/>
      <c r="GRY235" s="269"/>
      <c r="GRZ235" s="269"/>
      <c r="GSA235" s="269"/>
      <c r="GSB235" s="269"/>
      <c r="GSC235" s="269"/>
      <c r="GSD235" s="269"/>
      <c r="GSE235" s="269"/>
      <c r="GSF235" s="269"/>
      <c r="GSG235" s="269"/>
      <c r="GSH235" s="269"/>
      <c r="GSI235" s="269"/>
      <c r="GSJ235" s="269"/>
      <c r="GSK235" s="269"/>
      <c r="GSL235" s="269"/>
      <c r="GSM235" s="269"/>
      <c r="GSN235" s="269"/>
      <c r="GSO235" s="269"/>
      <c r="GSP235" s="269"/>
      <c r="GSQ235" s="269"/>
      <c r="GSR235" s="269"/>
      <c r="GSS235" s="269"/>
      <c r="GST235" s="269"/>
      <c r="GSU235" s="269"/>
      <c r="GSV235" s="269"/>
      <c r="GSW235" s="269"/>
      <c r="GSX235" s="269"/>
      <c r="GSY235" s="269"/>
      <c r="GSZ235" s="269"/>
      <c r="GTA235" s="269"/>
      <c r="GTB235" s="269"/>
      <c r="GTC235" s="269"/>
      <c r="GTD235" s="269"/>
      <c r="GTE235" s="269"/>
      <c r="GTF235" s="269"/>
      <c r="GTG235" s="269"/>
      <c r="GTH235" s="269"/>
      <c r="GTI235" s="269"/>
      <c r="GTJ235" s="269"/>
      <c r="GTK235" s="269"/>
      <c r="GTL235" s="269"/>
      <c r="GTM235" s="269"/>
      <c r="GTN235" s="269"/>
      <c r="GTO235" s="269"/>
      <c r="GTP235" s="269"/>
      <c r="GTQ235" s="269"/>
      <c r="GTR235" s="269"/>
      <c r="GTS235" s="269"/>
      <c r="GTT235" s="269"/>
      <c r="GTU235" s="269"/>
      <c r="GTV235" s="269"/>
      <c r="GTW235" s="269"/>
      <c r="GTX235" s="269"/>
      <c r="GTY235" s="269"/>
      <c r="GTZ235" s="269"/>
      <c r="GUA235" s="269"/>
      <c r="GUB235" s="269"/>
      <c r="GUC235" s="269"/>
      <c r="GUD235" s="269"/>
      <c r="GUE235" s="269"/>
      <c r="GUF235" s="269"/>
      <c r="GUG235" s="269"/>
      <c r="GUH235" s="269"/>
      <c r="GUI235" s="269"/>
      <c r="GUJ235" s="269"/>
      <c r="GUK235" s="269"/>
      <c r="GUL235" s="269"/>
      <c r="GUM235" s="269"/>
      <c r="GUN235" s="269"/>
      <c r="GUO235" s="269"/>
      <c r="GUP235" s="269"/>
      <c r="GUQ235" s="269"/>
      <c r="GUR235" s="269"/>
      <c r="GUS235" s="269"/>
      <c r="GUT235" s="269"/>
      <c r="GUU235" s="269"/>
      <c r="GUV235" s="269"/>
      <c r="GUW235" s="269"/>
      <c r="GUX235" s="269"/>
      <c r="GUY235" s="269"/>
      <c r="GUZ235" s="269"/>
      <c r="GVA235" s="269"/>
      <c r="GVB235" s="269"/>
      <c r="GVC235" s="269"/>
      <c r="GVD235" s="269"/>
      <c r="GVE235" s="269"/>
      <c r="GVF235" s="269"/>
      <c r="GVG235" s="269"/>
      <c r="GVH235" s="269"/>
      <c r="GVI235" s="269"/>
      <c r="GVJ235" s="269"/>
      <c r="GVK235" s="269"/>
      <c r="GVL235" s="269"/>
      <c r="GVM235" s="269"/>
      <c r="GVN235" s="269"/>
      <c r="GVO235" s="269"/>
      <c r="GVP235" s="269"/>
      <c r="GVQ235" s="269"/>
      <c r="GVR235" s="269"/>
      <c r="GVS235" s="269"/>
      <c r="GVT235" s="269"/>
      <c r="GVU235" s="269"/>
      <c r="GVV235" s="269"/>
      <c r="GVW235" s="269"/>
      <c r="GVX235" s="269"/>
      <c r="GVY235" s="269"/>
      <c r="GVZ235" s="269"/>
      <c r="GWA235" s="269"/>
      <c r="GWB235" s="269"/>
      <c r="GWC235" s="269"/>
      <c r="GWD235" s="269"/>
      <c r="GWE235" s="269"/>
      <c r="GWF235" s="269"/>
      <c r="GWG235" s="269"/>
      <c r="GWH235" s="269"/>
      <c r="GWI235" s="269"/>
      <c r="GWJ235" s="269"/>
      <c r="GWK235" s="269"/>
      <c r="GWL235" s="269"/>
      <c r="GWM235" s="269"/>
      <c r="GWN235" s="269"/>
      <c r="GWO235" s="269"/>
      <c r="GWP235" s="269"/>
      <c r="GWQ235" s="269"/>
      <c r="GWR235" s="269"/>
      <c r="GWS235" s="269"/>
      <c r="GWT235" s="269"/>
      <c r="GWU235" s="269"/>
      <c r="GWV235" s="269"/>
      <c r="GWW235" s="269"/>
      <c r="GWX235" s="269"/>
      <c r="GWY235" s="269"/>
      <c r="GWZ235" s="269"/>
      <c r="GXA235" s="269"/>
      <c r="GXB235" s="269"/>
      <c r="GXC235" s="269"/>
      <c r="GXD235" s="269"/>
      <c r="GXE235" s="269"/>
      <c r="GXF235" s="269"/>
      <c r="GXG235" s="269"/>
      <c r="GXH235" s="269"/>
      <c r="GXI235" s="269"/>
      <c r="GXJ235" s="269"/>
      <c r="GXK235" s="269"/>
      <c r="GXL235" s="269"/>
      <c r="GXM235" s="269"/>
      <c r="GXN235" s="269"/>
      <c r="GXO235" s="269"/>
      <c r="GXP235" s="269"/>
      <c r="GXQ235" s="269"/>
      <c r="GXR235" s="269"/>
      <c r="GXS235" s="269"/>
      <c r="GXT235" s="269"/>
      <c r="GXU235" s="269"/>
      <c r="GXV235" s="269"/>
      <c r="GXW235" s="269"/>
      <c r="GXX235" s="269"/>
      <c r="GXY235" s="269"/>
      <c r="GXZ235" s="269"/>
      <c r="GYA235" s="269"/>
      <c r="GYB235" s="269"/>
      <c r="GYC235" s="269"/>
      <c r="GYD235" s="269"/>
      <c r="GYE235" s="269"/>
      <c r="GYF235" s="269"/>
      <c r="GYG235" s="269"/>
      <c r="GYH235" s="269"/>
      <c r="GYI235" s="269"/>
      <c r="GYJ235" s="269"/>
      <c r="GYK235" s="269"/>
      <c r="GYL235" s="269"/>
      <c r="GYM235" s="269"/>
      <c r="GYN235" s="269"/>
      <c r="GYO235" s="269"/>
      <c r="GYP235" s="269"/>
      <c r="GYQ235" s="269"/>
      <c r="GYR235" s="269"/>
      <c r="GYS235" s="269"/>
      <c r="GYT235" s="269"/>
      <c r="GYU235" s="269"/>
      <c r="GYV235" s="269"/>
      <c r="GYW235" s="269"/>
      <c r="GYX235" s="269"/>
      <c r="GYY235" s="269"/>
      <c r="GYZ235" s="269"/>
      <c r="GZA235" s="269"/>
      <c r="GZB235" s="269"/>
      <c r="GZC235" s="269"/>
      <c r="GZD235" s="269"/>
      <c r="GZE235" s="269"/>
      <c r="GZF235" s="269"/>
      <c r="GZG235" s="269"/>
      <c r="GZH235" s="269"/>
      <c r="GZI235" s="269"/>
      <c r="GZJ235" s="269"/>
      <c r="GZK235" s="269"/>
      <c r="GZL235" s="269"/>
      <c r="GZM235" s="269"/>
      <c r="GZN235" s="269"/>
      <c r="GZO235" s="269"/>
      <c r="GZP235" s="269"/>
      <c r="GZQ235" s="269"/>
      <c r="GZR235" s="269"/>
      <c r="GZS235" s="269"/>
      <c r="GZT235" s="269"/>
      <c r="GZU235" s="269"/>
      <c r="GZV235" s="269"/>
      <c r="GZW235" s="269"/>
      <c r="GZX235" s="269"/>
      <c r="GZY235" s="269"/>
      <c r="GZZ235" s="269"/>
      <c r="HAA235" s="269"/>
      <c r="HAB235" s="269"/>
      <c r="HAC235" s="269"/>
      <c r="HAD235" s="269"/>
      <c r="HAE235" s="269"/>
      <c r="HAF235" s="269"/>
      <c r="HAG235" s="269"/>
      <c r="HAH235" s="269"/>
      <c r="HAI235" s="269"/>
      <c r="HAJ235" s="269"/>
      <c r="HAK235" s="269"/>
      <c r="HAL235" s="269"/>
      <c r="HAM235" s="269"/>
      <c r="HAN235" s="269"/>
      <c r="HAO235" s="269"/>
      <c r="HAP235" s="269"/>
      <c r="HAQ235" s="269"/>
      <c r="HAR235" s="269"/>
      <c r="HAS235" s="269"/>
      <c r="HAT235" s="269"/>
      <c r="HAU235" s="269"/>
      <c r="HAV235" s="269"/>
      <c r="HAW235" s="269"/>
      <c r="HAX235" s="269"/>
      <c r="HAY235" s="269"/>
      <c r="HAZ235" s="269"/>
      <c r="HBA235" s="269"/>
      <c r="HBB235" s="269"/>
      <c r="HBC235" s="269"/>
      <c r="HBD235" s="269"/>
      <c r="HBE235" s="269"/>
      <c r="HBF235" s="269"/>
      <c r="HBG235" s="269"/>
      <c r="HBH235" s="269"/>
      <c r="HBI235" s="269"/>
      <c r="HBJ235" s="269"/>
      <c r="HBK235" s="269"/>
      <c r="HBL235" s="269"/>
      <c r="HBM235" s="269"/>
      <c r="HBN235" s="269"/>
      <c r="HBO235" s="269"/>
      <c r="HBP235" s="269"/>
      <c r="HBQ235" s="269"/>
      <c r="HBR235" s="269"/>
      <c r="HBS235" s="269"/>
      <c r="HBT235" s="269"/>
      <c r="HBU235" s="269"/>
      <c r="HBV235" s="269"/>
      <c r="HBW235" s="269"/>
      <c r="HBX235" s="269"/>
      <c r="HBY235" s="269"/>
      <c r="HBZ235" s="269"/>
      <c r="HCA235" s="269"/>
      <c r="HCB235" s="269"/>
      <c r="HCC235" s="269"/>
      <c r="HCD235" s="269"/>
      <c r="HCE235" s="269"/>
      <c r="HCF235" s="269"/>
      <c r="HCG235" s="269"/>
      <c r="HCH235" s="269"/>
      <c r="HCI235" s="269"/>
      <c r="HCJ235" s="269"/>
      <c r="HCK235" s="269"/>
      <c r="HCL235" s="269"/>
      <c r="HCM235" s="269"/>
      <c r="HCN235" s="269"/>
      <c r="HCO235" s="269"/>
      <c r="HCP235" s="269"/>
      <c r="HCQ235" s="269"/>
      <c r="HCR235" s="269"/>
      <c r="HCS235" s="269"/>
      <c r="HCT235" s="269"/>
      <c r="HCU235" s="269"/>
      <c r="HCV235" s="269"/>
      <c r="HCW235" s="269"/>
      <c r="HCX235" s="269"/>
      <c r="HCY235" s="269"/>
      <c r="HCZ235" s="269"/>
      <c r="HDA235" s="269"/>
      <c r="HDB235" s="269"/>
      <c r="HDC235" s="269"/>
      <c r="HDD235" s="269"/>
      <c r="HDE235" s="269"/>
      <c r="HDF235" s="269"/>
      <c r="HDG235" s="269"/>
      <c r="HDH235" s="269"/>
      <c r="HDI235" s="269"/>
      <c r="HDJ235" s="269"/>
      <c r="HDK235" s="269"/>
      <c r="HDL235" s="269"/>
      <c r="HDM235" s="269"/>
      <c r="HDN235" s="269"/>
      <c r="HDO235" s="269"/>
      <c r="HDP235" s="269"/>
      <c r="HDQ235" s="269"/>
      <c r="HDR235" s="269"/>
      <c r="HDS235" s="269"/>
      <c r="HDT235" s="269"/>
      <c r="HDU235" s="269"/>
      <c r="HDV235" s="269"/>
      <c r="HDW235" s="269"/>
      <c r="HDX235" s="269"/>
      <c r="HDY235" s="269"/>
      <c r="HDZ235" s="269"/>
      <c r="HEA235" s="269"/>
      <c r="HEB235" s="269"/>
      <c r="HEC235" s="269"/>
      <c r="HED235" s="269"/>
      <c r="HEE235" s="269"/>
      <c r="HEF235" s="269"/>
      <c r="HEG235" s="269"/>
      <c r="HEH235" s="269"/>
      <c r="HEI235" s="269"/>
      <c r="HEJ235" s="269"/>
      <c r="HEK235" s="269"/>
      <c r="HEL235" s="269"/>
      <c r="HEM235" s="269"/>
      <c r="HEN235" s="269"/>
      <c r="HEO235" s="269"/>
      <c r="HEP235" s="269"/>
      <c r="HEQ235" s="269"/>
      <c r="HER235" s="269"/>
      <c r="HES235" s="269"/>
      <c r="HET235" s="269"/>
      <c r="HEU235" s="269"/>
      <c r="HEV235" s="269"/>
      <c r="HEW235" s="269"/>
      <c r="HEX235" s="269"/>
      <c r="HEY235" s="269"/>
      <c r="HEZ235" s="269"/>
      <c r="HFA235" s="269"/>
      <c r="HFB235" s="269"/>
      <c r="HFC235" s="269"/>
      <c r="HFD235" s="269"/>
      <c r="HFE235" s="269"/>
      <c r="HFF235" s="269"/>
      <c r="HFG235" s="269"/>
      <c r="HFH235" s="269"/>
      <c r="HFI235" s="269"/>
      <c r="HFJ235" s="269"/>
      <c r="HFK235" s="269"/>
      <c r="HFL235" s="269"/>
      <c r="HFM235" s="269"/>
      <c r="HFN235" s="269"/>
      <c r="HFO235" s="269"/>
      <c r="HFP235" s="269"/>
      <c r="HFQ235" s="269"/>
      <c r="HFR235" s="269"/>
      <c r="HFS235" s="269"/>
      <c r="HFT235" s="269"/>
      <c r="HFU235" s="269"/>
      <c r="HFV235" s="269"/>
      <c r="HFW235" s="269"/>
      <c r="HFX235" s="269"/>
      <c r="HFY235" s="269"/>
      <c r="HFZ235" s="269"/>
      <c r="HGA235" s="269"/>
      <c r="HGB235" s="269"/>
      <c r="HGC235" s="269"/>
      <c r="HGD235" s="269"/>
      <c r="HGE235" s="269"/>
      <c r="HGF235" s="269"/>
      <c r="HGG235" s="269"/>
      <c r="HGH235" s="269"/>
      <c r="HGI235" s="269"/>
      <c r="HGJ235" s="269"/>
      <c r="HGK235" s="269"/>
      <c r="HGL235" s="269"/>
      <c r="HGM235" s="269"/>
      <c r="HGN235" s="269"/>
      <c r="HGO235" s="269"/>
      <c r="HGP235" s="269"/>
      <c r="HGQ235" s="269"/>
      <c r="HGR235" s="269"/>
      <c r="HGS235" s="269"/>
      <c r="HGT235" s="269"/>
      <c r="HGU235" s="269"/>
      <c r="HGV235" s="269"/>
      <c r="HGW235" s="269"/>
      <c r="HGX235" s="269"/>
      <c r="HGY235" s="269"/>
      <c r="HGZ235" s="269"/>
      <c r="HHA235" s="269"/>
      <c r="HHB235" s="269"/>
      <c r="HHC235" s="269"/>
      <c r="HHD235" s="269"/>
      <c r="HHE235" s="269"/>
      <c r="HHF235" s="269"/>
      <c r="HHG235" s="269"/>
      <c r="HHH235" s="269"/>
      <c r="HHI235" s="269"/>
      <c r="HHJ235" s="269"/>
      <c r="HHK235" s="269"/>
      <c r="HHL235" s="269"/>
      <c r="HHM235" s="269"/>
      <c r="HHN235" s="269"/>
      <c r="HHO235" s="269"/>
      <c r="HHP235" s="269"/>
      <c r="HHQ235" s="269"/>
      <c r="HHR235" s="269"/>
      <c r="HHS235" s="269"/>
      <c r="HHT235" s="269"/>
      <c r="HHU235" s="269"/>
      <c r="HHV235" s="269"/>
      <c r="HHW235" s="269"/>
      <c r="HHX235" s="269"/>
      <c r="HHY235" s="269"/>
      <c r="HHZ235" s="269"/>
      <c r="HIA235" s="269"/>
      <c r="HIB235" s="269"/>
      <c r="HIC235" s="269"/>
      <c r="HID235" s="269"/>
      <c r="HIE235" s="269"/>
      <c r="HIF235" s="269"/>
      <c r="HIG235" s="269"/>
      <c r="HIH235" s="269"/>
      <c r="HII235" s="269"/>
      <c r="HIJ235" s="269"/>
      <c r="HIK235" s="269"/>
      <c r="HIL235" s="269"/>
      <c r="HIM235" s="269"/>
      <c r="HIN235" s="269"/>
      <c r="HIO235" s="269"/>
      <c r="HIP235" s="269"/>
      <c r="HIQ235" s="269"/>
      <c r="HIR235" s="269"/>
      <c r="HIS235" s="269"/>
      <c r="HIT235" s="269"/>
      <c r="HIU235" s="269"/>
      <c r="HIV235" s="269"/>
      <c r="HIW235" s="269"/>
      <c r="HIX235" s="269"/>
      <c r="HIY235" s="269"/>
      <c r="HIZ235" s="269"/>
      <c r="HJA235" s="269"/>
      <c r="HJB235" s="269"/>
      <c r="HJC235" s="269"/>
      <c r="HJD235" s="269"/>
      <c r="HJE235" s="269"/>
      <c r="HJF235" s="269"/>
      <c r="HJG235" s="269"/>
      <c r="HJH235" s="269"/>
      <c r="HJI235" s="269"/>
      <c r="HJJ235" s="269"/>
      <c r="HJK235" s="269"/>
      <c r="HJL235" s="269"/>
      <c r="HJM235" s="269"/>
      <c r="HJN235" s="269"/>
      <c r="HJO235" s="269"/>
      <c r="HJP235" s="269"/>
      <c r="HJQ235" s="269"/>
      <c r="HJR235" s="269"/>
      <c r="HJS235" s="269"/>
      <c r="HJT235" s="269"/>
      <c r="HJU235" s="269"/>
      <c r="HJV235" s="269"/>
      <c r="HJW235" s="269"/>
      <c r="HJX235" s="269"/>
      <c r="HJY235" s="269"/>
      <c r="HJZ235" s="269"/>
      <c r="HKA235" s="269"/>
      <c r="HKB235" s="269"/>
      <c r="HKC235" s="269"/>
      <c r="HKD235" s="269"/>
      <c r="HKE235" s="269"/>
      <c r="HKF235" s="269"/>
      <c r="HKG235" s="269"/>
      <c r="HKH235" s="269"/>
      <c r="HKI235" s="269"/>
      <c r="HKJ235" s="269"/>
      <c r="HKK235" s="269"/>
      <c r="HKL235" s="269"/>
      <c r="HKM235" s="269"/>
      <c r="HKN235" s="269"/>
      <c r="HKO235" s="269"/>
      <c r="HKP235" s="269"/>
      <c r="HKQ235" s="269"/>
      <c r="HKR235" s="269"/>
      <c r="HKS235" s="269"/>
      <c r="HKT235" s="269"/>
      <c r="HKU235" s="269"/>
      <c r="HKV235" s="269"/>
      <c r="HKW235" s="269"/>
      <c r="HKX235" s="269"/>
      <c r="HKY235" s="269"/>
      <c r="HKZ235" s="269"/>
      <c r="HLA235" s="269"/>
      <c r="HLB235" s="269"/>
      <c r="HLC235" s="269"/>
      <c r="HLD235" s="269"/>
      <c r="HLE235" s="269"/>
      <c r="HLF235" s="269"/>
      <c r="HLG235" s="269"/>
      <c r="HLH235" s="269"/>
      <c r="HLI235" s="269"/>
      <c r="HLJ235" s="269"/>
      <c r="HLK235" s="269"/>
      <c r="HLL235" s="269"/>
      <c r="HLM235" s="269"/>
      <c r="HLN235" s="269"/>
      <c r="HLO235" s="269"/>
      <c r="HLP235" s="269"/>
      <c r="HLQ235" s="269"/>
      <c r="HLR235" s="269"/>
      <c r="HLS235" s="269"/>
      <c r="HLT235" s="269"/>
      <c r="HLU235" s="269"/>
      <c r="HLV235" s="269"/>
      <c r="HLW235" s="269"/>
      <c r="HLX235" s="269"/>
      <c r="HLY235" s="269"/>
      <c r="HLZ235" s="269"/>
      <c r="HMA235" s="269"/>
      <c r="HMB235" s="269"/>
      <c r="HMC235" s="269"/>
      <c r="HMD235" s="269"/>
      <c r="HME235" s="269"/>
      <c r="HMF235" s="269"/>
      <c r="HMG235" s="269"/>
      <c r="HMH235" s="269"/>
      <c r="HMI235" s="269"/>
      <c r="HMJ235" s="269"/>
      <c r="HMK235" s="269"/>
      <c r="HML235" s="269"/>
      <c r="HMM235" s="269"/>
      <c r="HMN235" s="269"/>
      <c r="HMO235" s="269"/>
      <c r="HMP235" s="269"/>
      <c r="HMQ235" s="269"/>
      <c r="HMR235" s="269"/>
      <c r="HMS235" s="269"/>
      <c r="HMT235" s="269"/>
      <c r="HMU235" s="269"/>
      <c r="HMV235" s="269"/>
      <c r="HMW235" s="269"/>
      <c r="HMX235" s="269"/>
      <c r="HMY235" s="269"/>
      <c r="HMZ235" s="269"/>
      <c r="HNA235" s="269"/>
      <c r="HNB235" s="269"/>
      <c r="HNC235" s="269"/>
      <c r="HND235" s="269"/>
      <c r="HNE235" s="269"/>
      <c r="HNF235" s="269"/>
      <c r="HNG235" s="269"/>
      <c r="HNH235" s="269"/>
      <c r="HNI235" s="269"/>
      <c r="HNJ235" s="269"/>
      <c r="HNK235" s="269"/>
      <c r="HNL235" s="269"/>
      <c r="HNM235" s="269"/>
      <c r="HNN235" s="269"/>
      <c r="HNO235" s="269"/>
      <c r="HNP235" s="269"/>
      <c r="HNQ235" s="269"/>
      <c r="HNR235" s="269"/>
      <c r="HNS235" s="269"/>
      <c r="HNT235" s="269"/>
      <c r="HNU235" s="269"/>
      <c r="HNV235" s="269"/>
      <c r="HNW235" s="269"/>
      <c r="HNX235" s="269"/>
      <c r="HNY235" s="269"/>
      <c r="HNZ235" s="269"/>
      <c r="HOA235" s="269"/>
      <c r="HOB235" s="269"/>
      <c r="HOC235" s="269"/>
      <c r="HOD235" s="269"/>
      <c r="HOE235" s="269"/>
      <c r="HOF235" s="269"/>
      <c r="HOG235" s="269"/>
      <c r="HOH235" s="269"/>
      <c r="HOI235" s="269"/>
      <c r="HOJ235" s="269"/>
      <c r="HOK235" s="269"/>
      <c r="HOL235" s="269"/>
      <c r="HOM235" s="269"/>
      <c r="HON235" s="269"/>
      <c r="HOO235" s="269"/>
      <c r="HOP235" s="269"/>
      <c r="HOQ235" s="269"/>
      <c r="HOR235" s="269"/>
      <c r="HOS235" s="269"/>
      <c r="HOT235" s="269"/>
      <c r="HOU235" s="269"/>
      <c r="HOV235" s="269"/>
      <c r="HOW235" s="269"/>
      <c r="HOX235" s="269"/>
      <c r="HOY235" s="269"/>
      <c r="HOZ235" s="269"/>
      <c r="HPA235" s="269"/>
      <c r="HPB235" s="269"/>
      <c r="HPC235" s="269"/>
      <c r="HPD235" s="269"/>
      <c r="HPE235" s="269"/>
      <c r="HPF235" s="269"/>
      <c r="HPG235" s="269"/>
      <c r="HPH235" s="269"/>
      <c r="HPI235" s="269"/>
      <c r="HPJ235" s="269"/>
      <c r="HPK235" s="269"/>
      <c r="HPL235" s="269"/>
      <c r="HPM235" s="269"/>
      <c r="HPN235" s="269"/>
      <c r="HPO235" s="269"/>
      <c r="HPP235" s="269"/>
      <c r="HPQ235" s="269"/>
      <c r="HPR235" s="269"/>
      <c r="HPS235" s="269"/>
      <c r="HPT235" s="269"/>
      <c r="HPU235" s="269"/>
      <c r="HPV235" s="269"/>
      <c r="HPW235" s="269"/>
      <c r="HPX235" s="269"/>
      <c r="HPY235" s="269"/>
      <c r="HPZ235" s="269"/>
      <c r="HQA235" s="269"/>
      <c r="HQB235" s="269"/>
      <c r="HQC235" s="269"/>
      <c r="HQD235" s="269"/>
      <c r="HQE235" s="269"/>
      <c r="HQF235" s="269"/>
      <c r="HQG235" s="269"/>
      <c r="HQH235" s="269"/>
      <c r="HQI235" s="269"/>
      <c r="HQJ235" s="269"/>
      <c r="HQK235" s="269"/>
      <c r="HQL235" s="269"/>
      <c r="HQM235" s="269"/>
      <c r="HQN235" s="269"/>
      <c r="HQO235" s="269"/>
      <c r="HQP235" s="269"/>
      <c r="HQQ235" s="269"/>
      <c r="HQR235" s="269"/>
      <c r="HQS235" s="269"/>
      <c r="HQT235" s="269"/>
      <c r="HQU235" s="269"/>
      <c r="HQV235" s="269"/>
      <c r="HQW235" s="269"/>
      <c r="HQX235" s="269"/>
      <c r="HQY235" s="269"/>
      <c r="HQZ235" s="269"/>
      <c r="HRA235" s="269"/>
      <c r="HRB235" s="269"/>
      <c r="HRC235" s="269"/>
      <c r="HRD235" s="269"/>
      <c r="HRE235" s="269"/>
      <c r="HRF235" s="269"/>
      <c r="HRG235" s="269"/>
      <c r="HRH235" s="269"/>
      <c r="HRI235" s="269"/>
      <c r="HRJ235" s="269"/>
      <c r="HRK235" s="269"/>
      <c r="HRL235" s="269"/>
      <c r="HRM235" s="269"/>
      <c r="HRN235" s="269"/>
      <c r="HRO235" s="269"/>
      <c r="HRP235" s="269"/>
      <c r="HRQ235" s="269"/>
      <c r="HRR235" s="269"/>
      <c r="HRS235" s="269"/>
      <c r="HRT235" s="269"/>
      <c r="HRU235" s="269"/>
      <c r="HRV235" s="269"/>
      <c r="HRW235" s="269"/>
      <c r="HRX235" s="269"/>
      <c r="HRY235" s="269"/>
      <c r="HRZ235" s="269"/>
      <c r="HSA235" s="269"/>
      <c r="HSB235" s="269"/>
      <c r="HSC235" s="269"/>
      <c r="HSD235" s="269"/>
      <c r="HSE235" s="269"/>
      <c r="HSF235" s="269"/>
      <c r="HSG235" s="269"/>
      <c r="HSH235" s="269"/>
      <c r="HSI235" s="269"/>
      <c r="HSJ235" s="269"/>
      <c r="HSK235" s="269"/>
      <c r="HSL235" s="269"/>
      <c r="HSM235" s="269"/>
      <c r="HSN235" s="269"/>
      <c r="HSO235" s="269"/>
      <c r="HSP235" s="269"/>
      <c r="HSQ235" s="269"/>
      <c r="HSR235" s="269"/>
      <c r="HSS235" s="269"/>
      <c r="HST235" s="269"/>
      <c r="HSU235" s="269"/>
      <c r="HSV235" s="269"/>
      <c r="HSW235" s="269"/>
      <c r="HSX235" s="269"/>
      <c r="HSY235" s="269"/>
      <c r="HSZ235" s="269"/>
      <c r="HTA235" s="269"/>
      <c r="HTB235" s="269"/>
      <c r="HTC235" s="269"/>
      <c r="HTD235" s="269"/>
      <c r="HTE235" s="269"/>
      <c r="HTF235" s="269"/>
      <c r="HTG235" s="269"/>
      <c r="HTH235" s="269"/>
      <c r="HTI235" s="269"/>
      <c r="HTJ235" s="269"/>
      <c r="HTK235" s="269"/>
      <c r="HTL235" s="269"/>
      <c r="HTM235" s="269"/>
      <c r="HTN235" s="269"/>
      <c r="HTO235" s="269"/>
      <c r="HTP235" s="269"/>
      <c r="HTQ235" s="269"/>
      <c r="HTR235" s="269"/>
      <c r="HTS235" s="269"/>
      <c r="HTT235" s="269"/>
      <c r="HTU235" s="269"/>
      <c r="HTV235" s="269"/>
      <c r="HTW235" s="269"/>
      <c r="HTX235" s="269"/>
      <c r="HTY235" s="269"/>
      <c r="HTZ235" s="269"/>
      <c r="HUA235" s="269"/>
      <c r="HUB235" s="269"/>
      <c r="HUC235" s="269"/>
      <c r="HUD235" s="269"/>
      <c r="HUE235" s="269"/>
      <c r="HUF235" s="269"/>
      <c r="HUG235" s="269"/>
      <c r="HUH235" s="269"/>
      <c r="HUI235" s="269"/>
      <c r="HUJ235" s="269"/>
      <c r="HUK235" s="269"/>
      <c r="HUL235" s="269"/>
      <c r="HUM235" s="269"/>
      <c r="HUN235" s="269"/>
      <c r="HUO235" s="269"/>
      <c r="HUP235" s="269"/>
      <c r="HUQ235" s="269"/>
      <c r="HUR235" s="269"/>
      <c r="HUS235" s="269"/>
      <c r="HUT235" s="269"/>
      <c r="HUU235" s="269"/>
      <c r="HUV235" s="269"/>
      <c r="HUW235" s="269"/>
      <c r="HUX235" s="269"/>
      <c r="HUY235" s="269"/>
      <c r="HUZ235" s="269"/>
      <c r="HVA235" s="269"/>
      <c r="HVB235" s="269"/>
      <c r="HVC235" s="269"/>
      <c r="HVD235" s="269"/>
      <c r="HVE235" s="269"/>
      <c r="HVF235" s="269"/>
      <c r="HVG235" s="269"/>
      <c r="HVH235" s="269"/>
      <c r="HVI235" s="269"/>
      <c r="HVJ235" s="269"/>
      <c r="HVK235" s="269"/>
      <c r="HVL235" s="269"/>
      <c r="HVM235" s="269"/>
      <c r="HVN235" s="269"/>
      <c r="HVO235" s="269"/>
      <c r="HVP235" s="269"/>
      <c r="HVQ235" s="269"/>
      <c r="HVR235" s="269"/>
      <c r="HVS235" s="269"/>
      <c r="HVT235" s="269"/>
      <c r="HVU235" s="269"/>
      <c r="HVV235" s="269"/>
      <c r="HVW235" s="269"/>
      <c r="HVX235" s="269"/>
      <c r="HVY235" s="269"/>
      <c r="HVZ235" s="269"/>
      <c r="HWA235" s="269"/>
      <c r="HWB235" s="269"/>
      <c r="HWC235" s="269"/>
      <c r="HWD235" s="269"/>
      <c r="HWE235" s="269"/>
      <c r="HWF235" s="269"/>
      <c r="HWG235" s="269"/>
      <c r="HWH235" s="269"/>
      <c r="HWI235" s="269"/>
      <c r="HWJ235" s="269"/>
      <c r="HWK235" s="269"/>
      <c r="HWL235" s="269"/>
      <c r="HWM235" s="269"/>
      <c r="HWN235" s="269"/>
      <c r="HWO235" s="269"/>
      <c r="HWP235" s="269"/>
      <c r="HWQ235" s="269"/>
      <c r="HWR235" s="269"/>
      <c r="HWS235" s="269"/>
      <c r="HWT235" s="269"/>
      <c r="HWU235" s="269"/>
      <c r="HWV235" s="269"/>
      <c r="HWW235" s="269"/>
      <c r="HWX235" s="269"/>
      <c r="HWY235" s="269"/>
      <c r="HWZ235" s="269"/>
      <c r="HXA235" s="269"/>
      <c r="HXB235" s="269"/>
      <c r="HXC235" s="269"/>
      <c r="HXD235" s="269"/>
      <c r="HXE235" s="269"/>
      <c r="HXF235" s="269"/>
      <c r="HXG235" s="269"/>
      <c r="HXH235" s="269"/>
      <c r="HXI235" s="269"/>
      <c r="HXJ235" s="269"/>
      <c r="HXK235" s="269"/>
      <c r="HXL235" s="269"/>
      <c r="HXM235" s="269"/>
      <c r="HXN235" s="269"/>
      <c r="HXO235" s="269"/>
      <c r="HXP235" s="269"/>
      <c r="HXQ235" s="269"/>
      <c r="HXR235" s="269"/>
      <c r="HXS235" s="269"/>
      <c r="HXT235" s="269"/>
      <c r="HXU235" s="269"/>
      <c r="HXV235" s="269"/>
      <c r="HXW235" s="269"/>
      <c r="HXX235" s="269"/>
      <c r="HXY235" s="269"/>
      <c r="HXZ235" s="269"/>
      <c r="HYA235" s="269"/>
      <c r="HYB235" s="269"/>
      <c r="HYC235" s="269"/>
      <c r="HYD235" s="269"/>
      <c r="HYE235" s="269"/>
      <c r="HYF235" s="269"/>
      <c r="HYG235" s="269"/>
      <c r="HYH235" s="269"/>
      <c r="HYI235" s="269"/>
      <c r="HYJ235" s="269"/>
      <c r="HYK235" s="269"/>
      <c r="HYL235" s="269"/>
      <c r="HYM235" s="269"/>
      <c r="HYN235" s="269"/>
      <c r="HYO235" s="269"/>
      <c r="HYP235" s="269"/>
      <c r="HYQ235" s="269"/>
      <c r="HYR235" s="269"/>
      <c r="HYS235" s="269"/>
      <c r="HYT235" s="269"/>
      <c r="HYU235" s="269"/>
      <c r="HYV235" s="269"/>
      <c r="HYW235" s="269"/>
      <c r="HYX235" s="269"/>
      <c r="HYY235" s="269"/>
      <c r="HYZ235" s="269"/>
      <c r="HZA235" s="269"/>
      <c r="HZB235" s="269"/>
      <c r="HZC235" s="269"/>
      <c r="HZD235" s="269"/>
      <c r="HZE235" s="269"/>
      <c r="HZF235" s="269"/>
      <c r="HZG235" s="269"/>
      <c r="HZH235" s="269"/>
      <c r="HZI235" s="269"/>
      <c r="HZJ235" s="269"/>
      <c r="HZK235" s="269"/>
      <c r="HZL235" s="269"/>
      <c r="HZM235" s="269"/>
      <c r="HZN235" s="269"/>
      <c r="HZO235" s="269"/>
      <c r="HZP235" s="269"/>
      <c r="HZQ235" s="269"/>
      <c r="HZR235" s="269"/>
      <c r="HZS235" s="269"/>
      <c r="HZT235" s="269"/>
      <c r="HZU235" s="269"/>
      <c r="HZV235" s="269"/>
      <c r="HZW235" s="269"/>
      <c r="HZX235" s="269"/>
      <c r="HZY235" s="269"/>
      <c r="HZZ235" s="269"/>
      <c r="IAA235" s="269"/>
      <c r="IAB235" s="269"/>
      <c r="IAC235" s="269"/>
      <c r="IAD235" s="269"/>
      <c r="IAE235" s="269"/>
      <c r="IAF235" s="269"/>
      <c r="IAG235" s="269"/>
      <c r="IAH235" s="269"/>
      <c r="IAI235" s="269"/>
      <c r="IAJ235" s="269"/>
      <c r="IAK235" s="269"/>
      <c r="IAL235" s="269"/>
      <c r="IAM235" s="269"/>
      <c r="IAN235" s="269"/>
      <c r="IAO235" s="269"/>
      <c r="IAP235" s="269"/>
      <c r="IAQ235" s="269"/>
      <c r="IAR235" s="269"/>
      <c r="IAS235" s="269"/>
      <c r="IAT235" s="269"/>
      <c r="IAU235" s="269"/>
      <c r="IAV235" s="269"/>
      <c r="IAW235" s="269"/>
      <c r="IAX235" s="269"/>
      <c r="IAY235" s="269"/>
      <c r="IAZ235" s="269"/>
      <c r="IBA235" s="269"/>
      <c r="IBB235" s="269"/>
      <c r="IBC235" s="269"/>
      <c r="IBD235" s="269"/>
      <c r="IBE235" s="269"/>
      <c r="IBF235" s="269"/>
      <c r="IBG235" s="269"/>
      <c r="IBH235" s="269"/>
      <c r="IBI235" s="269"/>
      <c r="IBJ235" s="269"/>
      <c r="IBK235" s="269"/>
      <c r="IBL235" s="269"/>
      <c r="IBM235" s="269"/>
      <c r="IBN235" s="269"/>
      <c r="IBO235" s="269"/>
      <c r="IBP235" s="269"/>
      <c r="IBQ235" s="269"/>
      <c r="IBR235" s="269"/>
      <c r="IBS235" s="269"/>
      <c r="IBT235" s="269"/>
      <c r="IBU235" s="269"/>
      <c r="IBV235" s="269"/>
      <c r="IBW235" s="269"/>
      <c r="IBX235" s="269"/>
      <c r="IBY235" s="269"/>
      <c r="IBZ235" s="269"/>
      <c r="ICA235" s="269"/>
      <c r="ICB235" s="269"/>
      <c r="ICC235" s="269"/>
      <c r="ICD235" s="269"/>
      <c r="ICE235" s="269"/>
      <c r="ICF235" s="269"/>
      <c r="ICG235" s="269"/>
      <c r="ICH235" s="269"/>
      <c r="ICI235" s="269"/>
      <c r="ICJ235" s="269"/>
      <c r="ICK235" s="269"/>
      <c r="ICL235" s="269"/>
      <c r="ICM235" s="269"/>
      <c r="ICN235" s="269"/>
      <c r="ICO235" s="269"/>
      <c r="ICP235" s="269"/>
      <c r="ICQ235" s="269"/>
      <c r="ICR235" s="269"/>
      <c r="ICS235" s="269"/>
      <c r="ICT235" s="269"/>
      <c r="ICU235" s="269"/>
      <c r="ICV235" s="269"/>
      <c r="ICW235" s="269"/>
      <c r="ICX235" s="269"/>
      <c r="ICY235" s="269"/>
      <c r="ICZ235" s="269"/>
      <c r="IDA235" s="269"/>
      <c r="IDB235" s="269"/>
      <c r="IDC235" s="269"/>
      <c r="IDD235" s="269"/>
      <c r="IDE235" s="269"/>
      <c r="IDF235" s="269"/>
      <c r="IDG235" s="269"/>
      <c r="IDH235" s="269"/>
      <c r="IDI235" s="269"/>
      <c r="IDJ235" s="269"/>
      <c r="IDK235" s="269"/>
      <c r="IDL235" s="269"/>
      <c r="IDM235" s="269"/>
      <c r="IDN235" s="269"/>
      <c r="IDO235" s="269"/>
      <c r="IDP235" s="269"/>
      <c r="IDQ235" s="269"/>
      <c r="IDR235" s="269"/>
      <c r="IDS235" s="269"/>
      <c r="IDT235" s="269"/>
      <c r="IDU235" s="269"/>
      <c r="IDV235" s="269"/>
      <c r="IDW235" s="269"/>
      <c r="IDX235" s="269"/>
      <c r="IDY235" s="269"/>
      <c r="IDZ235" s="269"/>
      <c r="IEA235" s="269"/>
      <c r="IEB235" s="269"/>
      <c r="IEC235" s="269"/>
      <c r="IED235" s="269"/>
      <c r="IEE235" s="269"/>
      <c r="IEF235" s="269"/>
      <c r="IEG235" s="269"/>
      <c r="IEH235" s="269"/>
      <c r="IEI235" s="269"/>
      <c r="IEJ235" s="269"/>
      <c r="IEK235" s="269"/>
      <c r="IEL235" s="269"/>
      <c r="IEM235" s="269"/>
      <c r="IEN235" s="269"/>
      <c r="IEO235" s="269"/>
      <c r="IEP235" s="269"/>
      <c r="IEQ235" s="269"/>
      <c r="IER235" s="269"/>
      <c r="IES235" s="269"/>
      <c r="IET235" s="269"/>
      <c r="IEU235" s="269"/>
      <c r="IEV235" s="269"/>
      <c r="IEW235" s="269"/>
      <c r="IEX235" s="269"/>
      <c r="IEY235" s="269"/>
      <c r="IEZ235" s="269"/>
      <c r="IFA235" s="269"/>
      <c r="IFB235" s="269"/>
      <c r="IFC235" s="269"/>
      <c r="IFD235" s="269"/>
      <c r="IFE235" s="269"/>
      <c r="IFF235" s="269"/>
      <c r="IFG235" s="269"/>
      <c r="IFH235" s="269"/>
      <c r="IFI235" s="269"/>
      <c r="IFJ235" s="269"/>
      <c r="IFK235" s="269"/>
      <c r="IFL235" s="269"/>
      <c r="IFM235" s="269"/>
      <c r="IFN235" s="269"/>
      <c r="IFO235" s="269"/>
      <c r="IFP235" s="269"/>
      <c r="IFQ235" s="269"/>
      <c r="IFR235" s="269"/>
      <c r="IFS235" s="269"/>
      <c r="IFT235" s="269"/>
      <c r="IFU235" s="269"/>
      <c r="IFV235" s="269"/>
      <c r="IFW235" s="269"/>
      <c r="IFX235" s="269"/>
      <c r="IFY235" s="269"/>
      <c r="IFZ235" s="269"/>
      <c r="IGA235" s="269"/>
      <c r="IGB235" s="269"/>
      <c r="IGC235" s="269"/>
      <c r="IGD235" s="269"/>
      <c r="IGE235" s="269"/>
      <c r="IGF235" s="269"/>
      <c r="IGG235" s="269"/>
      <c r="IGH235" s="269"/>
      <c r="IGI235" s="269"/>
      <c r="IGJ235" s="269"/>
      <c r="IGK235" s="269"/>
      <c r="IGL235" s="269"/>
      <c r="IGM235" s="269"/>
      <c r="IGN235" s="269"/>
      <c r="IGO235" s="269"/>
      <c r="IGP235" s="269"/>
      <c r="IGQ235" s="269"/>
      <c r="IGR235" s="269"/>
      <c r="IGS235" s="269"/>
      <c r="IGT235" s="269"/>
      <c r="IGU235" s="269"/>
      <c r="IGV235" s="269"/>
      <c r="IGW235" s="269"/>
      <c r="IGX235" s="269"/>
      <c r="IGY235" s="269"/>
      <c r="IGZ235" s="269"/>
      <c r="IHA235" s="269"/>
      <c r="IHB235" s="269"/>
      <c r="IHC235" s="269"/>
      <c r="IHD235" s="269"/>
      <c r="IHE235" s="269"/>
      <c r="IHF235" s="269"/>
      <c r="IHG235" s="269"/>
      <c r="IHH235" s="269"/>
      <c r="IHI235" s="269"/>
      <c r="IHJ235" s="269"/>
      <c r="IHK235" s="269"/>
      <c r="IHL235" s="269"/>
      <c r="IHM235" s="269"/>
      <c r="IHN235" s="269"/>
      <c r="IHO235" s="269"/>
      <c r="IHP235" s="269"/>
      <c r="IHQ235" s="269"/>
      <c r="IHR235" s="269"/>
      <c r="IHS235" s="269"/>
      <c r="IHT235" s="269"/>
      <c r="IHU235" s="269"/>
      <c r="IHV235" s="269"/>
      <c r="IHW235" s="269"/>
      <c r="IHX235" s="269"/>
      <c r="IHY235" s="269"/>
      <c r="IHZ235" s="269"/>
      <c r="IIA235" s="269"/>
      <c r="IIB235" s="269"/>
      <c r="IIC235" s="269"/>
      <c r="IID235" s="269"/>
      <c r="IIE235" s="269"/>
      <c r="IIF235" s="269"/>
      <c r="IIG235" s="269"/>
      <c r="IIH235" s="269"/>
      <c r="III235" s="269"/>
      <c r="IIJ235" s="269"/>
      <c r="IIK235" s="269"/>
      <c r="IIL235" s="269"/>
      <c r="IIM235" s="269"/>
      <c r="IIN235" s="269"/>
      <c r="IIO235" s="269"/>
      <c r="IIP235" s="269"/>
      <c r="IIQ235" s="269"/>
      <c r="IIR235" s="269"/>
      <c r="IIS235" s="269"/>
      <c r="IIT235" s="269"/>
      <c r="IIU235" s="269"/>
      <c r="IIV235" s="269"/>
      <c r="IIW235" s="269"/>
      <c r="IIX235" s="269"/>
      <c r="IIY235" s="269"/>
      <c r="IIZ235" s="269"/>
      <c r="IJA235" s="269"/>
      <c r="IJB235" s="269"/>
      <c r="IJC235" s="269"/>
      <c r="IJD235" s="269"/>
      <c r="IJE235" s="269"/>
      <c r="IJF235" s="269"/>
      <c r="IJG235" s="269"/>
      <c r="IJH235" s="269"/>
      <c r="IJI235" s="269"/>
      <c r="IJJ235" s="269"/>
      <c r="IJK235" s="269"/>
      <c r="IJL235" s="269"/>
      <c r="IJM235" s="269"/>
      <c r="IJN235" s="269"/>
      <c r="IJO235" s="269"/>
      <c r="IJP235" s="269"/>
      <c r="IJQ235" s="269"/>
      <c r="IJR235" s="269"/>
      <c r="IJS235" s="269"/>
      <c r="IJT235" s="269"/>
      <c r="IJU235" s="269"/>
      <c r="IJV235" s="269"/>
      <c r="IJW235" s="269"/>
      <c r="IJX235" s="269"/>
      <c r="IJY235" s="269"/>
      <c r="IJZ235" s="269"/>
      <c r="IKA235" s="269"/>
      <c r="IKB235" s="269"/>
      <c r="IKC235" s="269"/>
      <c r="IKD235" s="269"/>
      <c r="IKE235" s="269"/>
      <c r="IKF235" s="269"/>
      <c r="IKG235" s="269"/>
      <c r="IKH235" s="269"/>
      <c r="IKI235" s="269"/>
      <c r="IKJ235" s="269"/>
      <c r="IKK235" s="269"/>
      <c r="IKL235" s="269"/>
      <c r="IKM235" s="269"/>
      <c r="IKN235" s="269"/>
      <c r="IKO235" s="269"/>
      <c r="IKP235" s="269"/>
      <c r="IKQ235" s="269"/>
      <c r="IKR235" s="269"/>
      <c r="IKS235" s="269"/>
      <c r="IKT235" s="269"/>
      <c r="IKU235" s="269"/>
      <c r="IKV235" s="269"/>
      <c r="IKW235" s="269"/>
      <c r="IKX235" s="269"/>
      <c r="IKY235" s="269"/>
      <c r="IKZ235" s="269"/>
      <c r="ILA235" s="269"/>
      <c r="ILB235" s="269"/>
      <c r="ILC235" s="269"/>
      <c r="ILD235" s="269"/>
      <c r="ILE235" s="269"/>
      <c r="ILF235" s="269"/>
      <c r="ILG235" s="269"/>
      <c r="ILH235" s="269"/>
      <c r="ILI235" s="269"/>
      <c r="ILJ235" s="269"/>
      <c r="ILK235" s="269"/>
      <c r="ILL235" s="269"/>
      <c r="ILM235" s="269"/>
      <c r="ILN235" s="269"/>
      <c r="ILO235" s="269"/>
      <c r="ILP235" s="269"/>
      <c r="ILQ235" s="269"/>
      <c r="ILR235" s="269"/>
      <c r="ILS235" s="269"/>
      <c r="ILT235" s="269"/>
      <c r="ILU235" s="269"/>
      <c r="ILV235" s="269"/>
      <c r="ILW235" s="269"/>
      <c r="ILX235" s="269"/>
      <c r="ILY235" s="269"/>
      <c r="ILZ235" s="269"/>
      <c r="IMA235" s="269"/>
      <c r="IMB235" s="269"/>
      <c r="IMC235" s="269"/>
      <c r="IMD235" s="269"/>
      <c r="IME235" s="269"/>
      <c r="IMF235" s="269"/>
      <c r="IMG235" s="269"/>
      <c r="IMH235" s="269"/>
      <c r="IMI235" s="269"/>
      <c r="IMJ235" s="269"/>
      <c r="IMK235" s="269"/>
      <c r="IML235" s="269"/>
      <c r="IMM235" s="269"/>
      <c r="IMN235" s="269"/>
      <c r="IMO235" s="269"/>
      <c r="IMP235" s="269"/>
      <c r="IMQ235" s="269"/>
      <c r="IMR235" s="269"/>
      <c r="IMS235" s="269"/>
      <c r="IMT235" s="269"/>
      <c r="IMU235" s="269"/>
      <c r="IMV235" s="269"/>
      <c r="IMW235" s="269"/>
      <c r="IMX235" s="269"/>
      <c r="IMY235" s="269"/>
      <c r="IMZ235" s="269"/>
      <c r="INA235" s="269"/>
      <c r="INB235" s="269"/>
      <c r="INC235" s="269"/>
      <c r="IND235" s="269"/>
      <c r="INE235" s="269"/>
      <c r="INF235" s="269"/>
      <c r="ING235" s="269"/>
      <c r="INH235" s="269"/>
      <c r="INI235" s="269"/>
      <c r="INJ235" s="269"/>
      <c r="INK235" s="269"/>
      <c r="INL235" s="269"/>
      <c r="INM235" s="269"/>
      <c r="INN235" s="269"/>
      <c r="INO235" s="269"/>
      <c r="INP235" s="269"/>
      <c r="INQ235" s="269"/>
      <c r="INR235" s="269"/>
      <c r="INS235" s="269"/>
      <c r="INT235" s="269"/>
      <c r="INU235" s="269"/>
      <c r="INV235" s="269"/>
      <c r="INW235" s="269"/>
      <c r="INX235" s="269"/>
      <c r="INY235" s="269"/>
      <c r="INZ235" s="269"/>
      <c r="IOA235" s="269"/>
      <c r="IOB235" s="269"/>
      <c r="IOC235" s="269"/>
      <c r="IOD235" s="269"/>
      <c r="IOE235" s="269"/>
      <c r="IOF235" s="269"/>
      <c r="IOG235" s="269"/>
      <c r="IOH235" s="269"/>
      <c r="IOI235" s="269"/>
      <c r="IOJ235" s="269"/>
      <c r="IOK235" s="269"/>
      <c r="IOL235" s="269"/>
      <c r="IOM235" s="269"/>
      <c r="ION235" s="269"/>
      <c r="IOO235" s="269"/>
      <c r="IOP235" s="269"/>
      <c r="IOQ235" s="269"/>
      <c r="IOR235" s="269"/>
      <c r="IOS235" s="269"/>
      <c r="IOT235" s="269"/>
      <c r="IOU235" s="269"/>
      <c r="IOV235" s="269"/>
      <c r="IOW235" s="269"/>
      <c r="IOX235" s="269"/>
      <c r="IOY235" s="269"/>
      <c r="IOZ235" s="269"/>
      <c r="IPA235" s="269"/>
      <c r="IPB235" s="269"/>
      <c r="IPC235" s="269"/>
      <c r="IPD235" s="269"/>
      <c r="IPE235" s="269"/>
      <c r="IPF235" s="269"/>
      <c r="IPG235" s="269"/>
      <c r="IPH235" s="269"/>
      <c r="IPI235" s="269"/>
      <c r="IPJ235" s="269"/>
      <c r="IPK235" s="269"/>
      <c r="IPL235" s="269"/>
      <c r="IPM235" s="269"/>
      <c r="IPN235" s="269"/>
      <c r="IPO235" s="269"/>
      <c r="IPP235" s="269"/>
      <c r="IPQ235" s="269"/>
      <c r="IPR235" s="269"/>
      <c r="IPS235" s="269"/>
      <c r="IPT235" s="269"/>
      <c r="IPU235" s="269"/>
      <c r="IPV235" s="269"/>
      <c r="IPW235" s="269"/>
      <c r="IPX235" s="269"/>
      <c r="IPY235" s="269"/>
      <c r="IPZ235" s="269"/>
      <c r="IQA235" s="269"/>
      <c r="IQB235" s="269"/>
      <c r="IQC235" s="269"/>
      <c r="IQD235" s="269"/>
      <c r="IQE235" s="269"/>
      <c r="IQF235" s="269"/>
      <c r="IQG235" s="269"/>
      <c r="IQH235" s="269"/>
      <c r="IQI235" s="269"/>
      <c r="IQJ235" s="269"/>
      <c r="IQK235" s="269"/>
      <c r="IQL235" s="269"/>
      <c r="IQM235" s="269"/>
      <c r="IQN235" s="269"/>
      <c r="IQO235" s="269"/>
      <c r="IQP235" s="269"/>
      <c r="IQQ235" s="269"/>
      <c r="IQR235" s="269"/>
      <c r="IQS235" s="269"/>
      <c r="IQT235" s="269"/>
      <c r="IQU235" s="269"/>
      <c r="IQV235" s="269"/>
      <c r="IQW235" s="269"/>
      <c r="IQX235" s="269"/>
      <c r="IQY235" s="269"/>
      <c r="IQZ235" s="269"/>
      <c r="IRA235" s="269"/>
      <c r="IRB235" s="269"/>
      <c r="IRC235" s="269"/>
      <c r="IRD235" s="269"/>
      <c r="IRE235" s="269"/>
      <c r="IRF235" s="269"/>
      <c r="IRG235" s="269"/>
      <c r="IRH235" s="269"/>
      <c r="IRI235" s="269"/>
      <c r="IRJ235" s="269"/>
      <c r="IRK235" s="269"/>
      <c r="IRL235" s="269"/>
      <c r="IRM235" s="269"/>
      <c r="IRN235" s="269"/>
      <c r="IRO235" s="269"/>
      <c r="IRP235" s="269"/>
      <c r="IRQ235" s="269"/>
      <c r="IRR235" s="269"/>
      <c r="IRS235" s="269"/>
      <c r="IRT235" s="269"/>
      <c r="IRU235" s="269"/>
      <c r="IRV235" s="269"/>
      <c r="IRW235" s="269"/>
      <c r="IRX235" s="269"/>
      <c r="IRY235" s="269"/>
      <c r="IRZ235" s="269"/>
      <c r="ISA235" s="269"/>
      <c r="ISB235" s="269"/>
      <c r="ISC235" s="269"/>
      <c r="ISD235" s="269"/>
      <c r="ISE235" s="269"/>
      <c r="ISF235" s="269"/>
      <c r="ISG235" s="269"/>
      <c r="ISH235" s="269"/>
      <c r="ISI235" s="269"/>
      <c r="ISJ235" s="269"/>
      <c r="ISK235" s="269"/>
      <c r="ISL235" s="269"/>
      <c r="ISM235" s="269"/>
      <c r="ISN235" s="269"/>
      <c r="ISO235" s="269"/>
      <c r="ISP235" s="269"/>
      <c r="ISQ235" s="269"/>
      <c r="ISR235" s="269"/>
      <c r="ISS235" s="269"/>
      <c r="IST235" s="269"/>
      <c r="ISU235" s="269"/>
      <c r="ISV235" s="269"/>
      <c r="ISW235" s="269"/>
      <c r="ISX235" s="269"/>
      <c r="ISY235" s="269"/>
      <c r="ISZ235" s="269"/>
      <c r="ITA235" s="269"/>
      <c r="ITB235" s="269"/>
      <c r="ITC235" s="269"/>
      <c r="ITD235" s="269"/>
      <c r="ITE235" s="269"/>
      <c r="ITF235" s="269"/>
      <c r="ITG235" s="269"/>
      <c r="ITH235" s="269"/>
      <c r="ITI235" s="269"/>
      <c r="ITJ235" s="269"/>
      <c r="ITK235" s="269"/>
      <c r="ITL235" s="269"/>
      <c r="ITM235" s="269"/>
      <c r="ITN235" s="269"/>
      <c r="ITO235" s="269"/>
      <c r="ITP235" s="269"/>
      <c r="ITQ235" s="269"/>
      <c r="ITR235" s="269"/>
      <c r="ITS235" s="269"/>
      <c r="ITT235" s="269"/>
      <c r="ITU235" s="269"/>
      <c r="ITV235" s="269"/>
      <c r="ITW235" s="269"/>
      <c r="ITX235" s="269"/>
      <c r="ITY235" s="269"/>
      <c r="ITZ235" s="269"/>
      <c r="IUA235" s="269"/>
      <c r="IUB235" s="269"/>
      <c r="IUC235" s="269"/>
      <c r="IUD235" s="269"/>
      <c r="IUE235" s="269"/>
      <c r="IUF235" s="269"/>
      <c r="IUG235" s="269"/>
      <c r="IUH235" s="269"/>
      <c r="IUI235" s="269"/>
      <c r="IUJ235" s="269"/>
      <c r="IUK235" s="269"/>
      <c r="IUL235" s="269"/>
      <c r="IUM235" s="269"/>
      <c r="IUN235" s="269"/>
      <c r="IUO235" s="269"/>
      <c r="IUP235" s="269"/>
      <c r="IUQ235" s="269"/>
      <c r="IUR235" s="269"/>
      <c r="IUS235" s="269"/>
      <c r="IUT235" s="269"/>
      <c r="IUU235" s="269"/>
      <c r="IUV235" s="269"/>
      <c r="IUW235" s="269"/>
      <c r="IUX235" s="269"/>
      <c r="IUY235" s="269"/>
      <c r="IUZ235" s="269"/>
      <c r="IVA235" s="269"/>
      <c r="IVB235" s="269"/>
      <c r="IVC235" s="269"/>
      <c r="IVD235" s="269"/>
      <c r="IVE235" s="269"/>
      <c r="IVF235" s="269"/>
      <c r="IVG235" s="269"/>
      <c r="IVH235" s="269"/>
      <c r="IVI235" s="269"/>
      <c r="IVJ235" s="269"/>
      <c r="IVK235" s="269"/>
      <c r="IVL235" s="269"/>
      <c r="IVM235" s="269"/>
      <c r="IVN235" s="269"/>
      <c r="IVO235" s="269"/>
      <c r="IVP235" s="269"/>
      <c r="IVQ235" s="269"/>
      <c r="IVR235" s="269"/>
      <c r="IVS235" s="269"/>
      <c r="IVT235" s="269"/>
      <c r="IVU235" s="269"/>
      <c r="IVV235" s="269"/>
      <c r="IVW235" s="269"/>
      <c r="IVX235" s="269"/>
      <c r="IVY235" s="269"/>
      <c r="IVZ235" s="269"/>
      <c r="IWA235" s="269"/>
      <c r="IWB235" s="269"/>
      <c r="IWC235" s="269"/>
      <c r="IWD235" s="269"/>
      <c r="IWE235" s="269"/>
      <c r="IWF235" s="269"/>
      <c r="IWG235" s="269"/>
      <c r="IWH235" s="269"/>
      <c r="IWI235" s="269"/>
      <c r="IWJ235" s="269"/>
      <c r="IWK235" s="269"/>
      <c r="IWL235" s="269"/>
      <c r="IWM235" s="269"/>
      <c r="IWN235" s="269"/>
      <c r="IWO235" s="269"/>
      <c r="IWP235" s="269"/>
      <c r="IWQ235" s="269"/>
      <c r="IWR235" s="269"/>
      <c r="IWS235" s="269"/>
      <c r="IWT235" s="269"/>
      <c r="IWU235" s="269"/>
      <c r="IWV235" s="269"/>
      <c r="IWW235" s="269"/>
      <c r="IWX235" s="269"/>
      <c r="IWY235" s="269"/>
      <c r="IWZ235" s="269"/>
      <c r="IXA235" s="269"/>
      <c r="IXB235" s="269"/>
      <c r="IXC235" s="269"/>
      <c r="IXD235" s="269"/>
      <c r="IXE235" s="269"/>
      <c r="IXF235" s="269"/>
      <c r="IXG235" s="269"/>
      <c r="IXH235" s="269"/>
      <c r="IXI235" s="269"/>
      <c r="IXJ235" s="269"/>
      <c r="IXK235" s="269"/>
      <c r="IXL235" s="269"/>
      <c r="IXM235" s="269"/>
      <c r="IXN235" s="269"/>
      <c r="IXO235" s="269"/>
      <c r="IXP235" s="269"/>
      <c r="IXQ235" s="269"/>
      <c r="IXR235" s="269"/>
      <c r="IXS235" s="269"/>
      <c r="IXT235" s="269"/>
      <c r="IXU235" s="269"/>
      <c r="IXV235" s="269"/>
      <c r="IXW235" s="269"/>
      <c r="IXX235" s="269"/>
      <c r="IXY235" s="269"/>
      <c r="IXZ235" s="269"/>
      <c r="IYA235" s="269"/>
      <c r="IYB235" s="269"/>
      <c r="IYC235" s="269"/>
      <c r="IYD235" s="269"/>
      <c r="IYE235" s="269"/>
      <c r="IYF235" s="269"/>
      <c r="IYG235" s="269"/>
      <c r="IYH235" s="269"/>
      <c r="IYI235" s="269"/>
      <c r="IYJ235" s="269"/>
      <c r="IYK235" s="269"/>
      <c r="IYL235" s="269"/>
      <c r="IYM235" s="269"/>
      <c r="IYN235" s="269"/>
      <c r="IYO235" s="269"/>
      <c r="IYP235" s="269"/>
      <c r="IYQ235" s="269"/>
      <c r="IYR235" s="269"/>
      <c r="IYS235" s="269"/>
      <c r="IYT235" s="269"/>
      <c r="IYU235" s="269"/>
      <c r="IYV235" s="269"/>
      <c r="IYW235" s="269"/>
      <c r="IYX235" s="269"/>
      <c r="IYY235" s="269"/>
      <c r="IYZ235" s="269"/>
      <c r="IZA235" s="269"/>
      <c r="IZB235" s="269"/>
      <c r="IZC235" s="269"/>
      <c r="IZD235" s="269"/>
      <c r="IZE235" s="269"/>
      <c r="IZF235" s="269"/>
      <c r="IZG235" s="269"/>
      <c r="IZH235" s="269"/>
      <c r="IZI235" s="269"/>
      <c r="IZJ235" s="269"/>
      <c r="IZK235" s="269"/>
      <c r="IZL235" s="269"/>
      <c r="IZM235" s="269"/>
      <c r="IZN235" s="269"/>
      <c r="IZO235" s="269"/>
      <c r="IZP235" s="269"/>
      <c r="IZQ235" s="269"/>
      <c r="IZR235" s="269"/>
      <c r="IZS235" s="269"/>
      <c r="IZT235" s="269"/>
      <c r="IZU235" s="269"/>
      <c r="IZV235" s="269"/>
      <c r="IZW235" s="269"/>
      <c r="IZX235" s="269"/>
      <c r="IZY235" s="269"/>
      <c r="IZZ235" s="269"/>
      <c r="JAA235" s="269"/>
      <c r="JAB235" s="269"/>
      <c r="JAC235" s="269"/>
      <c r="JAD235" s="269"/>
      <c r="JAE235" s="269"/>
      <c r="JAF235" s="269"/>
      <c r="JAG235" s="269"/>
      <c r="JAH235" s="269"/>
      <c r="JAI235" s="269"/>
      <c r="JAJ235" s="269"/>
      <c r="JAK235" s="269"/>
      <c r="JAL235" s="269"/>
      <c r="JAM235" s="269"/>
      <c r="JAN235" s="269"/>
      <c r="JAO235" s="269"/>
      <c r="JAP235" s="269"/>
      <c r="JAQ235" s="269"/>
      <c r="JAR235" s="269"/>
      <c r="JAS235" s="269"/>
      <c r="JAT235" s="269"/>
      <c r="JAU235" s="269"/>
      <c r="JAV235" s="269"/>
      <c r="JAW235" s="269"/>
      <c r="JAX235" s="269"/>
      <c r="JAY235" s="269"/>
      <c r="JAZ235" s="269"/>
      <c r="JBA235" s="269"/>
      <c r="JBB235" s="269"/>
      <c r="JBC235" s="269"/>
      <c r="JBD235" s="269"/>
      <c r="JBE235" s="269"/>
      <c r="JBF235" s="269"/>
      <c r="JBG235" s="269"/>
      <c r="JBH235" s="269"/>
      <c r="JBI235" s="269"/>
      <c r="JBJ235" s="269"/>
      <c r="JBK235" s="269"/>
      <c r="JBL235" s="269"/>
      <c r="JBM235" s="269"/>
      <c r="JBN235" s="269"/>
      <c r="JBO235" s="269"/>
      <c r="JBP235" s="269"/>
      <c r="JBQ235" s="269"/>
      <c r="JBR235" s="269"/>
      <c r="JBS235" s="269"/>
      <c r="JBT235" s="269"/>
      <c r="JBU235" s="269"/>
      <c r="JBV235" s="269"/>
      <c r="JBW235" s="269"/>
      <c r="JBX235" s="269"/>
      <c r="JBY235" s="269"/>
      <c r="JBZ235" s="269"/>
      <c r="JCA235" s="269"/>
      <c r="JCB235" s="269"/>
      <c r="JCC235" s="269"/>
      <c r="JCD235" s="269"/>
      <c r="JCE235" s="269"/>
      <c r="JCF235" s="269"/>
      <c r="JCG235" s="269"/>
      <c r="JCH235" s="269"/>
      <c r="JCI235" s="269"/>
      <c r="JCJ235" s="269"/>
      <c r="JCK235" s="269"/>
      <c r="JCL235" s="269"/>
      <c r="JCM235" s="269"/>
      <c r="JCN235" s="269"/>
      <c r="JCO235" s="269"/>
      <c r="JCP235" s="269"/>
      <c r="JCQ235" s="269"/>
      <c r="JCR235" s="269"/>
      <c r="JCS235" s="269"/>
      <c r="JCT235" s="269"/>
      <c r="JCU235" s="269"/>
      <c r="JCV235" s="269"/>
      <c r="JCW235" s="269"/>
      <c r="JCX235" s="269"/>
      <c r="JCY235" s="269"/>
      <c r="JCZ235" s="269"/>
      <c r="JDA235" s="269"/>
      <c r="JDB235" s="269"/>
      <c r="JDC235" s="269"/>
      <c r="JDD235" s="269"/>
      <c r="JDE235" s="269"/>
      <c r="JDF235" s="269"/>
      <c r="JDG235" s="269"/>
      <c r="JDH235" s="269"/>
      <c r="JDI235" s="269"/>
      <c r="JDJ235" s="269"/>
      <c r="JDK235" s="269"/>
      <c r="JDL235" s="269"/>
      <c r="JDM235" s="269"/>
      <c r="JDN235" s="269"/>
      <c r="JDO235" s="269"/>
      <c r="JDP235" s="269"/>
      <c r="JDQ235" s="269"/>
      <c r="JDR235" s="269"/>
      <c r="JDS235" s="269"/>
      <c r="JDT235" s="269"/>
      <c r="JDU235" s="269"/>
      <c r="JDV235" s="269"/>
      <c r="JDW235" s="269"/>
      <c r="JDX235" s="269"/>
      <c r="JDY235" s="269"/>
      <c r="JDZ235" s="269"/>
      <c r="JEA235" s="269"/>
      <c r="JEB235" s="269"/>
      <c r="JEC235" s="269"/>
      <c r="JED235" s="269"/>
      <c r="JEE235" s="269"/>
      <c r="JEF235" s="269"/>
      <c r="JEG235" s="269"/>
      <c r="JEH235" s="269"/>
      <c r="JEI235" s="269"/>
      <c r="JEJ235" s="269"/>
      <c r="JEK235" s="269"/>
      <c r="JEL235" s="269"/>
      <c r="JEM235" s="269"/>
      <c r="JEN235" s="269"/>
      <c r="JEO235" s="269"/>
      <c r="JEP235" s="269"/>
      <c r="JEQ235" s="269"/>
      <c r="JER235" s="269"/>
      <c r="JES235" s="269"/>
      <c r="JET235" s="269"/>
      <c r="JEU235" s="269"/>
      <c r="JEV235" s="269"/>
      <c r="JEW235" s="269"/>
      <c r="JEX235" s="269"/>
      <c r="JEY235" s="269"/>
      <c r="JEZ235" s="269"/>
      <c r="JFA235" s="269"/>
      <c r="JFB235" s="269"/>
      <c r="JFC235" s="269"/>
      <c r="JFD235" s="269"/>
      <c r="JFE235" s="269"/>
      <c r="JFF235" s="269"/>
      <c r="JFG235" s="269"/>
      <c r="JFH235" s="269"/>
      <c r="JFI235" s="269"/>
      <c r="JFJ235" s="269"/>
      <c r="JFK235" s="269"/>
      <c r="JFL235" s="269"/>
      <c r="JFM235" s="269"/>
      <c r="JFN235" s="269"/>
      <c r="JFO235" s="269"/>
      <c r="JFP235" s="269"/>
      <c r="JFQ235" s="269"/>
      <c r="JFR235" s="269"/>
      <c r="JFS235" s="269"/>
      <c r="JFT235" s="269"/>
      <c r="JFU235" s="269"/>
      <c r="JFV235" s="269"/>
      <c r="JFW235" s="269"/>
      <c r="JFX235" s="269"/>
      <c r="JFY235" s="269"/>
      <c r="JFZ235" s="269"/>
      <c r="JGA235" s="269"/>
      <c r="JGB235" s="269"/>
      <c r="JGC235" s="269"/>
      <c r="JGD235" s="269"/>
      <c r="JGE235" s="269"/>
      <c r="JGF235" s="269"/>
      <c r="JGG235" s="269"/>
      <c r="JGH235" s="269"/>
      <c r="JGI235" s="269"/>
      <c r="JGJ235" s="269"/>
      <c r="JGK235" s="269"/>
      <c r="JGL235" s="269"/>
      <c r="JGM235" s="269"/>
      <c r="JGN235" s="269"/>
      <c r="JGO235" s="269"/>
      <c r="JGP235" s="269"/>
      <c r="JGQ235" s="269"/>
      <c r="JGR235" s="269"/>
      <c r="JGS235" s="269"/>
      <c r="JGT235" s="269"/>
      <c r="JGU235" s="269"/>
      <c r="JGV235" s="269"/>
      <c r="JGW235" s="269"/>
      <c r="JGX235" s="269"/>
      <c r="JGY235" s="269"/>
      <c r="JGZ235" s="269"/>
      <c r="JHA235" s="269"/>
      <c r="JHB235" s="269"/>
      <c r="JHC235" s="269"/>
      <c r="JHD235" s="269"/>
      <c r="JHE235" s="269"/>
      <c r="JHF235" s="269"/>
      <c r="JHG235" s="269"/>
      <c r="JHH235" s="269"/>
      <c r="JHI235" s="269"/>
      <c r="JHJ235" s="269"/>
      <c r="JHK235" s="269"/>
      <c r="JHL235" s="269"/>
      <c r="JHM235" s="269"/>
      <c r="JHN235" s="269"/>
      <c r="JHO235" s="269"/>
      <c r="JHP235" s="269"/>
      <c r="JHQ235" s="269"/>
      <c r="JHR235" s="269"/>
      <c r="JHS235" s="269"/>
      <c r="JHT235" s="269"/>
      <c r="JHU235" s="269"/>
      <c r="JHV235" s="269"/>
      <c r="JHW235" s="269"/>
      <c r="JHX235" s="269"/>
      <c r="JHY235" s="269"/>
      <c r="JHZ235" s="269"/>
      <c r="JIA235" s="269"/>
      <c r="JIB235" s="269"/>
      <c r="JIC235" s="269"/>
      <c r="JID235" s="269"/>
      <c r="JIE235" s="269"/>
      <c r="JIF235" s="269"/>
      <c r="JIG235" s="269"/>
      <c r="JIH235" s="269"/>
      <c r="JII235" s="269"/>
      <c r="JIJ235" s="269"/>
      <c r="JIK235" s="269"/>
      <c r="JIL235" s="269"/>
      <c r="JIM235" s="269"/>
      <c r="JIN235" s="269"/>
      <c r="JIO235" s="269"/>
      <c r="JIP235" s="269"/>
      <c r="JIQ235" s="269"/>
      <c r="JIR235" s="269"/>
      <c r="JIS235" s="269"/>
      <c r="JIT235" s="269"/>
      <c r="JIU235" s="269"/>
      <c r="JIV235" s="269"/>
      <c r="JIW235" s="269"/>
      <c r="JIX235" s="269"/>
      <c r="JIY235" s="269"/>
      <c r="JIZ235" s="269"/>
      <c r="JJA235" s="269"/>
      <c r="JJB235" s="269"/>
      <c r="JJC235" s="269"/>
      <c r="JJD235" s="269"/>
      <c r="JJE235" s="269"/>
      <c r="JJF235" s="269"/>
      <c r="JJG235" s="269"/>
      <c r="JJH235" s="269"/>
      <c r="JJI235" s="269"/>
      <c r="JJJ235" s="269"/>
      <c r="JJK235" s="269"/>
      <c r="JJL235" s="269"/>
      <c r="JJM235" s="269"/>
      <c r="JJN235" s="269"/>
      <c r="JJO235" s="269"/>
      <c r="JJP235" s="269"/>
      <c r="JJQ235" s="269"/>
      <c r="JJR235" s="269"/>
      <c r="JJS235" s="269"/>
      <c r="JJT235" s="269"/>
      <c r="JJU235" s="269"/>
      <c r="JJV235" s="269"/>
      <c r="JJW235" s="269"/>
      <c r="JJX235" s="269"/>
      <c r="JJY235" s="269"/>
      <c r="JJZ235" s="269"/>
      <c r="JKA235" s="269"/>
      <c r="JKB235" s="269"/>
      <c r="JKC235" s="269"/>
      <c r="JKD235" s="269"/>
      <c r="JKE235" s="269"/>
      <c r="JKF235" s="269"/>
      <c r="JKG235" s="269"/>
      <c r="JKH235" s="269"/>
      <c r="JKI235" s="269"/>
      <c r="JKJ235" s="269"/>
      <c r="JKK235" s="269"/>
      <c r="JKL235" s="269"/>
      <c r="JKM235" s="269"/>
      <c r="JKN235" s="269"/>
      <c r="JKO235" s="269"/>
      <c r="JKP235" s="269"/>
      <c r="JKQ235" s="269"/>
      <c r="JKR235" s="269"/>
      <c r="JKS235" s="269"/>
      <c r="JKT235" s="269"/>
      <c r="JKU235" s="269"/>
      <c r="JKV235" s="269"/>
      <c r="JKW235" s="269"/>
      <c r="JKX235" s="269"/>
      <c r="JKY235" s="269"/>
      <c r="JKZ235" s="269"/>
      <c r="JLA235" s="269"/>
      <c r="JLB235" s="269"/>
      <c r="JLC235" s="269"/>
      <c r="JLD235" s="269"/>
      <c r="JLE235" s="269"/>
      <c r="JLF235" s="269"/>
      <c r="JLG235" s="269"/>
      <c r="JLH235" s="269"/>
      <c r="JLI235" s="269"/>
      <c r="JLJ235" s="269"/>
      <c r="JLK235" s="269"/>
      <c r="JLL235" s="269"/>
      <c r="JLM235" s="269"/>
      <c r="JLN235" s="269"/>
      <c r="JLO235" s="269"/>
      <c r="JLP235" s="269"/>
      <c r="JLQ235" s="269"/>
      <c r="JLR235" s="269"/>
      <c r="JLS235" s="269"/>
      <c r="JLT235" s="269"/>
      <c r="JLU235" s="269"/>
      <c r="JLV235" s="269"/>
      <c r="JLW235" s="269"/>
      <c r="JLX235" s="269"/>
      <c r="JLY235" s="269"/>
      <c r="JLZ235" s="269"/>
      <c r="JMA235" s="269"/>
      <c r="JMB235" s="269"/>
      <c r="JMC235" s="269"/>
      <c r="JMD235" s="269"/>
      <c r="JME235" s="269"/>
      <c r="JMF235" s="269"/>
      <c r="JMG235" s="269"/>
      <c r="JMH235" s="269"/>
      <c r="JMI235" s="269"/>
      <c r="JMJ235" s="269"/>
      <c r="JMK235" s="269"/>
      <c r="JML235" s="269"/>
      <c r="JMM235" s="269"/>
      <c r="JMN235" s="269"/>
      <c r="JMO235" s="269"/>
      <c r="JMP235" s="269"/>
      <c r="JMQ235" s="269"/>
      <c r="JMR235" s="269"/>
      <c r="JMS235" s="269"/>
      <c r="JMT235" s="269"/>
      <c r="JMU235" s="269"/>
      <c r="JMV235" s="269"/>
      <c r="JMW235" s="269"/>
      <c r="JMX235" s="269"/>
      <c r="JMY235" s="269"/>
      <c r="JMZ235" s="269"/>
      <c r="JNA235" s="269"/>
      <c r="JNB235" s="269"/>
      <c r="JNC235" s="269"/>
      <c r="JND235" s="269"/>
      <c r="JNE235" s="269"/>
      <c r="JNF235" s="269"/>
      <c r="JNG235" s="269"/>
      <c r="JNH235" s="269"/>
      <c r="JNI235" s="269"/>
      <c r="JNJ235" s="269"/>
      <c r="JNK235" s="269"/>
      <c r="JNL235" s="269"/>
      <c r="JNM235" s="269"/>
      <c r="JNN235" s="269"/>
      <c r="JNO235" s="269"/>
      <c r="JNP235" s="269"/>
      <c r="JNQ235" s="269"/>
      <c r="JNR235" s="269"/>
      <c r="JNS235" s="269"/>
      <c r="JNT235" s="269"/>
      <c r="JNU235" s="269"/>
      <c r="JNV235" s="269"/>
      <c r="JNW235" s="269"/>
      <c r="JNX235" s="269"/>
      <c r="JNY235" s="269"/>
      <c r="JNZ235" s="269"/>
      <c r="JOA235" s="269"/>
      <c r="JOB235" s="269"/>
      <c r="JOC235" s="269"/>
      <c r="JOD235" s="269"/>
      <c r="JOE235" s="269"/>
      <c r="JOF235" s="269"/>
      <c r="JOG235" s="269"/>
      <c r="JOH235" s="269"/>
      <c r="JOI235" s="269"/>
      <c r="JOJ235" s="269"/>
      <c r="JOK235" s="269"/>
      <c r="JOL235" s="269"/>
      <c r="JOM235" s="269"/>
      <c r="JON235" s="269"/>
      <c r="JOO235" s="269"/>
      <c r="JOP235" s="269"/>
      <c r="JOQ235" s="269"/>
      <c r="JOR235" s="269"/>
      <c r="JOS235" s="269"/>
      <c r="JOT235" s="269"/>
      <c r="JOU235" s="269"/>
      <c r="JOV235" s="269"/>
      <c r="JOW235" s="269"/>
      <c r="JOX235" s="269"/>
      <c r="JOY235" s="269"/>
      <c r="JOZ235" s="269"/>
      <c r="JPA235" s="269"/>
      <c r="JPB235" s="269"/>
      <c r="JPC235" s="269"/>
      <c r="JPD235" s="269"/>
      <c r="JPE235" s="269"/>
      <c r="JPF235" s="269"/>
      <c r="JPG235" s="269"/>
      <c r="JPH235" s="269"/>
      <c r="JPI235" s="269"/>
      <c r="JPJ235" s="269"/>
      <c r="JPK235" s="269"/>
      <c r="JPL235" s="269"/>
      <c r="JPM235" s="269"/>
      <c r="JPN235" s="269"/>
      <c r="JPO235" s="269"/>
      <c r="JPP235" s="269"/>
      <c r="JPQ235" s="269"/>
      <c r="JPR235" s="269"/>
      <c r="JPS235" s="269"/>
      <c r="JPT235" s="269"/>
      <c r="JPU235" s="269"/>
      <c r="JPV235" s="269"/>
      <c r="JPW235" s="269"/>
      <c r="JPX235" s="269"/>
      <c r="JPY235" s="269"/>
      <c r="JPZ235" s="269"/>
      <c r="JQA235" s="269"/>
      <c r="JQB235" s="269"/>
      <c r="JQC235" s="269"/>
      <c r="JQD235" s="269"/>
      <c r="JQE235" s="269"/>
      <c r="JQF235" s="269"/>
      <c r="JQG235" s="269"/>
      <c r="JQH235" s="269"/>
      <c r="JQI235" s="269"/>
      <c r="JQJ235" s="269"/>
      <c r="JQK235" s="269"/>
      <c r="JQL235" s="269"/>
      <c r="JQM235" s="269"/>
      <c r="JQN235" s="269"/>
      <c r="JQO235" s="269"/>
      <c r="JQP235" s="269"/>
      <c r="JQQ235" s="269"/>
      <c r="JQR235" s="269"/>
      <c r="JQS235" s="269"/>
      <c r="JQT235" s="269"/>
      <c r="JQU235" s="269"/>
      <c r="JQV235" s="269"/>
      <c r="JQW235" s="269"/>
      <c r="JQX235" s="269"/>
      <c r="JQY235" s="269"/>
      <c r="JQZ235" s="269"/>
      <c r="JRA235" s="269"/>
      <c r="JRB235" s="269"/>
      <c r="JRC235" s="269"/>
      <c r="JRD235" s="269"/>
      <c r="JRE235" s="269"/>
      <c r="JRF235" s="269"/>
      <c r="JRG235" s="269"/>
      <c r="JRH235" s="269"/>
      <c r="JRI235" s="269"/>
      <c r="JRJ235" s="269"/>
      <c r="JRK235" s="269"/>
      <c r="JRL235" s="269"/>
      <c r="JRM235" s="269"/>
      <c r="JRN235" s="269"/>
      <c r="JRO235" s="269"/>
      <c r="JRP235" s="269"/>
      <c r="JRQ235" s="269"/>
      <c r="JRR235" s="269"/>
      <c r="JRS235" s="269"/>
      <c r="JRT235" s="269"/>
      <c r="JRU235" s="269"/>
      <c r="JRV235" s="269"/>
      <c r="JRW235" s="269"/>
      <c r="JRX235" s="269"/>
      <c r="JRY235" s="269"/>
      <c r="JRZ235" s="269"/>
      <c r="JSA235" s="269"/>
      <c r="JSB235" s="269"/>
      <c r="JSC235" s="269"/>
      <c r="JSD235" s="269"/>
      <c r="JSE235" s="269"/>
      <c r="JSF235" s="269"/>
      <c r="JSG235" s="269"/>
      <c r="JSH235" s="269"/>
      <c r="JSI235" s="269"/>
      <c r="JSJ235" s="269"/>
      <c r="JSK235" s="269"/>
      <c r="JSL235" s="269"/>
      <c r="JSM235" s="269"/>
      <c r="JSN235" s="269"/>
      <c r="JSO235" s="269"/>
      <c r="JSP235" s="269"/>
      <c r="JSQ235" s="269"/>
      <c r="JSR235" s="269"/>
      <c r="JSS235" s="269"/>
      <c r="JST235" s="269"/>
      <c r="JSU235" s="269"/>
      <c r="JSV235" s="269"/>
      <c r="JSW235" s="269"/>
      <c r="JSX235" s="269"/>
      <c r="JSY235" s="269"/>
      <c r="JSZ235" s="269"/>
      <c r="JTA235" s="269"/>
      <c r="JTB235" s="269"/>
      <c r="JTC235" s="269"/>
      <c r="JTD235" s="269"/>
      <c r="JTE235" s="269"/>
      <c r="JTF235" s="269"/>
      <c r="JTG235" s="269"/>
      <c r="JTH235" s="269"/>
      <c r="JTI235" s="269"/>
      <c r="JTJ235" s="269"/>
      <c r="JTK235" s="269"/>
      <c r="JTL235" s="269"/>
      <c r="JTM235" s="269"/>
      <c r="JTN235" s="269"/>
      <c r="JTO235" s="269"/>
      <c r="JTP235" s="269"/>
      <c r="JTQ235" s="269"/>
      <c r="JTR235" s="269"/>
      <c r="JTS235" s="269"/>
      <c r="JTT235" s="269"/>
      <c r="JTU235" s="269"/>
      <c r="JTV235" s="269"/>
      <c r="JTW235" s="269"/>
      <c r="JTX235" s="269"/>
      <c r="JTY235" s="269"/>
      <c r="JTZ235" s="269"/>
      <c r="JUA235" s="269"/>
      <c r="JUB235" s="269"/>
      <c r="JUC235" s="269"/>
      <c r="JUD235" s="269"/>
      <c r="JUE235" s="269"/>
      <c r="JUF235" s="269"/>
      <c r="JUG235" s="269"/>
      <c r="JUH235" s="269"/>
      <c r="JUI235" s="269"/>
      <c r="JUJ235" s="269"/>
      <c r="JUK235" s="269"/>
      <c r="JUL235" s="269"/>
      <c r="JUM235" s="269"/>
      <c r="JUN235" s="269"/>
      <c r="JUO235" s="269"/>
      <c r="JUP235" s="269"/>
      <c r="JUQ235" s="269"/>
      <c r="JUR235" s="269"/>
      <c r="JUS235" s="269"/>
      <c r="JUT235" s="269"/>
      <c r="JUU235" s="269"/>
      <c r="JUV235" s="269"/>
      <c r="JUW235" s="269"/>
      <c r="JUX235" s="269"/>
      <c r="JUY235" s="269"/>
      <c r="JUZ235" s="269"/>
      <c r="JVA235" s="269"/>
      <c r="JVB235" s="269"/>
      <c r="JVC235" s="269"/>
      <c r="JVD235" s="269"/>
      <c r="JVE235" s="269"/>
      <c r="JVF235" s="269"/>
      <c r="JVG235" s="269"/>
      <c r="JVH235" s="269"/>
      <c r="JVI235" s="269"/>
      <c r="JVJ235" s="269"/>
      <c r="JVK235" s="269"/>
      <c r="JVL235" s="269"/>
      <c r="JVM235" s="269"/>
      <c r="JVN235" s="269"/>
      <c r="JVO235" s="269"/>
      <c r="JVP235" s="269"/>
      <c r="JVQ235" s="269"/>
      <c r="JVR235" s="269"/>
      <c r="JVS235" s="269"/>
      <c r="JVT235" s="269"/>
      <c r="JVU235" s="269"/>
      <c r="JVV235" s="269"/>
      <c r="JVW235" s="269"/>
      <c r="JVX235" s="269"/>
      <c r="JVY235" s="269"/>
      <c r="JVZ235" s="269"/>
      <c r="JWA235" s="269"/>
      <c r="JWB235" s="269"/>
      <c r="JWC235" s="269"/>
      <c r="JWD235" s="269"/>
      <c r="JWE235" s="269"/>
      <c r="JWF235" s="269"/>
      <c r="JWG235" s="269"/>
      <c r="JWH235" s="269"/>
      <c r="JWI235" s="269"/>
      <c r="JWJ235" s="269"/>
      <c r="JWK235" s="269"/>
      <c r="JWL235" s="269"/>
      <c r="JWM235" s="269"/>
      <c r="JWN235" s="269"/>
      <c r="JWO235" s="269"/>
      <c r="JWP235" s="269"/>
      <c r="JWQ235" s="269"/>
      <c r="JWR235" s="269"/>
      <c r="JWS235" s="269"/>
      <c r="JWT235" s="269"/>
      <c r="JWU235" s="269"/>
      <c r="JWV235" s="269"/>
      <c r="JWW235" s="269"/>
      <c r="JWX235" s="269"/>
      <c r="JWY235" s="269"/>
      <c r="JWZ235" s="269"/>
      <c r="JXA235" s="269"/>
      <c r="JXB235" s="269"/>
      <c r="JXC235" s="269"/>
      <c r="JXD235" s="269"/>
      <c r="JXE235" s="269"/>
      <c r="JXF235" s="269"/>
      <c r="JXG235" s="269"/>
      <c r="JXH235" s="269"/>
      <c r="JXI235" s="269"/>
      <c r="JXJ235" s="269"/>
      <c r="JXK235" s="269"/>
      <c r="JXL235" s="269"/>
      <c r="JXM235" s="269"/>
      <c r="JXN235" s="269"/>
      <c r="JXO235" s="269"/>
      <c r="JXP235" s="269"/>
      <c r="JXQ235" s="269"/>
      <c r="JXR235" s="269"/>
      <c r="JXS235" s="269"/>
      <c r="JXT235" s="269"/>
      <c r="JXU235" s="269"/>
      <c r="JXV235" s="269"/>
      <c r="JXW235" s="269"/>
      <c r="JXX235" s="269"/>
      <c r="JXY235" s="269"/>
      <c r="JXZ235" s="269"/>
      <c r="JYA235" s="269"/>
      <c r="JYB235" s="269"/>
      <c r="JYC235" s="269"/>
      <c r="JYD235" s="269"/>
      <c r="JYE235" s="269"/>
      <c r="JYF235" s="269"/>
      <c r="JYG235" s="269"/>
      <c r="JYH235" s="269"/>
      <c r="JYI235" s="269"/>
      <c r="JYJ235" s="269"/>
      <c r="JYK235" s="269"/>
      <c r="JYL235" s="269"/>
      <c r="JYM235" s="269"/>
      <c r="JYN235" s="269"/>
      <c r="JYO235" s="269"/>
      <c r="JYP235" s="269"/>
      <c r="JYQ235" s="269"/>
      <c r="JYR235" s="269"/>
      <c r="JYS235" s="269"/>
      <c r="JYT235" s="269"/>
      <c r="JYU235" s="269"/>
      <c r="JYV235" s="269"/>
      <c r="JYW235" s="269"/>
      <c r="JYX235" s="269"/>
      <c r="JYY235" s="269"/>
      <c r="JYZ235" s="269"/>
      <c r="JZA235" s="269"/>
      <c r="JZB235" s="269"/>
      <c r="JZC235" s="269"/>
      <c r="JZD235" s="269"/>
      <c r="JZE235" s="269"/>
      <c r="JZF235" s="269"/>
      <c r="JZG235" s="269"/>
      <c r="JZH235" s="269"/>
      <c r="JZI235" s="269"/>
      <c r="JZJ235" s="269"/>
      <c r="JZK235" s="269"/>
      <c r="JZL235" s="269"/>
      <c r="JZM235" s="269"/>
      <c r="JZN235" s="269"/>
      <c r="JZO235" s="269"/>
      <c r="JZP235" s="269"/>
      <c r="JZQ235" s="269"/>
      <c r="JZR235" s="269"/>
      <c r="JZS235" s="269"/>
      <c r="JZT235" s="269"/>
      <c r="JZU235" s="269"/>
      <c r="JZV235" s="269"/>
      <c r="JZW235" s="269"/>
      <c r="JZX235" s="269"/>
      <c r="JZY235" s="269"/>
      <c r="JZZ235" s="269"/>
      <c r="KAA235" s="269"/>
      <c r="KAB235" s="269"/>
      <c r="KAC235" s="269"/>
      <c r="KAD235" s="269"/>
      <c r="KAE235" s="269"/>
      <c r="KAF235" s="269"/>
      <c r="KAG235" s="269"/>
      <c r="KAH235" s="269"/>
      <c r="KAI235" s="269"/>
      <c r="KAJ235" s="269"/>
      <c r="KAK235" s="269"/>
      <c r="KAL235" s="269"/>
      <c r="KAM235" s="269"/>
      <c r="KAN235" s="269"/>
      <c r="KAO235" s="269"/>
      <c r="KAP235" s="269"/>
      <c r="KAQ235" s="269"/>
      <c r="KAR235" s="269"/>
      <c r="KAS235" s="269"/>
      <c r="KAT235" s="269"/>
      <c r="KAU235" s="269"/>
      <c r="KAV235" s="269"/>
      <c r="KAW235" s="269"/>
      <c r="KAX235" s="269"/>
      <c r="KAY235" s="269"/>
      <c r="KAZ235" s="269"/>
      <c r="KBA235" s="269"/>
      <c r="KBB235" s="269"/>
      <c r="KBC235" s="269"/>
      <c r="KBD235" s="269"/>
      <c r="KBE235" s="269"/>
      <c r="KBF235" s="269"/>
      <c r="KBG235" s="269"/>
      <c r="KBH235" s="269"/>
      <c r="KBI235" s="269"/>
      <c r="KBJ235" s="269"/>
      <c r="KBK235" s="269"/>
      <c r="KBL235" s="269"/>
      <c r="KBM235" s="269"/>
      <c r="KBN235" s="269"/>
      <c r="KBO235" s="269"/>
      <c r="KBP235" s="269"/>
      <c r="KBQ235" s="269"/>
      <c r="KBR235" s="269"/>
      <c r="KBS235" s="269"/>
      <c r="KBT235" s="269"/>
      <c r="KBU235" s="269"/>
      <c r="KBV235" s="269"/>
      <c r="KBW235" s="269"/>
      <c r="KBX235" s="269"/>
      <c r="KBY235" s="269"/>
      <c r="KBZ235" s="269"/>
      <c r="KCA235" s="269"/>
      <c r="KCB235" s="269"/>
      <c r="KCC235" s="269"/>
      <c r="KCD235" s="269"/>
      <c r="KCE235" s="269"/>
      <c r="KCF235" s="269"/>
      <c r="KCG235" s="269"/>
      <c r="KCH235" s="269"/>
      <c r="KCI235" s="269"/>
      <c r="KCJ235" s="269"/>
      <c r="KCK235" s="269"/>
      <c r="KCL235" s="269"/>
      <c r="KCM235" s="269"/>
      <c r="KCN235" s="269"/>
      <c r="KCO235" s="269"/>
      <c r="KCP235" s="269"/>
      <c r="KCQ235" s="269"/>
      <c r="KCR235" s="269"/>
      <c r="KCS235" s="269"/>
      <c r="KCT235" s="269"/>
      <c r="KCU235" s="269"/>
      <c r="KCV235" s="269"/>
      <c r="KCW235" s="269"/>
      <c r="KCX235" s="269"/>
      <c r="KCY235" s="269"/>
      <c r="KCZ235" s="269"/>
      <c r="KDA235" s="269"/>
      <c r="KDB235" s="269"/>
      <c r="KDC235" s="269"/>
      <c r="KDD235" s="269"/>
      <c r="KDE235" s="269"/>
      <c r="KDF235" s="269"/>
      <c r="KDG235" s="269"/>
      <c r="KDH235" s="269"/>
      <c r="KDI235" s="269"/>
      <c r="KDJ235" s="269"/>
      <c r="KDK235" s="269"/>
      <c r="KDL235" s="269"/>
      <c r="KDM235" s="269"/>
      <c r="KDN235" s="269"/>
      <c r="KDO235" s="269"/>
      <c r="KDP235" s="269"/>
      <c r="KDQ235" s="269"/>
      <c r="KDR235" s="269"/>
      <c r="KDS235" s="269"/>
      <c r="KDT235" s="269"/>
      <c r="KDU235" s="269"/>
      <c r="KDV235" s="269"/>
      <c r="KDW235" s="269"/>
      <c r="KDX235" s="269"/>
      <c r="KDY235" s="269"/>
      <c r="KDZ235" s="269"/>
      <c r="KEA235" s="269"/>
      <c r="KEB235" s="269"/>
      <c r="KEC235" s="269"/>
      <c r="KED235" s="269"/>
      <c r="KEE235" s="269"/>
      <c r="KEF235" s="269"/>
      <c r="KEG235" s="269"/>
      <c r="KEH235" s="269"/>
      <c r="KEI235" s="269"/>
      <c r="KEJ235" s="269"/>
      <c r="KEK235" s="269"/>
      <c r="KEL235" s="269"/>
      <c r="KEM235" s="269"/>
      <c r="KEN235" s="269"/>
      <c r="KEO235" s="269"/>
      <c r="KEP235" s="269"/>
      <c r="KEQ235" s="269"/>
      <c r="KER235" s="269"/>
      <c r="KES235" s="269"/>
      <c r="KET235" s="269"/>
      <c r="KEU235" s="269"/>
      <c r="KEV235" s="269"/>
      <c r="KEW235" s="269"/>
      <c r="KEX235" s="269"/>
      <c r="KEY235" s="269"/>
      <c r="KEZ235" s="269"/>
      <c r="KFA235" s="269"/>
      <c r="KFB235" s="269"/>
      <c r="KFC235" s="269"/>
      <c r="KFD235" s="269"/>
      <c r="KFE235" s="269"/>
      <c r="KFF235" s="269"/>
      <c r="KFG235" s="269"/>
      <c r="KFH235" s="269"/>
      <c r="KFI235" s="269"/>
      <c r="KFJ235" s="269"/>
      <c r="KFK235" s="269"/>
      <c r="KFL235" s="269"/>
      <c r="KFM235" s="269"/>
      <c r="KFN235" s="269"/>
      <c r="KFO235" s="269"/>
      <c r="KFP235" s="269"/>
      <c r="KFQ235" s="269"/>
      <c r="KFR235" s="269"/>
      <c r="KFS235" s="269"/>
      <c r="KFT235" s="269"/>
      <c r="KFU235" s="269"/>
      <c r="KFV235" s="269"/>
      <c r="KFW235" s="269"/>
      <c r="KFX235" s="269"/>
      <c r="KFY235" s="269"/>
      <c r="KFZ235" s="269"/>
      <c r="KGA235" s="269"/>
      <c r="KGB235" s="269"/>
      <c r="KGC235" s="269"/>
      <c r="KGD235" s="269"/>
      <c r="KGE235" s="269"/>
      <c r="KGF235" s="269"/>
      <c r="KGG235" s="269"/>
      <c r="KGH235" s="269"/>
      <c r="KGI235" s="269"/>
      <c r="KGJ235" s="269"/>
      <c r="KGK235" s="269"/>
      <c r="KGL235" s="269"/>
      <c r="KGM235" s="269"/>
      <c r="KGN235" s="269"/>
      <c r="KGO235" s="269"/>
      <c r="KGP235" s="269"/>
      <c r="KGQ235" s="269"/>
      <c r="KGR235" s="269"/>
      <c r="KGS235" s="269"/>
      <c r="KGT235" s="269"/>
      <c r="KGU235" s="269"/>
      <c r="KGV235" s="269"/>
      <c r="KGW235" s="269"/>
      <c r="KGX235" s="269"/>
      <c r="KGY235" s="269"/>
      <c r="KGZ235" s="269"/>
      <c r="KHA235" s="269"/>
      <c r="KHB235" s="269"/>
      <c r="KHC235" s="269"/>
      <c r="KHD235" s="269"/>
      <c r="KHE235" s="269"/>
      <c r="KHF235" s="269"/>
      <c r="KHG235" s="269"/>
      <c r="KHH235" s="269"/>
      <c r="KHI235" s="269"/>
      <c r="KHJ235" s="269"/>
      <c r="KHK235" s="269"/>
      <c r="KHL235" s="269"/>
      <c r="KHM235" s="269"/>
      <c r="KHN235" s="269"/>
      <c r="KHO235" s="269"/>
      <c r="KHP235" s="269"/>
      <c r="KHQ235" s="269"/>
      <c r="KHR235" s="269"/>
      <c r="KHS235" s="269"/>
      <c r="KHT235" s="269"/>
      <c r="KHU235" s="269"/>
      <c r="KHV235" s="269"/>
      <c r="KHW235" s="269"/>
      <c r="KHX235" s="269"/>
      <c r="KHY235" s="269"/>
      <c r="KHZ235" s="269"/>
      <c r="KIA235" s="269"/>
      <c r="KIB235" s="269"/>
      <c r="KIC235" s="269"/>
      <c r="KID235" s="269"/>
      <c r="KIE235" s="269"/>
      <c r="KIF235" s="269"/>
      <c r="KIG235" s="269"/>
      <c r="KIH235" s="269"/>
      <c r="KII235" s="269"/>
      <c r="KIJ235" s="269"/>
      <c r="KIK235" s="269"/>
      <c r="KIL235" s="269"/>
      <c r="KIM235" s="269"/>
      <c r="KIN235" s="269"/>
      <c r="KIO235" s="269"/>
      <c r="KIP235" s="269"/>
      <c r="KIQ235" s="269"/>
      <c r="KIR235" s="269"/>
      <c r="KIS235" s="269"/>
      <c r="KIT235" s="269"/>
      <c r="KIU235" s="269"/>
      <c r="KIV235" s="269"/>
      <c r="KIW235" s="269"/>
      <c r="KIX235" s="269"/>
      <c r="KIY235" s="269"/>
      <c r="KIZ235" s="269"/>
      <c r="KJA235" s="269"/>
      <c r="KJB235" s="269"/>
      <c r="KJC235" s="269"/>
      <c r="KJD235" s="269"/>
      <c r="KJE235" s="269"/>
      <c r="KJF235" s="269"/>
      <c r="KJG235" s="269"/>
      <c r="KJH235" s="269"/>
      <c r="KJI235" s="269"/>
      <c r="KJJ235" s="269"/>
      <c r="KJK235" s="269"/>
      <c r="KJL235" s="269"/>
      <c r="KJM235" s="269"/>
      <c r="KJN235" s="269"/>
      <c r="KJO235" s="269"/>
      <c r="KJP235" s="269"/>
      <c r="KJQ235" s="269"/>
      <c r="KJR235" s="269"/>
      <c r="KJS235" s="269"/>
      <c r="KJT235" s="269"/>
      <c r="KJU235" s="269"/>
      <c r="KJV235" s="269"/>
      <c r="KJW235" s="269"/>
      <c r="KJX235" s="269"/>
      <c r="KJY235" s="269"/>
      <c r="KJZ235" s="269"/>
      <c r="KKA235" s="269"/>
      <c r="KKB235" s="269"/>
      <c r="KKC235" s="269"/>
      <c r="KKD235" s="269"/>
      <c r="KKE235" s="269"/>
      <c r="KKF235" s="269"/>
      <c r="KKG235" s="269"/>
      <c r="KKH235" s="269"/>
      <c r="KKI235" s="269"/>
      <c r="KKJ235" s="269"/>
      <c r="KKK235" s="269"/>
      <c r="KKL235" s="269"/>
      <c r="KKM235" s="269"/>
      <c r="KKN235" s="269"/>
      <c r="KKO235" s="269"/>
      <c r="KKP235" s="269"/>
      <c r="KKQ235" s="269"/>
      <c r="KKR235" s="269"/>
      <c r="KKS235" s="269"/>
      <c r="KKT235" s="269"/>
      <c r="KKU235" s="269"/>
      <c r="KKV235" s="269"/>
      <c r="KKW235" s="269"/>
      <c r="KKX235" s="269"/>
      <c r="KKY235" s="269"/>
      <c r="KKZ235" s="269"/>
      <c r="KLA235" s="269"/>
      <c r="KLB235" s="269"/>
      <c r="KLC235" s="269"/>
      <c r="KLD235" s="269"/>
      <c r="KLE235" s="269"/>
      <c r="KLF235" s="269"/>
      <c r="KLG235" s="269"/>
      <c r="KLH235" s="269"/>
      <c r="KLI235" s="269"/>
      <c r="KLJ235" s="269"/>
      <c r="KLK235" s="269"/>
      <c r="KLL235" s="269"/>
      <c r="KLM235" s="269"/>
      <c r="KLN235" s="269"/>
      <c r="KLO235" s="269"/>
      <c r="KLP235" s="269"/>
      <c r="KLQ235" s="269"/>
      <c r="KLR235" s="269"/>
      <c r="KLS235" s="269"/>
      <c r="KLT235" s="269"/>
      <c r="KLU235" s="269"/>
      <c r="KLV235" s="269"/>
      <c r="KLW235" s="269"/>
      <c r="KLX235" s="269"/>
      <c r="KLY235" s="269"/>
      <c r="KLZ235" s="269"/>
      <c r="KMA235" s="269"/>
      <c r="KMB235" s="269"/>
      <c r="KMC235" s="269"/>
      <c r="KMD235" s="269"/>
      <c r="KME235" s="269"/>
      <c r="KMF235" s="269"/>
      <c r="KMG235" s="269"/>
      <c r="KMH235" s="269"/>
      <c r="KMI235" s="269"/>
      <c r="KMJ235" s="269"/>
      <c r="KMK235" s="269"/>
      <c r="KML235" s="269"/>
      <c r="KMM235" s="269"/>
      <c r="KMN235" s="269"/>
      <c r="KMO235" s="269"/>
      <c r="KMP235" s="269"/>
      <c r="KMQ235" s="269"/>
      <c r="KMR235" s="269"/>
      <c r="KMS235" s="269"/>
      <c r="KMT235" s="269"/>
      <c r="KMU235" s="269"/>
      <c r="KMV235" s="269"/>
      <c r="KMW235" s="269"/>
      <c r="KMX235" s="269"/>
      <c r="KMY235" s="269"/>
      <c r="KMZ235" s="269"/>
      <c r="KNA235" s="269"/>
      <c r="KNB235" s="269"/>
      <c r="KNC235" s="269"/>
      <c r="KND235" s="269"/>
      <c r="KNE235" s="269"/>
      <c r="KNF235" s="269"/>
      <c r="KNG235" s="269"/>
      <c r="KNH235" s="269"/>
      <c r="KNI235" s="269"/>
      <c r="KNJ235" s="269"/>
      <c r="KNK235" s="269"/>
      <c r="KNL235" s="269"/>
      <c r="KNM235" s="269"/>
      <c r="KNN235" s="269"/>
      <c r="KNO235" s="269"/>
      <c r="KNP235" s="269"/>
      <c r="KNQ235" s="269"/>
      <c r="KNR235" s="269"/>
      <c r="KNS235" s="269"/>
      <c r="KNT235" s="269"/>
      <c r="KNU235" s="269"/>
      <c r="KNV235" s="269"/>
      <c r="KNW235" s="269"/>
      <c r="KNX235" s="269"/>
      <c r="KNY235" s="269"/>
      <c r="KNZ235" s="269"/>
      <c r="KOA235" s="269"/>
      <c r="KOB235" s="269"/>
      <c r="KOC235" s="269"/>
      <c r="KOD235" s="269"/>
      <c r="KOE235" s="269"/>
      <c r="KOF235" s="269"/>
      <c r="KOG235" s="269"/>
      <c r="KOH235" s="269"/>
      <c r="KOI235" s="269"/>
      <c r="KOJ235" s="269"/>
      <c r="KOK235" s="269"/>
      <c r="KOL235" s="269"/>
      <c r="KOM235" s="269"/>
      <c r="KON235" s="269"/>
      <c r="KOO235" s="269"/>
      <c r="KOP235" s="269"/>
      <c r="KOQ235" s="269"/>
      <c r="KOR235" s="269"/>
      <c r="KOS235" s="269"/>
      <c r="KOT235" s="269"/>
      <c r="KOU235" s="269"/>
      <c r="KOV235" s="269"/>
      <c r="KOW235" s="269"/>
      <c r="KOX235" s="269"/>
      <c r="KOY235" s="269"/>
      <c r="KOZ235" s="269"/>
      <c r="KPA235" s="269"/>
      <c r="KPB235" s="269"/>
      <c r="KPC235" s="269"/>
      <c r="KPD235" s="269"/>
      <c r="KPE235" s="269"/>
      <c r="KPF235" s="269"/>
      <c r="KPG235" s="269"/>
      <c r="KPH235" s="269"/>
      <c r="KPI235" s="269"/>
      <c r="KPJ235" s="269"/>
      <c r="KPK235" s="269"/>
      <c r="KPL235" s="269"/>
      <c r="KPM235" s="269"/>
      <c r="KPN235" s="269"/>
      <c r="KPO235" s="269"/>
      <c r="KPP235" s="269"/>
      <c r="KPQ235" s="269"/>
      <c r="KPR235" s="269"/>
      <c r="KPS235" s="269"/>
      <c r="KPT235" s="269"/>
      <c r="KPU235" s="269"/>
      <c r="KPV235" s="269"/>
      <c r="KPW235" s="269"/>
      <c r="KPX235" s="269"/>
      <c r="KPY235" s="269"/>
      <c r="KPZ235" s="269"/>
      <c r="KQA235" s="269"/>
      <c r="KQB235" s="269"/>
      <c r="KQC235" s="269"/>
      <c r="KQD235" s="269"/>
      <c r="KQE235" s="269"/>
      <c r="KQF235" s="269"/>
      <c r="KQG235" s="269"/>
      <c r="KQH235" s="269"/>
      <c r="KQI235" s="269"/>
      <c r="KQJ235" s="269"/>
      <c r="KQK235" s="269"/>
      <c r="KQL235" s="269"/>
      <c r="KQM235" s="269"/>
      <c r="KQN235" s="269"/>
      <c r="KQO235" s="269"/>
      <c r="KQP235" s="269"/>
      <c r="KQQ235" s="269"/>
      <c r="KQR235" s="269"/>
      <c r="KQS235" s="269"/>
      <c r="KQT235" s="269"/>
      <c r="KQU235" s="269"/>
      <c r="KQV235" s="269"/>
      <c r="KQW235" s="269"/>
      <c r="KQX235" s="269"/>
      <c r="KQY235" s="269"/>
      <c r="KQZ235" s="269"/>
      <c r="KRA235" s="269"/>
      <c r="KRB235" s="269"/>
      <c r="KRC235" s="269"/>
      <c r="KRD235" s="269"/>
      <c r="KRE235" s="269"/>
      <c r="KRF235" s="269"/>
      <c r="KRG235" s="269"/>
      <c r="KRH235" s="269"/>
      <c r="KRI235" s="269"/>
      <c r="KRJ235" s="269"/>
      <c r="KRK235" s="269"/>
      <c r="KRL235" s="269"/>
      <c r="KRM235" s="269"/>
      <c r="KRN235" s="269"/>
      <c r="KRO235" s="269"/>
      <c r="KRP235" s="269"/>
      <c r="KRQ235" s="269"/>
      <c r="KRR235" s="269"/>
      <c r="KRS235" s="269"/>
      <c r="KRT235" s="269"/>
      <c r="KRU235" s="269"/>
      <c r="KRV235" s="269"/>
      <c r="KRW235" s="269"/>
      <c r="KRX235" s="269"/>
      <c r="KRY235" s="269"/>
      <c r="KRZ235" s="269"/>
      <c r="KSA235" s="269"/>
      <c r="KSB235" s="269"/>
      <c r="KSC235" s="269"/>
      <c r="KSD235" s="269"/>
      <c r="KSE235" s="269"/>
      <c r="KSF235" s="269"/>
      <c r="KSG235" s="269"/>
      <c r="KSH235" s="269"/>
      <c r="KSI235" s="269"/>
      <c r="KSJ235" s="269"/>
      <c r="KSK235" s="269"/>
      <c r="KSL235" s="269"/>
      <c r="KSM235" s="269"/>
      <c r="KSN235" s="269"/>
      <c r="KSO235" s="269"/>
      <c r="KSP235" s="269"/>
      <c r="KSQ235" s="269"/>
      <c r="KSR235" s="269"/>
      <c r="KSS235" s="269"/>
      <c r="KST235" s="269"/>
      <c r="KSU235" s="269"/>
      <c r="KSV235" s="269"/>
      <c r="KSW235" s="269"/>
      <c r="KSX235" s="269"/>
      <c r="KSY235" s="269"/>
      <c r="KSZ235" s="269"/>
      <c r="KTA235" s="269"/>
      <c r="KTB235" s="269"/>
      <c r="KTC235" s="269"/>
      <c r="KTD235" s="269"/>
      <c r="KTE235" s="269"/>
      <c r="KTF235" s="269"/>
      <c r="KTG235" s="269"/>
      <c r="KTH235" s="269"/>
      <c r="KTI235" s="269"/>
      <c r="KTJ235" s="269"/>
      <c r="KTK235" s="269"/>
      <c r="KTL235" s="269"/>
      <c r="KTM235" s="269"/>
      <c r="KTN235" s="269"/>
      <c r="KTO235" s="269"/>
      <c r="KTP235" s="269"/>
      <c r="KTQ235" s="269"/>
      <c r="KTR235" s="269"/>
      <c r="KTS235" s="269"/>
      <c r="KTT235" s="269"/>
      <c r="KTU235" s="269"/>
      <c r="KTV235" s="269"/>
      <c r="KTW235" s="269"/>
      <c r="KTX235" s="269"/>
      <c r="KTY235" s="269"/>
      <c r="KTZ235" s="269"/>
      <c r="KUA235" s="269"/>
      <c r="KUB235" s="269"/>
      <c r="KUC235" s="269"/>
      <c r="KUD235" s="269"/>
      <c r="KUE235" s="269"/>
      <c r="KUF235" s="269"/>
      <c r="KUG235" s="269"/>
      <c r="KUH235" s="269"/>
      <c r="KUI235" s="269"/>
      <c r="KUJ235" s="269"/>
      <c r="KUK235" s="269"/>
      <c r="KUL235" s="269"/>
      <c r="KUM235" s="269"/>
      <c r="KUN235" s="269"/>
      <c r="KUO235" s="269"/>
      <c r="KUP235" s="269"/>
      <c r="KUQ235" s="269"/>
      <c r="KUR235" s="269"/>
      <c r="KUS235" s="269"/>
      <c r="KUT235" s="269"/>
      <c r="KUU235" s="269"/>
      <c r="KUV235" s="269"/>
      <c r="KUW235" s="269"/>
      <c r="KUX235" s="269"/>
      <c r="KUY235" s="269"/>
      <c r="KUZ235" s="269"/>
      <c r="KVA235" s="269"/>
      <c r="KVB235" s="269"/>
      <c r="KVC235" s="269"/>
      <c r="KVD235" s="269"/>
      <c r="KVE235" s="269"/>
      <c r="KVF235" s="269"/>
      <c r="KVG235" s="269"/>
      <c r="KVH235" s="269"/>
      <c r="KVI235" s="269"/>
      <c r="KVJ235" s="269"/>
      <c r="KVK235" s="269"/>
      <c r="KVL235" s="269"/>
      <c r="KVM235" s="269"/>
      <c r="KVN235" s="269"/>
      <c r="KVO235" s="269"/>
      <c r="KVP235" s="269"/>
      <c r="KVQ235" s="269"/>
      <c r="KVR235" s="269"/>
      <c r="KVS235" s="269"/>
      <c r="KVT235" s="269"/>
      <c r="KVU235" s="269"/>
      <c r="KVV235" s="269"/>
      <c r="KVW235" s="269"/>
      <c r="KVX235" s="269"/>
      <c r="KVY235" s="269"/>
      <c r="KVZ235" s="269"/>
      <c r="KWA235" s="269"/>
      <c r="KWB235" s="269"/>
      <c r="KWC235" s="269"/>
      <c r="KWD235" s="269"/>
      <c r="KWE235" s="269"/>
      <c r="KWF235" s="269"/>
      <c r="KWG235" s="269"/>
      <c r="KWH235" s="269"/>
      <c r="KWI235" s="269"/>
      <c r="KWJ235" s="269"/>
      <c r="KWK235" s="269"/>
      <c r="KWL235" s="269"/>
      <c r="KWM235" s="269"/>
      <c r="KWN235" s="269"/>
      <c r="KWO235" s="269"/>
      <c r="KWP235" s="269"/>
      <c r="KWQ235" s="269"/>
      <c r="KWR235" s="269"/>
      <c r="KWS235" s="269"/>
      <c r="KWT235" s="269"/>
      <c r="KWU235" s="269"/>
      <c r="KWV235" s="269"/>
      <c r="KWW235" s="269"/>
      <c r="KWX235" s="269"/>
      <c r="KWY235" s="269"/>
      <c r="KWZ235" s="269"/>
      <c r="KXA235" s="269"/>
      <c r="KXB235" s="269"/>
      <c r="KXC235" s="269"/>
      <c r="KXD235" s="269"/>
      <c r="KXE235" s="269"/>
      <c r="KXF235" s="269"/>
      <c r="KXG235" s="269"/>
      <c r="KXH235" s="269"/>
      <c r="KXI235" s="269"/>
      <c r="KXJ235" s="269"/>
      <c r="KXK235" s="269"/>
      <c r="KXL235" s="269"/>
      <c r="KXM235" s="269"/>
      <c r="KXN235" s="269"/>
      <c r="KXO235" s="269"/>
      <c r="KXP235" s="269"/>
      <c r="KXQ235" s="269"/>
      <c r="KXR235" s="269"/>
      <c r="KXS235" s="269"/>
      <c r="KXT235" s="269"/>
      <c r="KXU235" s="269"/>
      <c r="KXV235" s="269"/>
      <c r="KXW235" s="269"/>
      <c r="KXX235" s="269"/>
      <c r="KXY235" s="269"/>
      <c r="KXZ235" s="269"/>
      <c r="KYA235" s="269"/>
      <c r="KYB235" s="269"/>
      <c r="KYC235" s="269"/>
      <c r="KYD235" s="269"/>
      <c r="KYE235" s="269"/>
      <c r="KYF235" s="269"/>
      <c r="KYG235" s="269"/>
      <c r="KYH235" s="269"/>
      <c r="KYI235" s="269"/>
      <c r="KYJ235" s="269"/>
      <c r="KYK235" s="269"/>
      <c r="KYL235" s="269"/>
      <c r="KYM235" s="269"/>
      <c r="KYN235" s="269"/>
      <c r="KYO235" s="269"/>
      <c r="KYP235" s="269"/>
      <c r="KYQ235" s="269"/>
      <c r="KYR235" s="269"/>
      <c r="KYS235" s="269"/>
      <c r="KYT235" s="269"/>
      <c r="KYU235" s="269"/>
      <c r="KYV235" s="269"/>
      <c r="KYW235" s="269"/>
      <c r="KYX235" s="269"/>
      <c r="KYY235" s="269"/>
      <c r="KYZ235" s="269"/>
      <c r="KZA235" s="269"/>
      <c r="KZB235" s="269"/>
      <c r="KZC235" s="269"/>
      <c r="KZD235" s="269"/>
      <c r="KZE235" s="269"/>
      <c r="KZF235" s="269"/>
      <c r="KZG235" s="269"/>
      <c r="KZH235" s="269"/>
      <c r="KZI235" s="269"/>
      <c r="KZJ235" s="269"/>
      <c r="KZK235" s="269"/>
      <c r="KZL235" s="269"/>
      <c r="KZM235" s="269"/>
      <c r="KZN235" s="269"/>
      <c r="KZO235" s="269"/>
      <c r="KZP235" s="269"/>
      <c r="KZQ235" s="269"/>
      <c r="KZR235" s="269"/>
      <c r="KZS235" s="269"/>
      <c r="KZT235" s="269"/>
      <c r="KZU235" s="269"/>
      <c r="KZV235" s="269"/>
      <c r="KZW235" s="269"/>
      <c r="KZX235" s="269"/>
      <c r="KZY235" s="269"/>
      <c r="KZZ235" s="269"/>
      <c r="LAA235" s="269"/>
      <c r="LAB235" s="269"/>
      <c r="LAC235" s="269"/>
      <c r="LAD235" s="269"/>
      <c r="LAE235" s="269"/>
      <c r="LAF235" s="269"/>
      <c r="LAG235" s="269"/>
      <c r="LAH235" s="269"/>
      <c r="LAI235" s="269"/>
      <c r="LAJ235" s="269"/>
      <c r="LAK235" s="269"/>
      <c r="LAL235" s="269"/>
      <c r="LAM235" s="269"/>
      <c r="LAN235" s="269"/>
      <c r="LAO235" s="269"/>
      <c r="LAP235" s="269"/>
      <c r="LAQ235" s="269"/>
      <c r="LAR235" s="269"/>
      <c r="LAS235" s="269"/>
      <c r="LAT235" s="269"/>
      <c r="LAU235" s="269"/>
      <c r="LAV235" s="269"/>
      <c r="LAW235" s="269"/>
      <c r="LAX235" s="269"/>
      <c r="LAY235" s="269"/>
      <c r="LAZ235" s="269"/>
      <c r="LBA235" s="269"/>
      <c r="LBB235" s="269"/>
      <c r="LBC235" s="269"/>
      <c r="LBD235" s="269"/>
      <c r="LBE235" s="269"/>
      <c r="LBF235" s="269"/>
      <c r="LBG235" s="269"/>
      <c r="LBH235" s="269"/>
      <c r="LBI235" s="269"/>
      <c r="LBJ235" s="269"/>
      <c r="LBK235" s="269"/>
      <c r="LBL235" s="269"/>
      <c r="LBM235" s="269"/>
      <c r="LBN235" s="269"/>
      <c r="LBO235" s="269"/>
      <c r="LBP235" s="269"/>
      <c r="LBQ235" s="269"/>
      <c r="LBR235" s="269"/>
      <c r="LBS235" s="269"/>
      <c r="LBT235" s="269"/>
      <c r="LBU235" s="269"/>
      <c r="LBV235" s="269"/>
      <c r="LBW235" s="269"/>
      <c r="LBX235" s="269"/>
      <c r="LBY235" s="269"/>
      <c r="LBZ235" s="269"/>
      <c r="LCA235" s="269"/>
      <c r="LCB235" s="269"/>
      <c r="LCC235" s="269"/>
      <c r="LCD235" s="269"/>
      <c r="LCE235" s="269"/>
      <c r="LCF235" s="269"/>
      <c r="LCG235" s="269"/>
      <c r="LCH235" s="269"/>
      <c r="LCI235" s="269"/>
      <c r="LCJ235" s="269"/>
      <c r="LCK235" s="269"/>
      <c r="LCL235" s="269"/>
      <c r="LCM235" s="269"/>
      <c r="LCN235" s="269"/>
      <c r="LCO235" s="269"/>
      <c r="LCP235" s="269"/>
      <c r="LCQ235" s="269"/>
      <c r="LCR235" s="269"/>
      <c r="LCS235" s="269"/>
      <c r="LCT235" s="269"/>
      <c r="LCU235" s="269"/>
      <c r="LCV235" s="269"/>
      <c r="LCW235" s="269"/>
      <c r="LCX235" s="269"/>
      <c r="LCY235" s="269"/>
      <c r="LCZ235" s="269"/>
      <c r="LDA235" s="269"/>
      <c r="LDB235" s="269"/>
      <c r="LDC235" s="269"/>
      <c r="LDD235" s="269"/>
      <c r="LDE235" s="269"/>
      <c r="LDF235" s="269"/>
      <c r="LDG235" s="269"/>
      <c r="LDH235" s="269"/>
      <c r="LDI235" s="269"/>
      <c r="LDJ235" s="269"/>
      <c r="LDK235" s="269"/>
      <c r="LDL235" s="269"/>
      <c r="LDM235" s="269"/>
      <c r="LDN235" s="269"/>
      <c r="LDO235" s="269"/>
      <c r="LDP235" s="269"/>
      <c r="LDQ235" s="269"/>
      <c r="LDR235" s="269"/>
      <c r="LDS235" s="269"/>
      <c r="LDT235" s="269"/>
      <c r="LDU235" s="269"/>
      <c r="LDV235" s="269"/>
      <c r="LDW235" s="269"/>
      <c r="LDX235" s="269"/>
      <c r="LDY235" s="269"/>
      <c r="LDZ235" s="269"/>
      <c r="LEA235" s="269"/>
      <c r="LEB235" s="269"/>
      <c r="LEC235" s="269"/>
      <c r="LED235" s="269"/>
      <c r="LEE235" s="269"/>
      <c r="LEF235" s="269"/>
      <c r="LEG235" s="269"/>
      <c r="LEH235" s="269"/>
      <c r="LEI235" s="269"/>
      <c r="LEJ235" s="269"/>
      <c r="LEK235" s="269"/>
      <c r="LEL235" s="269"/>
      <c r="LEM235" s="269"/>
      <c r="LEN235" s="269"/>
      <c r="LEO235" s="269"/>
      <c r="LEP235" s="269"/>
      <c r="LEQ235" s="269"/>
      <c r="LER235" s="269"/>
      <c r="LES235" s="269"/>
      <c r="LET235" s="269"/>
      <c r="LEU235" s="269"/>
      <c r="LEV235" s="269"/>
      <c r="LEW235" s="269"/>
      <c r="LEX235" s="269"/>
      <c r="LEY235" s="269"/>
      <c r="LEZ235" s="269"/>
      <c r="LFA235" s="269"/>
      <c r="LFB235" s="269"/>
      <c r="LFC235" s="269"/>
      <c r="LFD235" s="269"/>
      <c r="LFE235" s="269"/>
      <c r="LFF235" s="269"/>
      <c r="LFG235" s="269"/>
      <c r="LFH235" s="269"/>
      <c r="LFI235" s="269"/>
      <c r="LFJ235" s="269"/>
      <c r="LFK235" s="269"/>
      <c r="LFL235" s="269"/>
      <c r="LFM235" s="269"/>
      <c r="LFN235" s="269"/>
      <c r="LFO235" s="269"/>
      <c r="LFP235" s="269"/>
      <c r="LFQ235" s="269"/>
      <c r="LFR235" s="269"/>
      <c r="LFS235" s="269"/>
      <c r="LFT235" s="269"/>
      <c r="LFU235" s="269"/>
      <c r="LFV235" s="269"/>
      <c r="LFW235" s="269"/>
      <c r="LFX235" s="269"/>
      <c r="LFY235" s="269"/>
      <c r="LFZ235" s="269"/>
      <c r="LGA235" s="269"/>
      <c r="LGB235" s="269"/>
      <c r="LGC235" s="269"/>
      <c r="LGD235" s="269"/>
      <c r="LGE235" s="269"/>
      <c r="LGF235" s="269"/>
      <c r="LGG235" s="269"/>
      <c r="LGH235" s="269"/>
      <c r="LGI235" s="269"/>
      <c r="LGJ235" s="269"/>
      <c r="LGK235" s="269"/>
      <c r="LGL235" s="269"/>
      <c r="LGM235" s="269"/>
      <c r="LGN235" s="269"/>
      <c r="LGO235" s="269"/>
      <c r="LGP235" s="269"/>
      <c r="LGQ235" s="269"/>
      <c r="LGR235" s="269"/>
      <c r="LGS235" s="269"/>
      <c r="LGT235" s="269"/>
      <c r="LGU235" s="269"/>
      <c r="LGV235" s="269"/>
      <c r="LGW235" s="269"/>
      <c r="LGX235" s="269"/>
      <c r="LGY235" s="269"/>
      <c r="LGZ235" s="269"/>
      <c r="LHA235" s="269"/>
      <c r="LHB235" s="269"/>
      <c r="LHC235" s="269"/>
      <c r="LHD235" s="269"/>
      <c r="LHE235" s="269"/>
      <c r="LHF235" s="269"/>
      <c r="LHG235" s="269"/>
      <c r="LHH235" s="269"/>
      <c r="LHI235" s="269"/>
      <c r="LHJ235" s="269"/>
      <c r="LHK235" s="269"/>
      <c r="LHL235" s="269"/>
      <c r="LHM235" s="269"/>
      <c r="LHN235" s="269"/>
      <c r="LHO235" s="269"/>
      <c r="LHP235" s="269"/>
      <c r="LHQ235" s="269"/>
      <c r="LHR235" s="269"/>
      <c r="LHS235" s="269"/>
      <c r="LHT235" s="269"/>
      <c r="LHU235" s="269"/>
      <c r="LHV235" s="269"/>
      <c r="LHW235" s="269"/>
      <c r="LHX235" s="269"/>
      <c r="LHY235" s="269"/>
      <c r="LHZ235" s="269"/>
      <c r="LIA235" s="269"/>
      <c r="LIB235" s="269"/>
      <c r="LIC235" s="269"/>
      <c r="LID235" s="269"/>
      <c r="LIE235" s="269"/>
      <c r="LIF235" s="269"/>
      <c r="LIG235" s="269"/>
      <c r="LIH235" s="269"/>
      <c r="LII235" s="269"/>
      <c r="LIJ235" s="269"/>
      <c r="LIK235" s="269"/>
      <c r="LIL235" s="269"/>
      <c r="LIM235" s="269"/>
      <c r="LIN235" s="269"/>
      <c r="LIO235" s="269"/>
      <c r="LIP235" s="269"/>
      <c r="LIQ235" s="269"/>
      <c r="LIR235" s="269"/>
      <c r="LIS235" s="269"/>
      <c r="LIT235" s="269"/>
      <c r="LIU235" s="269"/>
      <c r="LIV235" s="269"/>
      <c r="LIW235" s="269"/>
      <c r="LIX235" s="269"/>
      <c r="LIY235" s="269"/>
      <c r="LIZ235" s="269"/>
      <c r="LJA235" s="269"/>
      <c r="LJB235" s="269"/>
      <c r="LJC235" s="269"/>
      <c r="LJD235" s="269"/>
      <c r="LJE235" s="269"/>
      <c r="LJF235" s="269"/>
      <c r="LJG235" s="269"/>
      <c r="LJH235" s="269"/>
      <c r="LJI235" s="269"/>
      <c r="LJJ235" s="269"/>
      <c r="LJK235" s="269"/>
      <c r="LJL235" s="269"/>
      <c r="LJM235" s="269"/>
      <c r="LJN235" s="269"/>
      <c r="LJO235" s="269"/>
      <c r="LJP235" s="269"/>
      <c r="LJQ235" s="269"/>
      <c r="LJR235" s="269"/>
      <c r="LJS235" s="269"/>
      <c r="LJT235" s="269"/>
      <c r="LJU235" s="269"/>
      <c r="LJV235" s="269"/>
      <c r="LJW235" s="269"/>
      <c r="LJX235" s="269"/>
      <c r="LJY235" s="269"/>
      <c r="LJZ235" s="269"/>
      <c r="LKA235" s="269"/>
      <c r="LKB235" s="269"/>
      <c r="LKC235" s="269"/>
      <c r="LKD235" s="269"/>
      <c r="LKE235" s="269"/>
      <c r="LKF235" s="269"/>
      <c r="LKG235" s="269"/>
      <c r="LKH235" s="269"/>
      <c r="LKI235" s="269"/>
      <c r="LKJ235" s="269"/>
      <c r="LKK235" s="269"/>
      <c r="LKL235" s="269"/>
      <c r="LKM235" s="269"/>
      <c r="LKN235" s="269"/>
      <c r="LKO235" s="269"/>
      <c r="LKP235" s="269"/>
      <c r="LKQ235" s="269"/>
      <c r="LKR235" s="269"/>
      <c r="LKS235" s="269"/>
      <c r="LKT235" s="269"/>
      <c r="LKU235" s="269"/>
      <c r="LKV235" s="269"/>
      <c r="LKW235" s="269"/>
      <c r="LKX235" s="269"/>
      <c r="LKY235" s="269"/>
      <c r="LKZ235" s="269"/>
      <c r="LLA235" s="269"/>
      <c r="LLB235" s="269"/>
      <c r="LLC235" s="269"/>
      <c r="LLD235" s="269"/>
      <c r="LLE235" s="269"/>
      <c r="LLF235" s="269"/>
      <c r="LLG235" s="269"/>
      <c r="LLH235" s="269"/>
      <c r="LLI235" s="269"/>
      <c r="LLJ235" s="269"/>
      <c r="LLK235" s="269"/>
      <c r="LLL235" s="269"/>
      <c r="LLM235" s="269"/>
      <c r="LLN235" s="269"/>
      <c r="LLO235" s="269"/>
      <c r="LLP235" s="269"/>
      <c r="LLQ235" s="269"/>
      <c r="LLR235" s="269"/>
      <c r="LLS235" s="269"/>
      <c r="LLT235" s="269"/>
      <c r="LLU235" s="269"/>
      <c r="LLV235" s="269"/>
      <c r="LLW235" s="269"/>
      <c r="LLX235" s="269"/>
      <c r="LLY235" s="269"/>
      <c r="LLZ235" s="269"/>
      <c r="LMA235" s="269"/>
      <c r="LMB235" s="269"/>
      <c r="LMC235" s="269"/>
      <c r="LMD235" s="269"/>
      <c r="LME235" s="269"/>
      <c r="LMF235" s="269"/>
      <c r="LMG235" s="269"/>
      <c r="LMH235" s="269"/>
      <c r="LMI235" s="269"/>
      <c r="LMJ235" s="269"/>
      <c r="LMK235" s="269"/>
      <c r="LML235" s="269"/>
      <c r="LMM235" s="269"/>
      <c r="LMN235" s="269"/>
      <c r="LMO235" s="269"/>
      <c r="LMP235" s="269"/>
      <c r="LMQ235" s="269"/>
      <c r="LMR235" s="269"/>
      <c r="LMS235" s="269"/>
      <c r="LMT235" s="269"/>
      <c r="LMU235" s="269"/>
      <c r="LMV235" s="269"/>
      <c r="LMW235" s="269"/>
      <c r="LMX235" s="269"/>
      <c r="LMY235" s="269"/>
      <c r="LMZ235" s="269"/>
      <c r="LNA235" s="269"/>
      <c r="LNB235" s="269"/>
      <c r="LNC235" s="269"/>
      <c r="LND235" s="269"/>
      <c r="LNE235" s="269"/>
      <c r="LNF235" s="269"/>
      <c r="LNG235" s="269"/>
      <c r="LNH235" s="269"/>
      <c r="LNI235" s="269"/>
      <c r="LNJ235" s="269"/>
      <c r="LNK235" s="269"/>
      <c r="LNL235" s="269"/>
      <c r="LNM235" s="269"/>
      <c r="LNN235" s="269"/>
      <c r="LNO235" s="269"/>
      <c r="LNP235" s="269"/>
      <c r="LNQ235" s="269"/>
      <c r="LNR235" s="269"/>
      <c r="LNS235" s="269"/>
      <c r="LNT235" s="269"/>
      <c r="LNU235" s="269"/>
      <c r="LNV235" s="269"/>
      <c r="LNW235" s="269"/>
      <c r="LNX235" s="269"/>
      <c r="LNY235" s="269"/>
      <c r="LNZ235" s="269"/>
      <c r="LOA235" s="269"/>
      <c r="LOB235" s="269"/>
      <c r="LOC235" s="269"/>
      <c r="LOD235" s="269"/>
      <c r="LOE235" s="269"/>
      <c r="LOF235" s="269"/>
      <c r="LOG235" s="269"/>
      <c r="LOH235" s="269"/>
      <c r="LOI235" s="269"/>
      <c r="LOJ235" s="269"/>
      <c r="LOK235" s="269"/>
      <c r="LOL235" s="269"/>
      <c r="LOM235" s="269"/>
      <c r="LON235" s="269"/>
      <c r="LOO235" s="269"/>
      <c r="LOP235" s="269"/>
      <c r="LOQ235" s="269"/>
      <c r="LOR235" s="269"/>
      <c r="LOS235" s="269"/>
      <c r="LOT235" s="269"/>
      <c r="LOU235" s="269"/>
      <c r="LOV235" s="269"/>
      <c r="LOW235" s="269"/>
      <c r="LOX235" s="269"/>
      <c r="LOY235" s="269"/>
      <c r="LOZ235" s="269"/>
      <c r="LPA235" s="269"/>
      <c r="LPB235" s="269"/>
      <c r="LPC235" s="269"/>
      <c r="LPD235" s="269"/>
      <c r="LPE235" s="269"/>
      <c r="LPF235" s="269"/>
      <c r="LPG235" s="269"/>
      <c r="LPH235" s="269"/>
      <c r="LPI235" s="269"/>
      <c r="LPJ235" s="269"/>
      <c r="LPK235" s="269"/>
      <c r="LPL235" s="269"/>
      <c r="LPM235" s="269"/>
      <c r="LPN235" s="269"/>
      <c r="LPO235" s="269"/>
      <c r="LPP235" s="269"/>
      <c r="LPQ235" s="269"/>
      <c r="LPR235" s="269"/>
      <c r="LPS235" s="269"/>
      <c r="LPT235" s="269"/>
      <c r="LPU235" s="269"/>
      <c r="LPV235" s="269"/>
      <c r="LPW235" s="269"/>
      <c r="LPX235" s="269"/>
      <c r="LPY235" s="269"/>
      <c r="LPZ235" s="269"/>
      <c r="LQA235" s="269"/>
      <c r="LQB235" s="269"/>
      <c r="LQC235" s="269"/>
      <c r="LQD235" s="269"/>
      <c r="LQE235" s="269"/>
      <c r="LQF235" s="269"/>
      <c r="LQG235" s="269"/>
      <c r="LQH235" s="269"/>
      <c r="LQI235" s="269"/>
      <c r="LQJ235" s="269"/>
      <c r="LQK235" s="269"/>
      <c r="LQL235" s="269"/>
      <c r="LQM235" s="269"/>
      <c r="LQN235" s="269"/>
      <c r="LQO235" s="269"/>
      <c r="LQP235" s="269"/>
      <c r="LQQ235" s="269"/>
      <c r="LQR235" s="269"/>
      <c r="LQS235" s="269"/>
      <c r="LQT235" s="269"/>
      <c r="LQU235" s="269"/>
      <c r="LQV235" s="269"/>
      <c r="LQW235" s="269"/>
      <c r="LQX235" s="269"/>
      <c r="LQY235" s="269"/>
      <c r="LQZ235" s="269"/>
      <c r="LRA235" s="269"/>
      <c r="LRB235" s="269"/>
      <c r="LRC235" s="269"/>
      <c r="LRD235" s="269"/>
      <c r="LRE235" s="269"/>
      <c r="LRF235" s="269"/>
      <c r="LRG235" s="269"/>
      <c r="LRH235" s="269"/>
      <c r="LRI235" s="269"/>
      <c r="LRJ235" s="269"/>
      <c r="LRK235" s="269"/>
      <c r="LRL235" s="269"/>
      <c r="LRM235" s="269"/>
      <c r="LRN235" s="269"/>
      <c r="LRO235" s="269"/>
      <c r="LRP235" s="269"/>
      <c r="LRQ235" s="269"/>
      <c r="LRR235" s="269"/>
      <c r="LRS235" s="269"/>
      <c r="LRT235" s="269"/>
      <c r="LRU235" s="269"/>
      <c r="LRV235" s="269"/>
      <c r="LRW235" s="269"/>
      <c r="LRX235" s="269"/>
      <c r="LRY235" s="269"/>
      <c r="LRZ235" s="269"/>
      <c r="LSA235" s="269"/>
      <c r="LSB235" s="269"/>
      <c r="LSC235" s="269"/>
      <c r="LSD235" s="269"/>
      <c r="LSE235" s="269"/>
      <c r="LSF235" s="269"/>
      <c r="LSG235" s="269"/>
      <c r="LSH235" s="269"/>
      <c r="LSI235" s="269"/>
      <c r="LSJ235" s="269"/>
      <c r="LSK235" s="269"/>
      <c r="LSL235" s="269"/>
      <c r="LSM235" s="269"/>
      <c r="LSN235" s="269"/>
      <c r="LSO235" s="269"/>
      <c r="LSP235" s="269"/>
      <c r="LSQ235" s="269"/>
      <c r="LSR235" s="269"/>
      <c r="LSS235" s="269"/>
      <c r="LST235" s="269"/>
      <c r="LSU235" s="269"/>
      <c r="LSV235" s="269"/>
      <c r="LSW235" s="269"/>
      <c r="LSX235" s="269"/>
      <c r="LSY235" s="269"/>
      <c r="LSZ235" s="269"/>
      <c r="LTA235" s="269"/>
      <c r="LTB235" s="269"/>
      <c r="LTC235" s="269"/>
      <c r="LTD235" s="269"/>
      <c r="LTE235" s="269"/>
      <c r="LTF235" s="269"/>
      <c r="LTG235" s="269"/>
      <c r="LTH235" s="269"/>
      <c r="LTI235" s="269"/>
      <c r="LTJ235" s="269"/>
      <c r="LTK235" s="269"/>
      <c r="LTL235" s="269"/>
      <c r="LTM235" s="269"/>
      <c r="LTN235" s="269"/>
      <c r="LTO235" s="269"/>
      <c r="LTP235" s="269"/>
      <c r="LTQ235" s="269"/>
      <c r="LTR235" s="269"/>
      <c r="LTS235" s="269"/>
      <c r="LTT235" s="269"/>
      <c r="LTU235" s="269"/>
      <c r="LTV235" s="269"/>
      <c r="LTW235" s="269"/>
      <c r="LTX235" s="269"/>
      <c r="LTY235" s="269"/>
      <c r="LTZ235" s="269"/>
      <c r="LUA235" s="269"/>
      <c r="LUB235" s="269"/>
      <c r="LUC235" s="269"/>
      <c r="LUD235" s="269"/>
      <c r="LUE235" s="269"/>
      <c r="LUF235" s="269"/>
      <c r="LUG235" s="269"/>
      <c r="LUH235" s="269"/>
      <c r="LUI235" s="269"/>
      <c r="LUJ235" s="269"/>
      <c r="LUK235" s="269"/>
      <c r="LUL235" s="269"/>
      <c r="LUM235" s="269"/>
      <c r="LUN235" s="269"/>
      <c r="LUO235" s="269"/>
      <c r="LUP235" s="269"/>
      <c r="LUQ235" s="269"/>
      <c r="LUR235" s="269"/>
      <c r="LUS235" s="269"/>
      <c r="LUT235" s="269"/>
      <c r="LUU235" s="269"/>
      <c r="LUV235" s="269"/>
      <c r="LUW235" s="269"/>
      <c r="LUX235" s="269"/>
      <c r="LUY235" s="269"/>
      <c r="LUZ235" s="269"/>
      <c r="LVA235" s="269"/>
      <c r="LVB235" s="269"/>
      <c r="LVC235" s="269"/>
      <c r="LVD235" s="269"/>
      <c r="LVE235" s="269"/>
      <c r="LVF235" s="269"/>
      <c r="LVG235" s="269"/>
      <c r="LVH235" s="269"/>
      <c r="LVI235" s="269"/>
      <c r="LVJ235" s="269"/>
      <c r="LVK235" s="269"/>
      <c r="LVL235" s="269"/>
      <c r="LVM235" s="269"/>
      <c r="LVN235" s="269"/>
      <c r="LVO235" s="269"/>
      <c r="LVP235" s="269"/>
      <c r="LVQ235" s="269"/>
      <c r="LVR235" s="269"/>
      <c r="LVS235" s="269"/>
      <c r="LVT235" s="269"/>
      <c r="LVU235" s="269"/>
      <c r="LVV235" s="269"/>
      <c r="LVW235" s="269"/>
      <c r="LVX235" s="269"/>
      <c r="LVY235" s="269"/>
      <c r="LVZ235" s="269"/>
      <c r="LWA235" s="269"/>
      <c r="LWB235" s="269"/>
      <c r="LWC235" s="269"/>
      <c r="LWD235" s="269"/>
      <c r="LWE235" s="269"/>
      <c r="LWF235" s="269"/>
      <c r="LWG235" s="269"/>
      <c r="LWH235" s="269"/>
      <c r="LWI235" s="269"/>
      <c r="LWJ235" s="269"/>
      <c r="LWK235" s="269"/>
      <c r="LWL235" s="269"/>
      <c r="LWM235" s="269"/>
      <c r="LWN235" s="269"/>
      <c r="LWO235" s="269"/>
      <c r="LWP235" s="269"/>
      <c r="LWQ235" s="269"/>
      <c r="LWR235" s="269"/>
      <c r="LWS235" s="269"/>
      <c r="LWT235" s="269"/>
      <c r="LWU235" s="269"/>
      <c r="LWV235" s="269"/>
      <c r="LWW235" s="269"/>
      <c r="LWX235" s="269"/>
      <c r="LWY235" s="269"/>
      <c r="LWZ235" s="269"/>
      <c r="LXA235" s="269"/>
      <c r="LXB235" s="269"/>
      <c r="LXC235" s="269"/>
      <c r="LXD235" s="269"/>
      <c r="LXE235" s="269"/>
      <c r="LXF235" s="269"/>
      <c r="LXG235" s="269"/>
      <c r="LXH235" s="269"/>
      <c r="LXI235" s="269"/>
      <c r="LXJ235" s="269"/>
      <c r="LXK235" s="269"/>
      <c r="LXL235" s="269"/>
      <c r="LXM235" s="269"/>
      <c r="LXN235" s="269"/>
      <c r="LXO235" s="269"/>
      <c r="LXP235" s="269"/>
      <c r="LXQ235" s="269"/>
      <c r="LXR235" s="269"/>
      <c r="LXS235" s="269"/>
      <c r="LXT235" s="269"/>
      <c r="LXU235" s="269"/>
      <c r="LXV235" s="269"/>
      <c r="LXW235" s="269"/>
      <c r="LXX235" s="269"/>
      <c r="LXY235" s="269"/>
      <c r="LXZ235" s="269"/>
      <c r="LYA235" s="269"/>
      <c r="LYB235" s="269"/>
      <c r="LYC235" s="269"/>
      <c r="LYD235" s="269"/>
      <c r="LYE235" s="269"/>
      <c r="LYF235" s="269"/>
      <c r="LYG235" s="269"/>
      <c r="LYH235" s="269"/>
      <c r="LYI235" s="269"/>
      <c r="LYJ235" s="269"/>
      <c r="LYK235" s="269"/>
      <c r="LYL235" s="269"/>
      <c r="LYM235" s="269"/>
      <c r="LYN235" s="269"/>
      <c r="LYO235" s="269"/>
      <c r="LYP235" s="269"/>
      <c r="LYQ235" s="269"/>
      <c r="LYR235" s="269"/>
      <c r="LYS235" s="269"/>
      <c r="LYT235" s="269"/>
      <c r="LYU235" s="269"/>
      <c r="LYV235" s="269"/>
      <c r="LYW235" s="269"/>
      <c r="LYX235" s="269"/>
      <c r="LYY235" s="269"/>
      <c r="LYZ235" s="269"/>
      <c r="LZA235" s="269"/>
      <c r="LZB235" s="269"/>
      <c r="LZC235" s="269"/>
      <c r="LZD235" s="269"/>
      <c r="LZE235" s="269"/>
      <c r="LZF235" s="269"/>
      <c r="LZG235" s="269"/>
      <c r="LZH235" s="269"/>
      <c r="LZI235" s="269"/>
      <c r="LZJ235" s="269"/>
      <c r="LZK235" s="269"/>
      <c r="LZL235" s="269"/>
      <c r="LZM235" s="269"/>
      <c r="LZN235" s="269"/>
      <c r="LZO235" s="269"/>
      <c r="LZP235" s="269"/>
      <c r="LZQ235" s="269"/>
      <c r="LZR235" s="269"/>
      <c r="LZS235" s="269"/>
      <c r="LZT235" s="269"/>
      <c r="LZU235" s="269"/>
      <c r="LZV235" s="269"/>
      <c r="LZW235" s="269"/>
      <c r="LZX235" s="269"/>
      <c r="LZY235" s="269"/>
      <c r="LZZ235" s="269"/>
      <c r="MAA235" s="269"/>
      <c r="MAB235" s="269"/>
      <c r="MAC235" s="269"/>
      <c r="MAD235" s="269"/>
      <c r="MAE235" s="269"/>
      <c r="MAF235" s="269"/>
      <c r="MAG235" s="269"/>
      <c r="MAH235" s="269"/>
      <c r="MAI235" s="269"/>
      <c r="MAJ235" s="269"/>
      <c r="MAK235" s="269"/>
      <c r="MAL235" s="269"/>
      <c r="MAM235" s="269"/>
      <c r="MAN235" s="269"/>
      <c r="MAO235" s="269"/>
      <c r="MAP235" s="269"/>
      <c r="MAQ235" s="269"/>
      <c r="MAR235" s="269"/>
      <c r="MAS235" s="269"/>
      <c r="MAT235" s="269"/>
      <c r="MAU235" s="269"/>
      <c r="MAV235" s="269"/>
      <c r="MAW235" s="269"/>
      <c r="MAX235" s="269"/>
      <c r="MAY235" s="269"/>
      <c r="MAZ235" s="269"/>
      <c r="MBA235" s="269"/>
      <c r="MBB235" s="269"/>
      <c r="MBC235" s="269"/>
      <c r="MBD235" s="269"/>
      <c r="MBE235" s="269"/>
      <c r="MBF235" s="269"/>
      <c r="MBG235" s="269"/>
      <c r="MBH235" s="269"/>
      <c r="MBI235" s="269"/>
      <c r="MBJ235" s="269"/>
      <c r="MBK235" s="269"/>
      <c r="MBL235" s="269"/>
      <c r="MBM235" s="269"/>
      <c r="MBN235" s="269"/>
      <c r="MBO235" s="269"/>
      <c r="MBP235" s="269"/>
      <c r="MBQ235" s="269"/>
      <c r="MBR235" s="269"/>
      <c r="MBS235" s="269"/>
      <c r="MBT235" s="269"/>
      <c r="MBU235" s="269"/>
      <c r="MBV235" s="269"/>
      <c r="MBW235" s="269"/>
      <c r="MBX235" s="269"/>
      <c r="MBY235" s="269"/>
      <c r="MBZ235" s="269"/>
      <c r="MCA235" s="269"/>
      <c r="MCB235" s="269"/>
      <c r="MCC235" s="269"/>
      <c r="MCD235" s="269"/>
      <c r="MCE235" s="269"/>
      <c r="MCF235" s="269"/>
      <c r="MCG235" s="269"/>
      <c r="MCH235" s="269"/>
      <c r="MCI235" s="269"/>
      <c r="MCJ235" s="269"/>
      <c r="MCK235" s="269"/>
      <c r="MCL235" s="269"/>
      <c r="MCM235" s="269"/>
      <c r="MCN235" s="269"/>
      <c r="MCO235" s="269"/>
      <c r="MCP235" s="269"/>
      <c r="MCQ235" s="269"/>
      <c r="MCR235" s="269"/>
      <c r="MCS235" s="269"/>
      <c r="MCT235" s="269"/>
      <c r="MCU235" s="269"/>
      <c r="MCV235" s="269"/>
      <c r="MCW235" s="269"/>
      <c r="MCX235" s="269"/>
      <c r="MCY235" s="269"/>
      <c r="MCZ235" s="269"/>
      <c r="MDA235" s="269"/>
      <c r="MDB235" s="269"/>
      <c r="MDC235" s="269"/>
      <c r="MDD235" s="269"/>
      <c r="MDE235" s="269"/>
      <c r="MDF235" s="269"/>
      <c r="MDG235" s="269"/>
      <c r="MDH235" s="269"/>
      <c r="MDI235" s="269"/>
      <c r="MDJ235" s="269"/>
      <c r="MDK235" s="269"/>
      <c r="MDL235" s="269"/>
      <c r="MDM235" s="269"/>
      <c r="MDN235" s="269"/>
      <c r="MDO235" s="269"/>
      <c r="MDP235" s="269"/>
      <c r="MDQ235" s="269"/>
      <c r="MDR235" s="269"/>
      <c r="MDS235" s="269"/>
      <c r="MDT235" s="269"/>
      <c r="MDU235" s="269"/>
      <c r="MDV235" s="269"/>
      <c r="MDW235" s="269"/>
      <c r="MDX235" s="269"/>
      <c r="MDY235" s="269"/>
      <c r="MDZ235" s="269"/>
      <c r="MEA235" s="269"/>
      <c r="MEB235" s="269"/>
      <c r="MEC235" s="269"/>
      <c r="MED235" s="269"/>
      <c r="MEE235" s="269"/>
      <c r="MEF235" s="269"/>
      <c r="MEG235" s="269"/>
      <c r="MEH235" s="269"/>
      <c r="MEI235" s="269"/>
      <c r="MEJ235" s="269"/>
      <c r="MEK235" s="269"/>
      <c r="MEL235" s="269"/>
      <c r="MEM235" s="269"/>
      <c r="MEN235" s="269"/>
      <c r="MEO235" s="269"/>
      <c r="MEP235" s="269"/>
      <c r="MEQ235" s="269"/>
      <c r="MER235" s="269"/>
      <c r="MES235" s="269"/>
      <c r="MET235" s="269"/>
      <c r="MEU235" s="269"/>
      <c r="MEV235" s="269"/>
      <c r="MEW235" s="269"/>
      <c r="MEX235" s="269"/>
      <c r="MEY235" s="269"/>
      <c r="MEZ235" s="269"/>
      <c r="MFA235" s="269"/>
      <c r="MFB235" s="269"/>
      <c r="MFC235" s="269"/>
      <c r="MFD235" s="269"/>
      <c r="MFE235" s="269"/>
      <c r="MFF235" s="269"/>
      <c r="MFG235" s="269"/>
      <c r="MFH235" s="269"/>
      <c r="MFI235" s="269"/>
      <c r="MFJ235" s="269"/>
      <c r="MFK235" s="269"/>
      <c r="MFL235" s="269"/>
      <c r="MFM235" s="269"/>
      <c r="MFN235" s="269"/>
      <c r="MFO235" s="269"/>
      <c r="MFP235" s="269"/>
      <c r="MFQ235" s="269"/>
      <c r="MFR235" s="269"/>
      <c r="MFS235" s="269"/>
      <c r="MFT235" s="269"/>
      <c r="MFU235" s="269"/>
      <c r="MFV235" s="269"/>
      <c r="MFW235" s="269"/>
      <c r="MFX235" s="269"/>
      <c r="MFY235" s="269"/>
      <c r="MFZ235" s="269"/>
      <c r="MGA235" s="269"/>
      <c r="MGB235" s="269"/>
      <c r="MGC235" s="269"/>
      <c r="MGD235" s="269"/>
      <c r="MGE235" s="269"/>
      <c r="MGF235" s="269"/>
      <c r="MGG235" s="269"/>
      <c r="MGH235" s="269"/>
      <c r="MGI235" s="269"/>
      <c r="MGJ235" s="269"/>
      <c r="MGK235" s="269"/>
      <c r="MGL235" s="269"/>
      <c r="MGM235" s="269"/>
      <c r="MGN235" s="269"/>
      <c r="MGO235" s="269"/>
      <c r="MGP235" s="269"/>
      <c r="MGQ235" s="269"/>
      <c r="MGR235" s="269"/>
      <c r="MGS235" s="269"/>
      <c r="MGT235" s="269"/>
      <c r="MGU235" s="269"/>
      <c r="MGV235" s="269"/>
      <c r="MGW235" s="269"/>
      <c r="MGX235" s="269"/>
      <c r="MGY235" s="269"/>
      <c r="MGZ235" s="269"/>
      <c r="MHA235" s="269"/>
      <c r="MHB235" s="269"/>
      <c r="MHC235" s="269"/>
      <c r="MHD235" s="269"/>
      <c r="MHE235" s="269"/>
      <c r="MHF235" s="269"/>
      <c r="MHG235" s="269"/>
      <c r="MHH235" s="269"/>
      <c r="MHI235" s="269"/>
      <c r="MHJ235" s="269"/>
      <c r="MHK235" s="269"/>
      <c r="MHL235" s="269"/>
      <c r="MHM235" s="269"/>
      <c r="MHN235" s="269"/>
      <c r="MHO235" s="269"/>
      <c r="MHP235" s="269"/>
      <c r="MHQ235" s="269"/>
      <c r="MHR235" s="269"/>
      <c r="MHS235" s="269"/>
      <c r="MHT235" s="269"/>
      <c r="MHU235" s="269"/>
      <c r="MHV235" s="269"/>
      <c r="MHW235" s="269"/>
      <c r="MHX235" s="269"/>
      <c r="MHY235" s="269"/>
      <c r="MHZ235" s="269"/>
      <c r="MIA235" s="269"/>
      <c r="MIB235" s="269"/>
      <c r="MIC235" s="269"/>
      <c r="MID235" s="269"/>
      <c r="MIE235" s="269"/>
      <c r="MIF235" s="269"/>
      <c r="MIG235" s="269"/>
      <c r="MIH235" s="269"/>
      <c r="MII235" s="269"/>
      <c r="MIJ235" s="269"/>
      <c r="MIK235" s="269"/>
      <c r="MIL235" s="269"/>
      <c r="MIM235" s="269"/>
      <c r="MIN235" s="269"/>
      <c r="MIO235" s="269"/>
      <c r="MIP235" s="269"/>
      <c r="MIQ235" s="269"/>
      <c r="MIR235" s="269"/>
      <c r="MIS235" s="269"/>
      <c r="MIT235" s="269"/>
      <c r="MIU235" s="269"/>
      <c r="MIV235" s="269"/>
      <c r="MIW235" s="269"/>
      <c r="MIX235" s="269"/>
      <c r="MIY235" s="269"/>
      <c r="MIZ235" s="269"/>
      <c r="MJA235" s="269"/>
      <c r="MJB235" s="269"/>
      <c r="MJC235" s="269"/>
      <c r="MJD235" s="269"/>
      <c r="MJE235" s="269"/>
      <c r="MJF235" s="269"/>
      <c r="MJG235" s="269"/>
      <c r="MJH235" s="269"/>
      <c r="MJI235" s="269"/>
      <c r="MJJ235" s="269"/>
      <c r="MJK235" s="269"/>
      <c r="MJL235" s="269"/>
      <c r="MJM235" s="269"/>
      <c r="MJN235" s="269"/>
      <c r="MJO235" s="269"/>
      <c r="MJP235" s="269"/>
      <c r="MJQ235" s="269"/>
      <c r="MJR235" s="269"/>
      <c r="MJS235" s="269"/>
      <c r="MJT235" s="269"/>
      <c r="MJU235" s="269"/>
      <c r="MJV235" s="269"/>
      <c r="MJW235" s="269"/>
      <c r="MJX235" s="269"/>
      <c r="MJY235" s="269"/>
      <c r="MJZ235" s="269"/>
      <c r="MKA235" s="269"/>
      <c r="MKB235" s="269"/>
      <c r="MKC235" s="269"/>
      <c r="MKD235" s="269"/>
      <c r="MKE235" s="269"/>
      <c r="MKF235" s="269"/>
      <c r="MKG235" s="269"/>
      <c r="MKH235" s="269"/>
      <c r="MKI235" s="269"/>
      <c r="MKJ235" s="269"/>
      <c r="MKK235" s="269"/>
      <c r="MKL235" s="269"/>
      <c r="MKM235" s="269"/>
      <c r="MKN235" s="269"/>
      <c r="MKO235" s="269"/>
      <c r="MKP235" s="269"/>
      <c r="MKQ235" s="269"/>
      <c r="MKR235" s="269"/>
      <c r="MKS235" s="269"/>
      <c r="MKT235" s="269"/>
      <c r="MKU235" s="269"/>
      <c r="MKV235" s="269"/>
      <c r="MKW235" s="269"/>
      <c r="MKX235" s="269"/>
      <c r="MKY235" s="269"/>
      <c r="MKZ235" s="269"/>
      <c r="MLA235" s="269"/>
      <c r="MLB235" s="269"/>
      <c r="MLC235" s="269"/>
      <c r="MLD235" s="269"/>
      <c r="MLE235" s="269"/>
      <c r="MLF235" s="269"/>
      <c r="MLG235" s="269"/>
      <c r="MLH235" s="269"/>
      <c r="MLI235" s="269"/>
      <c r="MLJ235" s="269"/>
      <c r="MLK235" s="269"/>
      <c r="MLL235" s="269"/>
      <c r="MLM235" s="269"/>
      <c r="MLN235" s="269"/>
      <c r="MLO235" s="269"/>
      <c r="MLP235" s="269"/>
      <c r="MLQ235" s="269"/>
      <c r="MLR235" s="269"/>
      <c r="MLS235" s="269"/>
      <c r="MLT235" s="269"/>
      <c r="MLU235" s="269"/>
      <c r="MLV235" s="269"/>
      <c r="MLW235" s="269"/>
      <c r="MLX235" s="269"/>
      <c r="MLY235" s="269"/>
      <c r="MLZ235" s="269"/>
      <c r="MMA235" s="269"/>
      <c r="MMB235" s="269"/>
      <c r="MMC235" s="269"/>
      <c r="MMD235" s="269"/>
      <c r="MME235" s="269"/>
      <c r="MMF235" s="269"/>
      <c r="MMG235" s="269"/>
      <c r="MMH235" s="269"/>
      <c r="MMI235" s="269"/>
      <c r="MMJ235" s="269"/>
      <c r="MMK235" s="269"/>
      <c r="MML235" s="269"/>
      <c r="MMM235" s="269"/>
      <c r="MMN235" s="269"/>
      <c r="MMO235" s="269"/>
      <c r="MMP235" s="269"/>
      <c r="MMQ235" s="269"/>
      <c r="MMR235" s="269"/>
      <c r="MMS235" s="269"/>
      <c r="MMT235" s="269"/>
      <c r="MMU235" s="269"/>
      <c r="MMV235" s="269"/>
      <c r="MMW235" s="269"/>
      <c r="MMX235" s="269"/>
      <c r="MMY235" s="269"/>
      <c r="MMZ235" s="269"/>
      <c r="MNA235" s="269"/>
      <c r="MNB235" s="269"/>
      <c r="MNC235" s="269"/>
      <c r="MND235" s="269"/>
      <c r="MNE235" s="269"/>
      <c r="MNF235" s="269"/>
      <c r="MNG235" s="269"/>
      <c r="MNH235" s="269"/>
      <c r="MNI235" s="269"/>
      <c r="MNJ235" s="269"/>
      <c r="MNK235" s="269"/>
      <c r="MNL235" s="269"/>
      <c r="MNM235" s="269"/>
      <c r="MNN235" s="269"/>
      <c r="MNO235" s="269"/>
      <c r="MNP235" s="269"/>
      <c r="MNQ235" s="269"/>
      <c r="MNR235" s="269"/>
      <c r="MNS235" s="269"/>
      <c r="MNT235" s="269"/>
      <c r="MNU235" s="269"/>
      <c r="MNV235" s="269"/>
      <c r="MNW235" s="269"/>
      <c r="MNX235" s="269"/>
      <c r="MNY235" s="269"/>
      <c r="MNZ235" s="269"/>
      <c r="MOA235" s="269"/>
      <c r="MOB235" s="269"/>
      <c r="MOC235" s="269"/>
      <c r="MOD235" s="269"/>
      <c r="MOE235" s="269"/>
      <c r="MOF235" s="269"/>
      <c r="MOG235" s="269"/>
      <c r="MOH235" s="269"/>
      <c r="MOI235" s="269"/>
      <c r="MOJ235" s="269"/>
      <c r="MOK235" s="269"/>
      <c r="MOL235" s="269"/>
      <c r="MOM235" s="269"/>
      <c r="MON235" s="269"/>
      <c r="MOO235" s="269"/>
      <c r="MOP235" s="269"/>
      <c r="MOQ235" s="269"/>
      <c r="MOR235" s="269"/>
      <c r="MOS235" s="269"/>
      <c r="MOT235" s="269"/>
      <c r="MOU235" s="269"/>
      <c r="MOV235" s="269"/>
      <c r="MOW235" s="269"/>
      <c r="MOX235" s="269"/>
      <c r="MOY235" s="269"/>
      <c r="MOZ235" s="269"/>
      <c r="MPA235" s="269"/>
      <c r="MPB235" s="269"/>
      <c r="MPC235" s="269"/>
      <c r="MPD235" s="269"/>
      <c r="MPE235" s="269"/>
      <c r="MPF235" s="269"/>
      <c r="MPG235" s="269"/>
      <c r="MPH235" s="269"/>
      <c r="MPI235" s="269"/>
      <c r="MPJ235" s="269"/>
      <c r="MPK235" s="269"/>
      <c r="MPL235" s="269"/>
      <c r="MPM235" s="269"/>
      <c r="MPN235" s="269"/>
      <c r="MPO235" s="269"/>
      <c r="MPP235" s="269"/>
      <c r="MPQ235" s="269"/>
      <c r="MPR235" s="269"/>
      <c r="MPS235" s="269"/>
      <c r="MPT235" s="269"/>
      <c r="MPU235" s="269"/>
      <c r="MPV235" s="269"/>
      <c r="MPW235" s="269"/>
      <c r="MPX235" s="269"/>
      <c r="MPY235" s="269"/>
      <c r="MPZ235" s="269"/>
      <c r="MQA235" s="269"/>
      <c r="MQB235" s="269"/>
      <c r="MQC235" s="269"/>
      <c r="MQD235" s="269"/>
      <c r="MQE235" s="269"/>
      <c r="MQF235" s="269"/>
      <c r="MQG235" s="269"/>
      <c r="MQH235" s="269"/>
      <c r="MQI235" s="269"/>
      <c r="MQJ235" s="269"/>
      <c r="MQK235" s="269"/>
      <c r="MQL235" s="269"/>
      <c r="MQM235" s="269"/>
      <c r="MQN235" s="269"/>
      <c r="MQO235" s="269"/>
      <c r="MQP235" s="269"/>
      <c r="MQQ235" s="269"/>
      <c r="MQR235" s="269"/>
      <c r="MQS235" s="269"/>
      <c r="MQT235" s="269"/>
      <c r="MQU235" s="269"/>
      <c r="MQV235" s="269"/>
      <c r="MQW235" s="269"/>
      <c r="MQX235" s="269"/>
      <c r="MQY235" s="269"/>
      <c r="MQZ235" s="269"/>
      <c r="MRA235" s="269"/>
      <c r="MRB235" s="269"/>
      <c r="MRC235" s="269"/>
      <c r="MRD235" s="269"/>
      <c r="MRE235" s="269"/>
      <c r="MRF235" s="269"/>
      <c r="MRG235" s="269"/>
      <c r="MRH235" s="269"/>
      <c r="MRI235" s="269"/>
      <c r="MRJ235" s="269"/>
      <c r="MRK235" s="269"/>
      <c r="MRL235" s="269"/>
      <c r="MRM235" s="269"/>
      <c r="MRN235" s="269"/>
      <c r="MRO235" s="269"/>
      <c r="MRP235" s="269"/>
      <c r="MRQ235" s="269"/>
      <c r="MRR235" s="269"/>
      <c r="MRS235" s="269"/>
      <c r="MRT235" s="269"/>
      <c r="MRU235" s="269"/>
      <c r="MRV235" s="269"/>
      <c r="MRW235" s="269"/>
      <c r="MRX235" s="269"/>
      <c r="MRY235" s="269"/>
      <c r="MRZ235" s="269"/>
      <c r="MSA235" s="269"/>
      <c r="MSB235" s="269"/>
      <c r="MSC235" s="269"/>
      <c r="MSD235" s="269"/>
      <c r="MSE235" s="269"/>
      <c r="MSF235" s="269"/>
      <c r="MSG235" s="269"/>
      <c r="MSH235" s="269"/>
      <c r="MSI235" s="269"/>
      <c r="MSJ235" s="269"/>
      <c r="MSK235" s="269"/>
      <c r="MSL235" s="269"/>
      <c r="MSM235" s="269"/>
      <c r="MSN235" s="269"/>
      <c r="MSO235" s="269"/>
      <c r="MSP235" s="269"/>
      <c r="MSQ235" s="269"/>
      <c r="MSR235" s="269"/>
      <c r="MSS235" s="269"/>
      <c r="MST235" s="269"/>
      <c r="MSU235" s="269"/>
      <c r="MSV235" s="269"/>
      <c r="MSW235" s="269"/>
      <c r="MSX235" s="269"/>
      <c r="MSY235" s="269"/>
      <c r="MSZ235" s="269"/>
      <c r="MTA235" s="269"/>
      <c r="MTB235" s="269"/>
      <c r="MTC235" s="269"/>
      <c r="MTD235" s="269"/>
      <c r="MTE235" s="269"/>
      <c r="MTF235" s="269"/>
      <c r="MTG235" s="269"/>
      <c r="MTH235" s="269"/>
      <c r="MTI235" s="269"/>
      <c r="MTJ235" s="269"/>
      <c r="MTK235" s="269"/>
      <c r="MTL235" s="269"/>
      <c r="MTM235" s="269"/>
      <c r="MTN235" s="269"/>
      <c r="MTO235" s="269"/>
      <c r="MTP235" s="269"/>
      <c r="MTQ235" s="269"/>
      <c r="MTR235" s="269"/>
      <c r="MTS235" s="269"/>
      <c r="MTT235" s="269"/>
      <c r="MTU235" s="269"/>
      <c r="MTV235" s="269"/>
      <c r="MTW235" s="269"/>
      <c r="MTX235" s="269"/>
      <c r="MTY235" s="269"/>
      <c r="MTZ235" s="269"/>
      <c r="MUA235" s="269"/>
      <c r="MUB235" s="269"/>
      <c r="MUC235" s="269"/>
      <c r="MUD235" s="269"/>
      <c r="MUE235" s="269"/>
      <c r="MUF235" s="269"/>
      <c r="MUG235" s="269"/>
      <c r="MUH235" s="269"/>
      <c r="MUI235" s="269"/>
      <c r="MUJ235" s="269"/>
      <c r="MUK235" s="269"/>
      <c r="MUL235" s="269"/>
      <c r="MUM235" s="269"/>
      <c r="MUN235" s="269"/>
      <c r="MUO235" s="269"/>
      <c r="MUP235" s="269"/>
      <c r="MUQ235" s="269"/>
      <c r="MUR235" s="269"/>
      <c r="MUS235" s="269"/>
      <c r="MUT235" s="269"/>
      <c r="MUU235" s="269"/>
      <c r="MUV235" s="269"/>
      <c r="MUW235" s="269"/>
      <c r="MUX235" s="269"/>
      <c r="MUY235" s="269"/>
      <c r="MUZ235" s="269"/>
      <c r="MVA235" s="269"/>
      <c r="MVB235" s="269"/>
      <c r="MVC235" s="269"/>
      <c r="MVD235" s="269"/>
      <c r="MVE235" s="269"/>
      <c r="MVF235" s="269"/>
      <c r="MVG235" s="269"/>
      <c r="MVH235" s="269"/>
      <c r="MVI235" s="269"/>
      <c r="MVJ235" s="269"/>
      <c r="MVK235" s="269"/>
      <c r="MVL235" s="269"/>
      <c r="MVM235" s="269"/>
      <c r="MVN235" s="269"/>
      <c r="MVO235" s="269"/>
      <c r="MVP235" s="269"/>
      <c r="MVQ235" s="269"/>
      <c r="MVR235" s="269"/>
      <c r="MVS235" s="269"/>
      <c r="MVT235" s="269"/>
      <c r="MVU235" s="269"/>
      <c r="MVV235" s="269"/>
      <c r="MVW235" s="269"/>
      <c r="MVX235" s="269"/>
      <c r="MVY235" s="269"/>
      <c r="MVZ235" s="269"/>
      <c r="MWA235" s="269"/>
      <c r="MWB235" s="269"/>
      <c r="MWC235" s="269"/>
      <c r="MWD235" s="269"/>
      <c r="MWE235" s="269"/>
      <c r="MWF235" s="269"/>
      <c r="MWG235" s="269"/>
      <c r="MWH235" s="269"/>
      <c r="MWI235" s="269"/>
      <c r="MWJ235" s="269"/>
      <c r="MWK235" s="269"/>
      <c r="MWL235" s="269"/>
      <c r="MWM235" s="269"/>
      <c r="MWN235" s="269"/>
      <c r="MWO235" s="269"/>
      <c r="MWP235" s="269"/>
      <c r="MWQ235" s="269"/>
      <c r="MWR235" s="269"/>
      <c r="MWS235" s="269"/>
      <c r="MWT235" s="269"/>
      <c r="MWU235" s="269"/>
      <c r="MWV235" s="269"/>
      <c r="MWW235" s="269"/>
      <c r="MWX235" s="269"/>
      <c r="MWY235" s="269"/>
      <c r="MWZ235" s="269"/>
      <c r="MXA235" s="269"/>
      <c r="MXB235" s="269"/>
      <c r="MXC235" s="269"/>
      <c r="MXD235" s="269"/>
      <c r="MXE235" s="269"/>
      <c r="MXF235" s="269"/>
      <c r="MXG235" s="269"/>
      <c r="MXH235" s="269"/>
      <c r="MXI235" s="269"/>
      <c r="MXJ235" s="269"/>
      <c r="MXK235" s="269"/>
      <c r="MXL235" s="269"/>
      <c r="MXM235" s="269"/>
      <c r="MXN235" s="269"/>
      <c r="MXO235" s="269"/>
      <c r="MXP235" s="269"/>
      <c r="MXQ235" s="269"/>
      <c r="MXR235" s="269"/>
      <c r="MXS235" s="269"/>
      <c r="MXT235" s="269"/>
      <c r="MXU235" s="269"/>
      <c r="MXV235" s="269"/>
      <c r="MXW235" s="269"/>
      <c r="MXX235" s="269"/>
      <c r="MXY235" s="269"/>
      <c r="MXZ235" s="269"/>
      <c r="MYA235" s="269"/>
      <c r="MYB235" s="269"/>
      <c r="MYC235" s="269"/>
      <c r="MYD235" s="269"/>
      <c r="MYE235" s="269"/>
      <c r="MYF235" s="269"/>
      <c r="MYG235" s="269"/>
      <c r="MYH235" s="269"/>
      <c r="MYI235" s="269"/>
      <c r="MYJ235" s="269"/>
      <c r="MYK235" s="269"/>
      <c r="MYL235" s="269"/>
      <c r="MYM235" s="269"/>
      <c r="MYN235" s="269"/>
      <c r="MYO235" s="269"/>
      <c r="MYP235" s="269"/>
      <c r="MYQ235" s="269"/>
      <c r="MYR235" s="269"/>
      <c r="MYS235" s="269"/>
      <c r="MYT235" s="269"/>
      <c r="MYU235" s="269"/>
      <c r="MYV235" s="269"/>
      <c r="MYW235" s="269"/>
      <c r="MYX235" s="269"/>
      <c r="MYY235" s="269"/>
      <c r="MYZ235" s="269"/>
      <c r="MZA235" s="269"/>
      <c r="MZB235" s="269"/>
      <c r="MZC235" s="269"/>
      <c r="MZD235" s="269"/>
      <c r="MZE235" s="269"/>
      <c r="MZF235" s="269"/>
      <c r="MZG235" s="269"/>
      <c r="MZH235" s="269"/>
      <c r="MZI235" s="269"/>
      <c r="MZJ235" s="269"/>
      <c r="MZK235" s="269"/>
      <c r="MZL235" s="269"/>
      <c r="MZM235" s="269"/>
      <c r="MZN235" s="269"/>
      <c r="MZO235" s="269"/>
      <c r="MZP235" s="269"/>
      <c r="MZQ235" s="269"/>
      <c r="MZR235" s="269"/>
      <c r="MZS235" s="269"/>
      <c r="MZT235" s="269"/>
      <c r="MZU235" s="269"/>
      <c r="MZV235" s="269"/>
      <c r="MZW235" s="269"/>
      <c r="MZX235" s="269"/>
      <c r="MZY235" s="269"/>
      <c r="MZZ235" s="269"/>
      <c r="NAA235" s="269"/>
      <c r="NAB235" s="269"/>
      <c r="NAC235" s="269"/>
      <c r="NAD235" s="269"/>
      <c r="NAE235" s="269"/>
      <c r="NAF235" s="269"/>
      <c r="NAG235" s="269"/>
      <c r="NAH235" s="269"/>
      <c r="NAI235" s="269"/>
      <c r="NAJ235" s="269"/>
      <c r="NAK235" s="269"/>
      <c r="NAL235" s="269"/>
      <c r="NAM235" s="269"/>
      <c r="NAN235" s="269"/>
      <c r="NAO235" s="269"/>
      <c r="NAP235" s="269"/>
      <c r="NAQ235" s="269"/>
      <c r="NAR235" s="269"/>
      <c r="NAS235" s="269"/>
      <c r="NAT235" s="269"/>
      <c r="NAU235" s="269"/>
      <c r="NAV235" s="269"/>
      <c r="NAW235" s="269"/>
      <c r="NAX235" s="269"/>
      <c r="NAY235" s="269"/>
      <c r="NAZ235" s="269"/>
      <c r="NBA235" s="269"/>
      <c r="NBB235" s="269"/>
      <c r="NBC235" s="269"/>
      <c r="NBD235" s="269"/>
      <c r="NBE235" s="269"/>
      <c r="NBF235" s="269"/>
      <c r="NBG235" s="269"/>
      <c r="NBH235" s="269"/>
      <c r="NBI235" s="269"/>
      <c r="NBJ235" s="269"/>
      <c r="NBK235" s="269"/>
      <c r="NBL235" s="269"/>
      <c r="NBM235" s="269"/>
      <c r="NBN235" s="269"/>
      <c r="NBO235" s="269"/>
      <c r="NBP235" s="269"/>
      <c r="NBQ235" s="269"/>
      <c r="NBR235" s="269"/>
      <c r="NBS235" s="269"/>
      <c r="NBT235" s="269"/>
      <c r="NBU235" s="269"/>
      <c r="NBV235" s="269"/>
      <c r="NBW235" s="269"/>
      <c r="NBX235" s="269"/>
      <c r="NBY235" s="269"/>
      <c r="NBZ235" s="269"/>
      <c r="NCA235" s="269"/>
      <c r="NCB235" s="269"/>
      <c r="NCC235" s="269"/>
      <c r="NCD235" s="269"/>
      <c r="NCE235" s="269"/>
      <c r="NCF235" s="269"/>
      <c r="NCG235" s="269"/>
      <c r="NCH235" s="269"/>
      <c r="NCI235" s="269"/>
      <c r="NCJ235" s="269"/>
      <c r="NCK235" s="269"/>
      <c r="NCL235" s="269"/>
      <c r="NCM235" s="269"/>
      <c r="NCN235" s="269"/>
      <c r="NCO235" s="269"/>
      <c r="NCP235" s="269"/>
      <c r="NCQ235" s="269"/>
      <c r="NCR235" s="269"/>
      <c r="NCS235" s="269"/>
      <c r="NCT235" s="269"/>
      <c r="NCU235" s="269"/>
      <c r="NCV235" s="269"/>
      <c r="NCW235" s="269"/>
      <c r="NCX235" s="269"/>
      <c r="NCY235" s="269"/>
      <c r="NCZ235" s="269"/>
      <c r="NDA235" s="269"/>
      <c r="NDB235" s="269"/>
      <c r="NDC235" s="269"/>
      <c r="NDD235" s="269"/>
      <c r="NDE235" s="269"/>
      <c r="NDF235" s="269"/>
      <c r="NDG235" s="269"/>
      <c r="NDH235" s="269"/>
      <c r="NDI235" s="269"/>
      <c r="NDJ235" s="269"/>
      <c r="NDK235" s="269"/>
      <c r="NDL235" s="269"/>
      <c r="NDM235" s="269"/>
      <c r="NDN235" s="269"/>
      <c r="NDO235" s="269"/>
      <c r="NDP235" s="269"/>
      <c r="NDQ235" s="269"/>
      <c r="NDR235" s="269"/>
      <c r="NDS235" s="269"/>
      <c r="NDT235" s="269"/>
      <c r="NDU235" s="269"/>
      <c r="NDV235" s="269"/>
      <c r="NDW235" s="269"/>
      <c r="NDX235" s="269"/>
      <c r="NDY235" s="269"/>
      <c r="NDZ235" s="269"/>
      <c r="NEA235" s="269"/>
      <c r="NEB235" s="269"/>
      <c r="NEC235" s="269"/>
      <c r="NED235" s="269"/>
      <c r="NEE235" s="269"/>
      <c r="NEF235" s="269"/>
      <c r="NEG235" s="269"/>
      <c r="NEH235" s="269"/>
      <c r="NEI235" s="269"/>
      <c r="NEJ235" s="269"/>
      <c r="NEK235" s="269"/>
      <c r="NEL235" s="269"/>
      <c r="NEM235" s="269"/>
      <c r="NEN235" s="269"/>
      <c r="NEO235" s="269"/>
      <c r="NEP235" s="269"/>
      <c r="NEQ235" s="269"/>
      <c r="NER235" s="269"/>
      <c r="NES235" s="269"/>
      <c r="NET235" s="269"/>
      <c r="NEU235" s="269"/>
      <c r="NEV235" s="269"/>
      <c r="NEW235" s="269"/>
      <c r="NEX235" s="269"/>
      <c r="NEY235" s="269"/>
      <c r="NEZ235" s="269"/>
      <c r="NFA235" s="269"/>
      <c r="NFB235" s="269"/>
      <c r="NFC235" s="269"/>
      <c r="NFD235" s="269"/>
      <c r="NFE235" s="269"/>
      <c r="NFF235" s="269"/>
      <c r="NFG235" s="269"/>
      <c r="NFH235" s="269"/>
      <c r="NFI235" s="269"/>
      <c r="NFJ235" s="269"/>
      <c r="NFK235" s="269"/>
      <c r="NFL235" s="269"/>
      <c r="NFM235" s="269"/>
      <c r="NFN235" s="269"/>
      <c r="NFO235" s="269"/>
      <c r="NFP235" s="269"/>
      <c r="NFQ235" s="269"/>
      <c r="NFR235" s="269"/>
      <c r="NFS235" s="269"/>
      <c r="NFT235" s="269"/>
      <c r="NFU235" s="269"/>
      <c r="NFV235" s="269"/>
      <c r="NFW235" s="269"/>
      <c r="NFX235" s="269"/>
      <c r="NFY235" s="269"/>
      <c r="NFZ235" s="269"/>
      <c r="NGA235" s="269"/>
      <c r="NGB235" s="269"/>
      <c r="NGC235" s="269"/>
      <c r="NGD235" s="269"/>
      <c r="NGE235" s="269"/>
      <c r="NGF235" s="269"/>
      <c r="NGG235" s="269"/>
      <c r="NGH235" s="269"/>
      <c r="NGI235" s="269"/>
      <c r="NGJ235" s="269"/>
      <c r="NGK235" s="269"/>
      <c r="NGL235" s="269"/>
      <c r="NGM235" s="269"/>
      <c r="NGN235" s="269"/>
      <c r="NGO235" s="269"/>
      <c r="NGP235" s="269"/>
      <c r="NGQ235" s="269"/>
      <c r="NGR235" s="269"/>
      <c r="NGS235" s="269"/>
      <c r="NGT235" s="269"/>
      <c r="NGU235" s="269"/>
      <c r="NGV235" s="269"/>
      <c r="NGW235" s="269"/>
      <c r="NGX235" s="269"/>
      <c r="NGY235" s="269"/>
      <c r="NGZ235" s="269"/>
      <c r="NHA235" s="269"/>
      <c r="NHB235" s="269"/>
      <c r="NHC235" s="269"/>
      <c r="NHD235" s="269"/>
      <c r="NHE235" s="269"/>
      <c r="NHF235" s="269"/>
      <c r="NHG235" s="269"/>
      <c r="NHH235" s="269"/>
      <c r="NHI235" s="269"/>
      <c r="NHJ235" s="269"/>
      <c r="NHK235" s="269"/>
      <c r="NHL235" s="269"/>
      <c r="NHM235" s="269"/>
      <c r="NHN235" s="269"/>
      <c r="NHO235" s="269"/>
      <c r="NHP235" s="269"/>
      <c r="NHQ235" s="269"/>
      <c r="NHR235" s="269"/>
      <c r="NHS235" s="269"/>
      <c r="NHT235" s="269"/>
      <c r="NHU235" s="269"/>
      <c r="NHV235" s="269"/>
      <c r="NHW235" s="269"/>
      <c r="NHX235" s="269"/>
      <c r="NHY235" s="269"/>
      <c r="NHZ235" s="269"/>
      <c r="NIA235" s="269"/>
      <c r="NIB235" s="269"/>
      <c r="NIC235" s="269"/>
      <c r="NID235" s="269"/>
      <c r="NIE235" s="269"/>
      <c r="NIF235" s="269"/>
      <c r="NIG235" s="269"/>
      <c r="NIH235" s="269"/>
      <c r="NII235" s="269"/>
      <c r="NIJ235" s="269"/>
      <c r="NIK235" s="269"/>
      <c r="NIL235" s="269"/>
      <c r="NIM235" s="269"/>
      <c r="NIN235" s="269"/>
      <c r="NIO235" s="269"/>
      <c r="NIP235" s="269"/>
      <c r="NIQ235" s="269"/>
      <c r="NIR235" s="269"/>
      <c r="NIS235" s="269"/>
      <c r="NIT235" s="269"/>
      <c r="NIU235" s="269"/>
      <c r="NIV235" s="269"/>
      <c r="NIW235" s="269"/>
      <c r="NIX235" s="269"/>
      <c r="NIY235" s="269"/>
      <c r="NIZ235" s="269"/>
      <c r="NJA235" s="269"/>
      <c r="NJB235" s="269"/>
      <c r="NJC235" s="269"/>
      <c r="NJD235" s="269"/>
      <c r="NJE235" s="269"/>
      <c r="NJF235" s="269"/>
      <c r="NJG235" s="269"/>
      <c r="NJH235" s="269"/>
      <c r="NJI235" s="269"/>
      <c r="NJJ235" s="269"/>
      <c r="NJK235" s="269"/>
      <c r="NJL235" s="269"/>
      <c r="NJM235" s="269"/>
      <c r="NJN235" s="269"/>
      <c r="NJO235" s="269"/>
      <c r="NJP235" s="269"/>
      <c r="NJQ235" s="269"/>
      <c r="NJR235" s="269"/>
      <c r="NJS235" s="269"/>
      <c r="NJT235" s="269"/>
      <c r="NJU235" s="269"/>
      <c r="NJV235" s="269"/>
      <c r="NJW235" s="269"/>
      <c r="NJX235" s="269"/>
      <c r="NJY235" s="269"/>
      <c r="NJZ235" s="269"/>
      <c r="NKA235" s="269"/>
      <c r="NKB235" s="269"/>
      <c r="NKC235" s="269"/>
      <c r="NKD235" s="269"/>
      <c r="NKE235" s="269"/>
      <c r="NKF235" s="269"/>
      <c r="NKG235" s="269"/>
      <c r="NKH235" s="269"/>
      <c r="NKI235" s="269"/>
      <c r="NKJ235" s="269"/>
      <c r="NKK235" s="269"/>
      <c r="NKL235" s="269"/>
      <c r="NKM235" s="269"/>
      <c r="NKN235" s="269"/>
      <c r="NKO235" s="269"/>
      <c r="NKP235" s="269"/>
      <c r="NKQ235" s="269"/>
      <c r="NKR235" s="269"/>
      <c r="NKS235" s="269"/>
      <c r="NKT235" s="269"/>
      <c r="NKU235" s="269"/>
      <c r="NKV235" s="269"/>
      <c r="NKW235" s="269"/>
      <c r="NKX235" s="269"/>
      <c r="NKY235" s="269"/>
      <c r="NKZ235" s="269"/>
      <c r="NLA235" s="269"/>
      <c r="NLB235" s="269"/>
      <c r="NLC235" s="269"/>
      <c r="NLD235" s="269"/>
      <c r="NLE235" s="269"/>
      <c r="NLF235" s="269"/>
      <c r="NLG235" s="269"/>
      <c r="NLH235" s="269"/>
      <c r="NLI235" s="269"/>
      <c r="NLJ235" s="269"/>
      <c r="NLK235" s="269"/>
      <c r="NLL235" s="269"/>
      <c r="NLM235" s="269"/>
      <c r="NLN235" s="269"/>
      <c r="NLO235" s="269"/>
      <c r="NLP235" s="269"/>
      <c r="NLQ235" s="269"/>
      <c r="NLR235" s="269"/>
      <c r="NLS235" s="269"/>
      <c r="NLT235" s="269"/>
      <c r="NLU235" s="269"/>
      <c r="NLV235" s="269"/>
      <c r="NLW235" s="269"/>
      <c r="NLX235" s="269"/>
      <c r="NLY235" s="269"/>
      <c r="NLZ235" s="269"/>
      <c r="NMA235" s="269"/>
      <c r="NMB235" s="269"/>
      <c r="NMC235" s="269"/>
      <c r="NMD235" s="269"/>
      <c r="NME235" s="269"/>
      <c r="NMF235" s="269"/>
      <c r="NMG235" s="269"/>
      <c r="NMH235" s="269"/>
      <c r="NMI235" s="269"/>
      <c r="NMJ235" s="269"/>
      <c r="NMK235" s="269"/>
      <c r="NML235" s="269"/>
      <c r="NMM235" s="269"/>
      <c r="NMN235" s="269"/>
      <c r="NMO235" s="269"/>
      <c r="NMP235" s="269"/>
      <c r="NMQ235" s="269"/>
      <c r="NMR235" s="269"/>
      <c r="NMS235" s="269"/>
      <c r="NMT235" s="269"/>
      <c r="NMU235" s="269"/>
      <c r="NMV235" s="269"/>
      <c r="NMW235" s="269"/>
      <c r="NMX235" s="269"/>
      <c r="NMY235" s="269"/>
      <c r="NMZ235" s="269"/>
      <c r="NNA235" s="269"/>
      <c r="NNB235" s="269"/>
      <c r="NNC235" s="269"/>
      <c r="NND235" s="269"/>
      <c r="NNE235" s="269"/>
      <c r="NNF235" s="269"/>
      <c r="NNG235" s="269"/>
      <c r="NNH235" s="269"/>
      <c r="NNI235" s="269"/>
      <c r="NNJ235" s="269"/>
      <c r="NNK235" s="269"/>
      <c r="NNL235" s="269"/>
      <c r="NNM235" s="269"/>
      <c r="NNN235" s="269"/>
      <c r="NNO235" s="269"/>
      <c r="NNP235" s="269"/>
      <c r="NNQ235" s="269"/>
      <c r="NNR235" s="269"/>
      <c r="NNS235" s="269"/>
      <c r="NNT235" s="269"/>
      <c r="NNU235" s="269"/>
      <c r="NNV235" s="269"/>
      <c r="NNW235" s="269"/>
      <c r="NNX235" s="269"/>
      <c r="NNY235" s="269"/>
      <c r="NNZ235" s="269"/>
      <c r="NOA235" s="269"/>
      <c r="NOB235" s="269"/>
      <c r="NOC235" s="269"/>
      <c r="NOD235" s="269"/>
      <c r="NOE235" s="269"/>
      <c r="NOF235" s="269"/>
      <c r="NOG235" s="269"/>
      <c r="NOH235" s="269"/>
      <c r="NOI235" s="269"/>
      <c r="NOJ235" s="269"/>
      <c r="NOK235" s="269"/>
      <c r="NOL235" s="269"/>
      <c r="NOM235" s="269"/>
      <c r="NON235" s="269"/>
      <c r="NOO235" s="269"/>
      <c r="NOP235" s="269"/>
      <c r="NOQ235" s="269"/>
      <c r="NOR235" s="269"/>
      <c r="NOS235" s="269"/>
      <c r="NOT235" s="269"/>
      <c r="NOU235" s="269"/>
      <c r="NOV235" s="269"/>
      <c r="NOW235" s="269"/>
      <c r="NOX235" s="269"/>
      <c r="NOY235" s="269"/>
      <c r="NOZ235" s="269"/>
      <c r="NPA235" s="269"/>
      <c r="NPB235" s="269"/>
      <c r="NPC235" s="269"/>
      <c r="NPD235" s="269"/>
      <c r="NPE235" s="269"/>
      <c r="NPF235" s="269"/>
      <c r="NPG235" s="269"/>
      <c r="NPH235" s="269"/>
      <c r="NPI235" s="269"/>
      <c r="NPJ235" s="269"/>
      <c r="NPK235" s="269"/>
      <c r="NPL235" s="269"/>
      <c r="NPM235" s="269"/>
      <c r="NPN235" s="269"/>
      <c r="NPO235" s="269"/>
      <c r="NPP235" s="269"/>
      <c r="NPQ235" s="269"/>
      <c r="NPR235" s="269"/>
      <c r="NPS235" s="269"/>
      <c r="NPT235" s="269"/>
      <c r="NPU235" s="269"/>
      <c r="NPV235" s="269"/>
      <c r="NPW235" s="269"/>
      <c r="NPX235" s="269"/>
      <c r="NPY235" s="269"/>
      <c r="NPZ235" s="269"/>
      <c r="NQA235" s="269"/>
      <c r="NQB235" s="269"/>
      <c r="NQC235" s="269"/>
      <c r="NQD235" s="269"/>
      <c r="NQE235" s="269"/>
      <c r="NQF235" s="269"/>
      <c r="NQG235" s="269"/>
      <c r="NQH235" s="269"/>
      <c r="NQI235" s="269"/>
      <c r="NQJ235" s="269"/>
      <c r="NQK235" s="269"/>
      <c r="NQL235" s="269"/>
      <c r="NQM235" s="269"/>
      <c r="NQN235" s="269"/>
      <c r="NQO235" s="269"/>
      <c r="NQP235" s="269"/>
      <c r="NQQ235" s="269"/>
      <c r="NQR235" s="269"/>
      <c r="NQS235" s="269"/>
      <c r="NQT235" s="269"/>
      <c r="NQU235" s="269"/>
      <c r="NQV235" s="269"/>
      <c r="NQW235" s="269"/>
      <c r="NQX235" s="269"/>
      <c r="NQY235" s="269"/>
      <c r="NQZ235" s="269"/>
      <c r="NRA235" s="269"/>
      <c r="NRB235" s="269"/>
      <c r="NRC235" s="269"/>
      <c r="NRD235" s="269"/>
      <c r="NRE235" s="269"/>
      <c r="NRF235" s="269"/>
      <c r="NRG235" s="269"/>
      <c r="NRH235" s="269"/>
      <c r="NRI235" s="269"/>
      <c r="NRJ235" s="269"/>
      <c r="NRK235" s="269"/>
      <c r="NRL235" s="269"/>
      <c r="NRM235" s="269"/>
      <c r="NRN235" s="269"/>
      <c r="NRO235" s="269"/>
      <c r="NRP235" s="269"/>
      <c r="NRQ235" s="269"/>
      <c r="NRR235" s="269"/>
      <c r="NRS235" s="269"/>
      <c r="NRT235" s="269"/>
      <c r="NRU235" s="269"/>
      <c r="NRV235" s="269"/>
      <c r="NRW235" s="269"/>
      <c r="NRX235" s="269"/>
      <c r="NRY235" s="269"/>
      <c r="NRZ235" s="269"/>
      <c r="NSA235" s="269"/>
      <c r="NSB235" s="269"/>
      <c r="NSC235" s="269"/>
      <c r="NSD235" s="269"/>
      <c r="NSE235" s="269"/>
      <c r="NSF235" s="269"/>
      <c r="NSG235" s="269"/>
      <c r="NSH235" s="269"/>
      <c r="NSI235" s="269"/>
      <c r="NSJ235" s="269"/>
      <c r="NSK235" s="269"/>
      <c r="NSL235" s="269"/>
      <c r="NSM235" s="269"/>
      <c r="NSN235" s="269"/>
      <c r="NSO235" s="269"/>
      <c r="NSP235" s="269"/>
      <c r="NSQ235" s="269"/>
      <c r="NSR235" s="269"/>
      <c r="NSS235" s="269"/>
      <c r="NST235" s="269"/>
      <c r="NSU235" s="269"/>
      <c r="NSV235" s="269"/>
      <c r="NSW235" s="269"/>
      <c r="NSX235" s="269"/>
      <c r="NSY235" s="269"/>
      <c r="NSZ235" s="269"/>
      <c r="NTA235" s="269"/>
      <c r="NTB235" s="269"/>
      <c r="NTC235" s="269"/>
      <c r="NTD235" s="269"/>
      <c r="NTE235" s="269"/>
      <c r="NTF235" s="269"/>
      <c r="NTG235" s="269"/>
      <c r="NTH235" s="269"/>
      <c r="NTI235" s="269"/>
      <c r="NTJ235" s="269"/>
      <c r="NTK235" s="269"/>
      <c r="NTL235" s="269"/>
      <c r="NTM235" s="269"/>
      <c r="NTN235" s="269"/>
      <c r="NTO235" s="269"/>
      <c r="NTP235" s="269"/>
      <c r="NTQ235" s="269"/>
      <c r="NTR235" s="269"/>
      <c r="NTS235" s="269"/>
      <c r="NTT235" s="269"/>
      <c r="NTU235" s="269"/>
      <c r="NTV235" s="269"/>
      <c r="NTW235" s="269"/>
      <c r="NTX235" s="269"/>
      <c r="NTY235" s="269"/>
      <c r="NTZ235" s="269"/>
      <c r="NUA235" s="269"/>
      <c r="NUB235" s="269"/>
      <c r="NUC235" s="269"/>
      <c r="NUD235" s="269"/>
      <c r="NUE235" s="269"/>
      <c r="NUF235" s="269"/>
      <c r="NUG235" s="269"/>
      <c r="NUH235" s="269"/>
      <c r="NUI235" s="269"/>
      <c r="NUJ235" s="269"/>
      <c r="NUK235" s="269"/>
      <c r="NUL235" s="269"/>
      <c r="NUM235" s="269"/>
      <c r="NUN235" s="269"/>
      <c r="NUO235" s="269"/>
      <c r="NUP235" s="269"/>
      <c r="NUQ235" s="269"/>
      <c r="NUR235" s="269"/>
      <c r="NUS235" s="269"/>
      <c r="NUT235" s="269"/>
      <c r="NUU235" s="269"/>
      <c r="NUV235" s="269"/>
      <c r="NUW235" s="269"/>
      <c r="NUX235" s="269"/>
      <c r="NUY235" s="269"/>
      <c r="NUZ235" s="269"/>
      <c r="NVA235" s="269"/>
      <c r="NVB235" s="269"/>
      <c r="NVC235" s="269"/>
      <c r="NVD235" s="269"/>
      <c r="NVE235" s="269"/>
      <c r="NVF235" s="269"/>
      <c r="NVG235" s="269"/>
      <c r="NVH235" s="269"/>
      <c r="NVI235" s="269"/>
      <c r="NVJ235" s="269"/>
      <c r="NVK235" s="269"/>
      <c r="NVL235" s="269"/>
      <c r="NVM235" s="269"/>
      <c r="NVN235" s="269"/>
      <c r="NVO235" s="269"/>
      <c r="NVP235" s="269"/>
      <c r="NVQ235" s="269"/>
      <c r="NVR235" s="269"/>
      <c r="NVS235" s="269"/>
      <c r="NVT235" s="269"/>
      <c r="NVU235" s="269"/>
      <c r="NVV235" s="269"/>
      <c r="NVW235" s="269"/>
      <c r="NVX235" s="269"/>
      <c r="NVY235" s="269"/>
      <c r="NVZ235" s="269"/>
      <c r="NWA235" s="269"/>
      <c r="NWB235" s="269"/>
      <c r="NWC235" s="269"/>
      <c r="NWD235" s="269"/>
      <c r="NWE235" s="269"/>
      <c r="NWF235" s="269"/>
      <c r="NWG235" s="269"/>
      <c r="NWH235" s="269"/>
      <c r="NWI235" s="269"/>
      <c r="NWJ235" s="269"/>
      <c r="NWK235" s="269"/>
      <c r="NWL235" s="269"/>
      <c r="NWM235" s="269"/>
      <c r="NWN235" s="269"/>
      <c r="NWO235" s="269"/>
      <c r="NWP235" s="269"/>
      <c r="NWQ235" s="269"/>
      <c r="NWR235" s="269"/>
      <c r="NWS235" s="269"/>
      <c r="NWT235" s="269"/>
      <c r="NWU235" s="269"/>
      <c r="NWV235" s="269"/>
      <c r="NWW235" s="269"/>
      <c r="NWX235" s="269"/>
      <c r="NWY235" s="269"/>
      <c r="NWZ235" s="269"/>
      <c r="NXA235" s="269"/>
      <c r="NXB235" s="269"/>
      <c r="NXC235" s="269"/>
      <c r="NXD235" s="269"/>
      <c r="NXE235" s="269"/>
      <c r="NXF235" s="269"/>
      <c r="NXG235" s="269"/>
      <c r="NXH235" s="269"/>
      <c r="NXI235" s="269"/>
      <c r="NXJ235" s="269"/>
      <c r="NXK235" s="269"/>
      <c r="NXL235" s="269"/>
      <c r="NXM235" s="269"/>
      <c r="NXN235" s="269"/>
      <c r="NXO235" s="269"/>
      <c r="NXP235" s="269"/>
      <c r="NXQ235" s="269"/>
      <c r="NXR235" s="269"/>
      <c r="NXS235" s="269"/>
      <c r="NXT235" s="269"/>
      <c r="NXU235" s="269"/>
      <c r="NXV235" s="269"/>
      <c r="NXW235" s="269"/>
      <c r="NXX235" s="269"/>
      <c r="NXY235" s="269"/>
      <c r="NXZ235" s="269"/>
      <c r="NYA235" s="269"/>
      <c r="NYB235" s="269"/>
      <c r="NYC235" s="269"/>
      <c r="NYD235" s="269"/>
      <c r="NYE235" s="269"/>
      <c r="NYF235" s="269"/>
      <c r="NYG235" s="269"/>
      <c r="NYH235" s="269"/>
      <c r="NYI235" s="269"/>
      <c r="NYJ235" s="269"/>
      <c r="NYK235" s="269"/>
      <c r="NYL235" s="269"/>
      <c r="NYM235" s="269"/>
      <c r="NYN235" s="269"/>
      <c r="NYO235" s="269"/>
      <c r="NYP235" s="269"/>
      <c r="NYQ235" s="269"/>
      <c r="NYR235" s="269"/>
      <c r="NYS235" s="269"/>
      <c r="NYT235" s="269"/>
      <c r="NYU235" s="269"/>
      <c r="NYV235" s="269"/>
      <c r="NYW235" s="269"/>
      <c r="NYX235" s="269"/>
      <c r="NYY235" s="269"/>
      <c r="NYZ235" s="269"/>
      <c r="NZA235" s="269"/>
      <c r="NZB235" s="269"/>
      <c r="NZC235" s="269"/>
      <c r="NZD235" s="269"/>
      <c r="NZE235" s="269"/>
      <c r="NZF235" s="269"/>
      <c r="NZG235" s="269"/>
      <c r="NZH235" s="269"/>
      <c r="NZI235" s="269"/>
      <c r="NZJ235" s="269"/>
      <c r="NZK235" s="269"/>
      <c r="NZL235" s="269"/>
      <c r="NZM235" s="269"/>
      <c r="NZN235" s="269"/>
      <c r="NZO235" s="269"/>
      <c r="NZP235" s="269"/>
      <c r="NZQ235" s="269"/>
      <c r="NZR235" s="269"/>
      <c r="NZS235" s="269"/>
      <c r="NZT235" s="269"/>
      <c r="NZU235" s="269"/>
      <c r="NZV235" s="269"/>
      <c r="NZW235" s="269"/>
      <c r="NZX235" s="269"/>
      <c r="NZY235" s="269"/>
      <c r="NZZ235" s="269"/>
      <c r="OAA235" s="269"/>
      <c r="OAB235" s="269"/>
      <c r="OAC235" s="269"/>
      <c r="OAD235" s="269"/>
      <c r="OAE235" s="269"/>
      <c r="OAF235" s="269"/>
      <c r="OAG235" s="269"/>
      <c r="OAH235" s="269"/>
      <c r="OAI235" s="269"/>
      <c r="OAJ235" s="269"/>
      <c r="OAK235" s="269"/>
      <c r="OAL235" s="269"/>
      <c r="OAM235" s="269"/>
      <c r="OAN235" s="269"/>
      <c r="OAO235" s="269"/>
      <c r="OAP235" s="269"/>
      <c r="OAQ235" s="269"/>
      <c r="OAR235" s="269"/>
      <c r="OAS235" s="269"/>
      <c r="OAT235" s="269"/>
      <c r="OAU235" s="269"/>
      <c r="OAV235" s="269"/>
      <c r="OAW235" s="269"/>
      <c r="OAX235" s="269"/>
      <c r="OAY235" s="269"/>
      <c r="OAZ235" s="269"/>
      <c r="OBA235" s="269"/>
      <c r="OBB235" s="269"/>
      <c r="OBC235" s="269"/>
      <c r="OBD235" s="269"/>
      <c r="OBE235" s="269"/>
      <c r="OBF235" s="269"/>
      <c r="OBG235" s="269"/>
      <c r="OBH235" s="269"/>
      <c r="OBI235" s="269"/>
      <c r="OBJ235" s="269"/>
      <c r="OBK235" s="269"/>
      <c r="OBL235" s="269"/>
      <c r="OBM235" s="269"/>
      <c r="OBN235" s="269"/>
      <c r="OBO235" s="269"/>
      <c r="OBP235" s="269"/>
      <c r="OBQ235" s="269"/>
      <c r="OBR235" s="269"/>
      <c r="OBS235" s="269"/>
      <c r="OBT235" s="269"/>
      <c r="OBU235" s="269"/>
      <c r="OBV235" s="269"/>
      <c r="OBW235" s="269"/>
      <c r="OBX235" s="269"/>
      <c r="OBY235" s="269"/>
      <c r="OBZ235" s="269"/>
      <c r="OCA235" s="269"/>
      <c r="OCB235" s="269"/>
      <c r="OCC235" s="269"/>
      <c r="OCD235" s="269"/>
      <c r="OCE235" s="269"/>
      <c r="OCF235" s="269"/>
      <c r="OCG235" s="269"/>
      <c r="OCH235" s="269"/>
      <c r="OCI235" s="269"/>
      <c r="OCJ235" s="269"/>
      <c r="OCK235" s="269"/>
      <c r="OCL235" s="269"/>
      <c r="OCM235" s="269"/>
      <c r="OCN235" s="269"/>
      <c r="OCO235" s="269"/>
      <c r="OCP235" s="269"/>
      <c r="OCQ235" s="269"/>
      <c r="OCR235" s="269"/>
      <c r="OCS235" s="269"/>
      <c r="OCT235" s="269"/>
      <c r="OCU235" s="269"/>
      <c r="OCV235" s="269"/>
      <c r="OCW235" s="269"/>
      <c r="OCX235" s="269"/>
      <c r="OCY235" s="269"/>
      <c r="OCZ235" s="269"/>
      <c r="ODA235" s="269"/>
      <c r="ODB235" s="269"/>
      <c r="ODC235" s="269"/>
      <c r="ODD235" s="269"/>
      <c r="ODE235" s="269"/>
      <c r="ODF235" s="269"/>
      <c r="ODG235" s="269"/>
      <c r="ODH235" s="269"/>
      <c r="ODI235" s="269"/>
      <c r="ODJ235" s="269"/>
      <c r="ODK235" s="269"/>
      <c r="ODL235" s="269"/>
      <c r="ODM235" s="269"/>
      <c r="ODN235" s="269"/>
      <c r="ODO235" s="269"/>
      <c r="ODP235" s="269"/>
      <c r="ODQ235" s="269"/>
      <c r="ODR235" s="269"/>
      <c r="ODS235" s="269"/>
      <c r="ODT235" s="269"/>
      <c r="ODU235" s="269"/>
      <c r="ODV235" s="269"/>
      <c r="ODW235" s="269"/>
      <c r="ODX235" s="269"/>
      <c r="ODY235" s="269"/>
      <c r="ODZ235" s="269"/>
      <c r="OEA235" s="269"/>
      <c r="OEB235" s="269"/>
      <c r="OEC235" s="269"/>
      <c r="OED235" s="269"/>
      <c r="OEE235" s="269"/>
      <c r="OEF235" s="269"/>
      <c r="OEG235" s="269"/>
      <c r="OEH235" s="269"/>
      <c r="OEI235" s="269"/>
      <c r="OEJ235" s="269"/>
      <c r="OEK235" s="269"/>
      <c r="OEL235" s="269"/>
      <c r="OEM235" s="269"/>
      <c r="OEN235" s="269"/>
      <c r="OEO235" s="269"/>
      <c r="OEP235" s="269"/>
      <c r="OEQ235" s="269"/>
      <c r="OER235" s="269"/>
      <c r="OES235" s="269"/>
      <c r="OET235" s="269"/>
      <c r="OEU235" s="269"/>
      <c r="OEV235" s="269"/>
      <c r="OEW235" s="269"/>
      <c r="OEX235" s="269"/>
      <c r="OEY235" s="269"/>
      <c r="OEZ235" s="269"/>
      <c r="OFA235" s="269"/>
      <c r="OFB235" s="269"/>
      <c r="OFC235" s="269"/>
      <c r="OFD235" s="269"/>
      <c r="OFE235" s="269"/>
      <c r="OFF235" s="269"/>
      <c r="OFG235" s="269"/>
      <c r="OFH235" s="269"/>
      <c r="OFI235" s="269"/>
      <c r="OFJ235" s="269"/>
      <c r="OFK235" s="269"/>
      <c r="OFL235" s="269"/>
      <c r="OFM235" s="269"/>
      <c r="OFN235" s="269"/>
      <c r="OFO235" s="269"/>
      <c r="OFP235" s="269"/>
      <c r="OFQ235" s="269"/>
      <c r="OFR235" s="269"/>
      <c r="OFS235" s="269"/>
      <c r="OFT235" s="269"/>
      <c r="OFU235" s="269"/>
      <c r="OFV235" s="269"/>
      <c r="OFW235" s="269"/>
      <c r="OFX235" s="269"/>
      <c r="OFY235" s="269"/>
      <c r="OFZ235" s="269"/>
      <c r="OGA235" s="269"/>
      <c r="OGB235" s="269"/>
      <c r="OGC235" s="269"/>
      <c r="OGD235" s="269"/>
      <c r="OGE235" s="269"/>
      <c r="OGF235" s="269"/>
      <c r="OGG235" s="269"/>
      <c r="OGH235" s="269"/>
      <c r="OGI235" s="269"/>
      <c r="OGJ235" s="269"/>
      <c r="OGK235" s="269"/>
      <c r="OGL235" s="269"/>
      <c r="OGM235" s="269"/>
      <c r="OGN235" s="269"/>
      <c r="OGO235" s="269"/>
      <c r="OGP235" s="269"/>
      <c r="OGQ235" s="269"/>
      <c r="OGR235" s="269"/>
      <c r="OGS235" s="269"/>
      <c r="OGT235" s="269"/>
      <c r="OGU235" s="269"/>
      <c r="OGV235" s="269"/>
      <c r="OGW235" s="269"/>
      <c r="OGX235" s="269"/>
      <c r="OGY235" s="269"/>
      <c r="OGZ235" s="269"/>
      <c r="OHA235" s="269"/>
      <c r="OHB235" s="269"/>
      <c r="OHC235" s="269"/>
      <c r="OHD235" s="269"/>
      <c r="OHE235" s="269"/>
      <c r="OHF235" s="269"/>
      <c r="OHG235" s="269"/>
      <c r="OHH235" s="269"/>
      <c r="OHI235" s="269"/>
      <c r="OHJ235" s="269"/>
      <c r="OHK235" s="269"/>
      <c r="OHL235" s="269"/>
      <c r="OHM235" s="269"/>
      <c r="OHN235" s="269"/>
      <c r="OHO235" s="269"/>
      <c r="OHP235" s="269"/>
      <c r="OHQ235" s="269"/>
      <c r="OHR235" s="269"/>
      <c r="OHS235" s="269"/>
      <c r="OHT235" s="269"/>
      <c r="OHU235" s="269"/>
      <c r="OHV235" s="269"/>
      <c r="OHW235" s="269"/>
      <c r="OHX235" s="269"/>
      <c r="OHY235" s="269"/>
      <c r="OHZ235" s="269"/>
      <c r="OIA235" s="269"/>
      <c r="OIB235" s="269"/>
      <c r="OIC235" s="269"/>
      <c r="OID235" s="269"/>
      <c r="OIE235" s="269"/>
      <c r="OIF235" s="269"/>
      <c r="OIG235" s="269"/>
      <c r="OIH235" s="269"/>
      <c r="OII235" s="269"/>
      <c r="OIJ235" s="269"/>
      <c r="OIK235" s="269"/>
      <c r="OIL235" s="269"/>
      <c r="OIM235" s="269"/>
      <c r="OIN235" s="269"/>
      <c r="OIO235" s="269"/>
      <c r="OIP235" s="269"/>
      <c r="OIQ235" s="269"/>
      <c r="OIR235" s="269"/>
      <c r="OIS235" s="269"/>
      <c r="OIT235" s="269"/>
      <c r="OIU235" s="269"/>
      <c r="OIV235" s="269"/>
      <c r="OIW235" s="269"/>
      <c r="OIX235" s="269"/>
      <c r="OIY235" s="269"/>
      <c r="OIZ235" s="269"/>
      <c r="OJA235" s="269"/>
      <c r="OJB235" s="269"/>
      <c r="OJC235" s="269"/>
      <c r="OJD235" s="269"/>
      <c r="OJE235" s="269"/>
      <c r="OJF235" s="269"/>
      <c r="OJG235" s="269"/>
      <c r="OJH235" s="269"/>
      <c r="OJI235" s="269"/>
      <c r="OJJ235" s="269"/>
      <c r="OJK235" s="269"/>
      <c r="OJL235" s="269"/>
      <c r="OJM235" s="269"/>
      <c r="OJN235" s="269"/>
      <c r="OJO235" s="269"/>
      <c r="OJP235" s="269"/>
      <c r="OJQ235" s="269"/>
      <c r="OJR235" s="269"/>
      <c r="OJS235" s="269"/>
      <c r="OJT235" s="269"/>
      <c r="OJU235" s="269"/>
      <c r="OJV235" s="269"/>
      <c r="OJW235" s="269"/>
      <c r="OJX235" s="269"/>
      <c r="OJY235" s="269"/>
      <c r="OJZ235" s="269"/>
      <c r="OKA235" s="269"/>
      <c r="OKB235" s="269"/>
      <c r="OKC235" s="269"/>
      <c r="OKD235" s="269"/>
      <c r="OKE235" s="269"/>
      <c r="OKF235" s="269"/>
      <c r="OKG235" s="269"/>
      <c r="OKH235" s="269"/>
      <c r="OKI235" s="269"/>
      <c r="OKJ235" s="269"/>
      <c r="OKK235" s="269"/>
      <c r="OKL235" s="269"/>
      <c r="OKM235" s="269"/>
      <c r="OKN235" s="269"/>
      <c r="OKO235" s="269"/>
      <c r="OKP235" s="269"/>
      <c r="OKQ235" s="269"/>
      <c r="OKR235" s="269"/>
      <c r="OKS235" s="269"/>
      <c r="OKT235" s="269"/>
      <c r="OKU235" s="269"/>
      <c r="OKV235" s="269"/>
      <c r="OKW235" s="269"/>
      <c r="OKX235" s="269"/>
      <c r="OKY235" s="269"/>
      <c r="OKZ235" s="269"/>
      <c r="OLA235" s="269"/>
      <c r="OLB235" s="269"/>
      <c r="OLC235" s="269"/>
      <c r="OLD235" s="269"/>
      <c r="OLE235" s="269"/>
      <c r="OLF235" s="269"/>
      <c r="OLG235" s="269"/>
      <c r="OLH235" s="269"/>
      <c r="OLI235" s="269"/>
      <c r="OLJ235" s="269"/>
      <c r="OLK235" s="269"/>
      <c r="OLL235" s="269"/>
      <c r="OLM235" s="269"/>
      <c r="OLN235" s="269"/>
      <c r="OLO235" s="269"/>
      <c r="OLP235" s="269"/>
      <c r="OLQ235" s="269"/>
      <c r="OLR235" s="269"/>
      <c r="OLS235" s="269"/>
      <c r="OLT235" s="269"/>
      <c r="OLU235" s="269"/>
      <c r="OLV235" s="269"/>
      <c r="OLW235" s="269"/>
      <c r="OLX235" s="269"/>
      <c r="OLY235" s="269"/>
      <c r="OLZ235" s="269"/>
      <c r="OMA235" s="269"/>
      <c r="OMB235" s="269"/>
      <c r="OMC235" s="269"/>
      <c r="OMD235" s="269"/>
      <c r="OME235" s="269"/>
      <c r="OMF235" s="269"/>
      <c r="OMG235" s="269"/>
      <c r="OMH235" s="269"/>
      <c r="OMI235" s="269"/>
      <c r="OMJ235" s="269"/>
      <c r="OMK235" s="269"/>
      <c r="OML235" s="269"/>
      <c r="OMM235" s="269"/>
      <c r="OMN235" s="269"/>
      <c r="OMO235" s="269"/>
      <c r="OMP235" s="269"/>
      <c r="OMQ235" s="269"/>
      <c r="OMR235" s="269"/>
      <c r="OMS235" s="269"/>
      <c r="OMT235" s="269"/>
      <c r="OMU235" s="269"/>
      <c r="OMV235" s="269"/>
      <c r="OMW235" s="269"/>
      <c r="OMX235" s="269"/>
      <c r="OMY235" s="269"/>
      <c r="OMZ235" s="269"/>
      <c r="ONA235" s="269"/>
      <c r="ONB235" s="269"/>
      <c r="ONC235" s="269"/>
      <c r="OND235" s="269"/>
      <c r="ONE235" s="269"/>
      <c r="ONF235" s="269"/>
      <c r="ONG235" s="269"/>
      <c r="ONH235" s="269"/>
      <c r="ONI235" s="269"/>
      <c r="ONJ235" s="269"/>
      <c r="ONK235" s="269"/>
      <c r="ONL235" s="269"/>
      <c r="ONM235" s="269"/>
      <c r="ONN235" s="269"/>
      <c r="ONO235" s="269"/>
      <c r="ONP235" s="269"/>
      <c r="ONQ235" s="269"/>
      <c r="ONR235" s="269"/>
      <c r="ONS235" s="269"/>
      <c r="ONT235" s="269"/>
      <c r="ONU235" s="269"/>
      <c r="ONV235" s="269"/>
      <c r="ONW235" s="269"/>
      <c r="ONX235" s="269"/>
      <c r="ONY235" s="269"/>
      <c r="ONZ235" s="269"/>
      <c r="OOA235" s="269"/>
      <c r="OOB235" s="269"/>
      <c r="OOC235" s="269"/>
      <c r="OOD235" s="269"/>
      <c r="OOE235" s="269"/>
      <c r="OOF235" s="269"/>
      <c r="OOG235" s="269"/>
      <c r="OOH235" s="269"/>
      <c r="OOI235" s="269"/>
      <c r="OOJ235" s="269"/>
      <c r="OOK235" s="269"/>
      <c r="OOL235" s="269"/>
      <c r="OOM235" s="269"/>
      <c r="OON235" s="269"/>
      <c r="OOO235" s="269"/>
      <c r="OOP235" s="269"/>
      <c r="OOQ235" s="269"/>
      <c r="OOR235" s="269"/>
      <c r="OOS235" s="269"/>
      <c r="OOT235" s="269"/>
      <c r="OOU235" s="269"/>
      <c r="OOV235" s="269"/>
      <c r="OOW235" s="269"/>
      <c r="OOX235" s="269"/>
      <c r="OOY235" s="269"/>
      <c r="OOZ235" s="269"/>
      <c r="OPA235" s="269"/>
      <c r="OPB235" s="269"/>
      <c r="OPC235" s="269"/>
      <c r="OPD235" s="269"/>
      <c r="OPE235" s="269"/>
      <c r="OPF235" s="269"/>
      <c r="OPG235" s="269"/>
      <c r="OPH235" s="269"/>
      <c r="OPI235" s="269"/>
      <c r="OPJ235" s="269"/>
      <c r="OPK235" s="269"/>
      <c r="OPL235" s="269"/>
      <c r="OPM235" s="269"/>
      <c r="OPN235" s="269"/>
      <c r="OPO235" s="269"/>
      <c r="OPP235" s="269"/>
      <c r="OPQ235" s="269"/>
      <c r="OPR235" s="269"/>
      <c r="OPS235" s="269"/>
      <c r="OPT235" s="269"/>
      <c r="OPU235" s="269"/>
      <c r="OPV235" s="269"/>
      <c r="OPW235" s="269"/>
      <c r="OPX235" s="269"/>
      <c r="OPY235" s="269"/>
      <c r="OPZ235" s="269"/>
      <c r="OQA235" s="269"/>
      <c r="OQB235" s="269"/>
      <c r="OQC235" s="269"/>
      <c r="OQD235" s="269"/>
      <c r="OQE235" s="269"/>
      <c r="OQF235" s="269"/>
      <c r="OQG235" s="269"/>
      <c r="OQH235" s="269"/>
      <c r="OQI235" s="269"/>
      <c r="OQJ235" s="269"/>
      <c r="OQK235" s="269"/>
      <c r="OQL235" s="269"/>
      <c r="OQM235" s="269"/>
      <c r="OQN235" s="269"/>
      <c r="OQO235" s="269"/>
      <c r="OQP235" s="269"/>
      <c r="OQQ235" s="269"/>
      <c r="OQR235" s="269"/>
      <c r="OQS235" s="269"/>
      <c r="OQT235" s="269"/>
      <c r="OQU235" s="269"/>
      <c r="OQV235" s="269"/>
      <c r="OQW235" s="269"/>
      <c r="OQX235" s="269"/>
      <c r="OQY235" s="269"/>
      <c r="OQZ235" s="269"/>
      <c r="ORA235" s="269"/>
      <c r="ORB235" s="269"/>
      <c r="ORC235" s="269"/>
      <c r="ORD235" s="269"/>
      <c r="ORE235" s="269"/>
      <c r="ORF235" s="269"/>
      <c r="ORG235" s="269"/>
      <c r="ORH235" s="269"/>
      <c r="ORI235" s="269"/>
      <c r="ORJ235" s="269"/>
      <c r="ORK235" s="269"/>
      <c r="ORL235" s="269"/>
      <c r="ORM235" s="269"/>
      <c r="ORN235" s="269"/>
      <c r="ORO235" s="269"/>
      <c r="ORP235" s="269"/>
      <c r="ORQ235" s="269"/>
      <c r="ORR235" s="269"/>
      <c r="ORS235" s="269"/>
      <c r="ORT235" s="269"/>
      <c r="ORU235" s="269"/>
      <c r="ORV235" s="269"/>
      <c r="ORW235" s="269"/>
      <c r="ORX235" s="269"/>
      <c r="ORY235" s="269"/>
      <c r="ORZ235" s="269"/>
      <c r="OSA235" s="269"/>
      <c r="OSB235" s="269"/>
      <c r="OSC235" s="269"/>
      <c r="OSD235" s="269"/>
      <c r="OSE235" s="269"/>
      <c r="OSF235" s="269"/>
      <c r="OSG235" s="269"/>
      <c r="OSH235" s="269"/>
      <c r="OSI235" s="269"/>
      <c r="OSJ235" s="269"/>
      <c r="OSK235" s="269"/>
      <c r="OSL235" s="269"/>
      <c r="OSM235" s="269"/>
      <c r="OSN235" s="269"/>
      <c r="OSO235" s="269"/>
      <c r="OSP235" s="269"/>
      <c r="OSQ235" s="269"/>
      <c r="OSR235" s="269"/>
      <c r="OSS235" s="269"/>
      <c r="OST235" s="269"/>
      <c r="OSU235" s="269"/>
      <c r="OSV235" s="269"/>
      <c r="OSW235" s="269"/>
      <c r="OSX235" s="269"/>
      <c r="OSY235" s="269"/>
      <c r="OSZ235" s="269"/>
      <c r="OTA235" s="269"/>
      <c r="OTB235" s="269"/>
      <c r="OTC235" s="269"/>
      <c r="OTD235" s="269"/>
      <c r="OTE235" s="269"/>
      <c r="OTF235" s="269"/>
      <c r="OTG235" s="269"/>
      <c r="OTH235" s="269"/>
      <c r="OTI235" s="269"/>
      <c r="OTJ235" s="269"/>
      <c r="OTK235" s="269"/>
      <c r="OTL235" s="269"/>
      <c r="OTM235" s="269"/>
      <c r="OTN235" s="269"/>
      <c r="OTO235" s="269"/>
      <c r="OTP235" s="269"/>
      <c r="OTQ235" s="269"/>
      <c r="OTR235" s="269"/>
      <c r="OTS235" s="269"/>
      <c r="OTT235" s="269"/>
      <c r="OTU235" s="269"/>
      <c r="OTV235" s="269"/>
      <c r="OTW235" s="269"/>
      <c r="OTX235" s="269"/>
      <c r="OTY235" s="269"/>
      <c r="OTZ235" s="269"/>
      <c r="OUA235" s="269"/>
      <c r="OUB235" s="269"/>
      <c r="OUC235" s="269"/>
      <c r="OUD235" s="269"/>
      <c r="OUE235" s="269"/>
      <c r="OUF235" s="269"/>
      <c r="OUG235" s="269"/>
      <c r="OUH235" s="269"/>
      <c r="OUI235" s="269"/>
      <c r="OUJ235" s="269"/>
      <c r="OUK235" s="269"/>
      <c r="OUL235" s="269"/>
      <c r="OUM235" s="269"/>
      <c r="OUN235" s="269"/>
      <c r="OUO235" s="269"/>
      <c r="OUP235" s="269"/>
      <c r="OUQ235" s="269"/>
      <c r="OUR235" s="269"/>
      <c r="OUS235" s="269"/>
      <c r="OUT235" s="269"/>
      <c r="OUU235" s="269"/>
      <c r="OUV235" s="269"/>
      <c r="OUW235" s="269"/>
      <c r="OUX235" s="269"/>
      <c r="OUY235" s="269"/>
      <c r="OUZ235" s="269"/>
      <c r="OVA235" s="269"/>
      <c r="OVB235" s="269"/>
      <c r="OVC235" s="269"/>
      <c r="OVD235" s="269"/>
      <c r="OVE235" s="269"/>
      <c r="OVF235" s="269"/>
      <c r="OVG235" s="269"/>
      <c r="OVH235" s="269"/>
      <c r="OVI235" s="269"/>
      <c r="OVJ235" s="269"/>
      <c r="OVK235" s="269"/>
      <c r="OVL235" s="269"/>
      <c r="OVM235" s="269"/>
      <c r="OVN235" s="269"/>
      <c r="OVO235" s="269"/>
      <c r="OVP235" s="269"/>
      <c r="OVQ235" s="269"/>
      <c r="OVR235" s="269"/>
      <c r="OVS235" s="269"/>
      <c r="OVT235" s="269"/>
      <c r="OVU235" s="269"/>
      <c r="OVV235" s="269"/>
      <c r="OVW235" s="269"/>
      <c r="OVX235" s="269"/>
      <c r="OVY235" s="269"/>
      <c r="OVZ235" s="269"/>
      <c r="OWA235" s="269"/>
      <c r="OWB235" s="269"/>
      <c r="OWC235" s="269"/>
      <c r="OWD235" s="269"/>
      <c r="OWE235" s="269"/>
      <c r="OWF235" s="269"/>
      <c r="OWG235" s="269"/>
      <c r="OWH235" s="269"/>
      <c r="OWI235" s="269"/>
      <c r="OWJ235" s="269"/>
      <c r="OWK235" s="269"/>
      <c r="OWL235" s="269"/>
      <c r="OWM235" s="269"/>
      <c r="OWN235" s="269"/>
      <c r="OWO235" s="269"/>
      <c r="OWP235" s="269"/>
      <c r="OWQ235" s="269"/>
      <c r="OWR235" s="269"/>
      <c r="OWS235" s="269"/>
      <c r="OWT235" s="269"/>
      <c r="OWU235" s="269"/>
      <c r="OWV235" s="269"/>
      <c r="OWW235" s="269"/>
      <c r="OWX235" s="269"/>
      <c r="OWY235" s="269"/>
      <c r="OWZ235" s="269"/>
      <c r="OXA235" s="269"/>
      <c r="OXB235" s="269"/>
      <c r="OXC235" s="269"/>
      <c r="OXD235" s="269"/>
      <c r="OXE235" s="269"/>
      <c r="OXF235" s="269"/>
      <c r="OXG235" s="269"/>
      <c r="OXH235" s="269"/>
      <c r="OXI235" s="269"/>
      <c r="OXJ235" s="269"/>
      <c r="OXK235" s="269"/>
      <c r="OXL235" s="269"/>
      <c r="OXM235" s="269"/>
      <c r="OXN235" s="269"/>
      <c r="OXO235" s="269"/>
      <c r="OXP235" s="269"/>
      <c r="OXQ235" s="269"/>
      <c r="OXR235" s="269"/>
      <c r="OXS235" s="269"/>
      <c r="OXT235" s="269"/>
      <c r="OXU235" s="269"/>
      <c r="OXV235" s="269"/>
      <c r="OXW235" s="269"/>
      <c r="OXX235" s="269"/>
      <c r="OXY235" s="269"/>
      <c r="OXZ235" s="269"/>
      <c r="OYA235" s="269"/>
      <c r="OYB235" s="269"/>
      <c r="OYC235" s="269"/>
      <c r="OYD235" s="269"/>
      <c r="OYE235" s="269"/>
      <c r="OYF235" s="269"/>
      <c r="OYG235" s="269"/>
      <c r="OYH235" s="269"/>
      <c r="OYI235" s="269"/>
      <c r="OYJ235" s="269"/>
      <c r="OYK235" s="269"/>
      <c r="OYL235" s="269"/>
      <c r="OYM235" s="269"/>
      <c r="OYN235" s="269"/>
      <c r="OYO235" s="269"/>
      <c r="OYP235" s="269"/>
      <c r="OYQ235" s="269"/>
      <c r="OYR235" s="269"/>
      <c r="OYS235" s="269"/>
      <c r="OYT235" s="269"/>
      <c r="OYU235" s="269"/>
      <c r="OYV235" s="269"/>
      <c r="OYW235" s="269"/>
      <c r="OYX235" s="269"/>
      <c r="OYY235" s="269"/>
      <c r="OYZ235" s="269"/>
      <c r="OZA235" s="269"/>
      <c r="OZB235" s="269"/>
      <c r="OZC235" s="269"/>
      <c r="OZD235" s="269"/>
      <c r="OZE235" s="269"/>
      <c r="OZF235" s="269"/>
      <c r="OZG235" s="269"/>
      <c r="OZH235" s="269"/>
      <c r="OZI235" s="269"/>
      <c r="OZJ235" s="269"/>
      <c r="OZK235" s="269"/>
      <c r="OZL235" s="269"/>
      <c r="OZM235" s="269"/>
      <c r="OZN235" s="269"/>
      <c r="OZO235" s="269"/>
      <c r="OZP235" s="269"/>
      <c r="OZQ235" s="269"/>
      <c r="OZR235" s="269"/>
      <c r="OZS235" s="269"/>
      <c r="OZT235" s="269"/>
      <c r="OZU235" s="269"/>
      <c r="OZV235" s="269"/>
      <c r="OZW235" s="269"/>
      <c r="OZX235" s="269"/>
      <c r="OZY235" s="269"/>
      <c r="OZZ235" s="269"/>
      <c r="PAA235" s="269"/>
      <c r="PAB235" s="269"/>
      <c r="PAC235" s="269"/>
      <c r="PAD235" s="269"/>
      <c r="PAE235" s="269"/>
      <c r="PAF235" s="269"/>
      <c r="PAG235" s="269"/>
      <c r="PAH235" s="269"/>
      <c r="PAI235" s="269"/>
      <c r="PAJ235" s="269"/>
      <c r="PAK235" s="269"/>
      <c r="PAL235" s="269"/>
      <c r="PAM235" s="269"/>
      <c r="PAN235" s="269"/>
      <c r="PAO235" s="269"/>
      <c r="PAP235" s="269"/>
      <c r="PAQ235" s="269"/>
      <c r="PAR235" s="269"/>
      <c r="PAS235" s="269"/>
      <c r="PAT235" s="269"/>
      <c r="PAU235" s="269"/>
      <c r="PAV235" s="269"/>
      <c r="PAW235" s="269"/>
      <c r="PAX235" s="269"/>
      <c r="PAY235" s="269"/>
      <c r="PAZ235" s="269"/>
      <c r="PBA235" s="269"/>
      <c r="PBB235" s="269"/>
      <c r="PBC235" s="269"/>
      <c r="PBD235" s="269"/>
      <c r="PBE235" s="269"/>
      <c r="PBF235" s="269"/>
      <c r="PBG235" s="269"/>
      <c r="PBH235" s="269"/>
      <c r="PBI235" s="269"/>
      <c r="PBJ235" s="269"/>
      <c r="PBK235" s="269"/>
      <c r="PBL235" s="269"/>
      <c r="PBM235" s="269"/>
      <c r="PBN235" s="269"/>
      <c r="PBO235" s="269"/>
      <c r="PBP235" s="269"/>
      <c r="PBQ235" s="269"/>
      <c r="PBR235" s="269"/>
      <c r="PBS235" s="269"/>
      <c r="PBT235" s="269"/>
      <c r="PBU235" s="269"/>
      <c r="PBV235" s="269"/>
      <c r="PBW235" s="269"/>
      <c r="PBX235" s="269"/>
      <c r="PBY235" s="269"/>
      <c r="PBZ235" s="269"/>
      <c r="PCA235" s="269"/>
      <c r="PCB235" s="269"/>
      <c r="PCC235" s="269"/>
      <c r="PCD235" s="269"/>
      <c r="PCE235" s="269"/>
      <c r="PCF235" s="269"/>
      <c r="PCG235" s="269"/>
      <c r="PCH235" s="269"/>
      <c r="PCI235" s="269"/>
      <c r="PCJ235" s="269"/>
      <c r="PCK235" s="269"/>
      <c r="PCL235" s="269"/>
      <c r="PCM235" s="269"/>
      <c r="PCN235" s="269"/>
      <c r="PCO235" s="269"/>
      <c r="PCP235" s="269"/>
      <c r="PCQ235" s="269"/>
      <c r="PCR235" s="269"/>
      <c r="PCS235" s="269"/>
      <c r="PCT235" s="269"/>
      <c r="PCU235" s="269"/>
      <c r="PCV235" s="269"/>
      <c r="PCW235" s="269"/>
      <c r="PCX235" s="269"/>
      <c r="PCY235" s="269"/>
      <c r="PCZ235" s="269"/>
      <c r="PDA235" s="269"/>
      <c r="PDB235" s="269"/>
      <c r="PDC235" s="269"/>
      <c r="PDD235" s="269"/>
      <c r="PDE235" s="269"/>
      <c r="PDF235" s="269"/>
      <c r="PDG235" s="269"/>
      <c r="PDH235" s="269"/>
      <c r="PDI235" s="269"/>
      <c r="PDJ235" s="269"/>
      <c r="PDK235" s="269"/>
      <c r="PDL235" s="269"/>
      <c r="PDM235" s="269"/>
      <c r="PDN235" s="269"/>
      <c r="PDO235" s="269"/>
      <c r="PDP235" s="269"/>
      <c r="PDQ235" s="269"/>
      <c r="PDR235" s="269"/>
      <c r="PDS235" s="269"/>
      <c r="PDT235" s="269"/>
      <c r="PDU235" s="269"/>
      <c r="PDV235" s="269"/>
      <c r="PDW235" s="269"/>
      <c r="PDX235" s="269"/>
      <c r="PDY235" s="269"/>
      <c r="PDZ235" s="269"/>
      <c r="PEA235" s="269"/>
      <c r="PEB235" s="269"/>
      <c r="PEC235" s="269"/>
      <c r="PED235" s="269"/>
      <c r="PEE235" s="269"/>
      <c r="PEF235" s="269"/>
      <c r="PEG235" s="269"/>
      <c r="PEH235" s="269"/>
      <c r="PEI235" s="269"/>
      <c r="PEJ235" s="269"/>
      <c r="PEK235" s="269"/>
      <c r="PEL235" s="269"/>
      <c r="PEM235" s="269"/>
      <c r="PEN235" s="269"/>
      <c r="PEO235" s="269"/>
      <c r="PEP235" s="269"/>
      <c r="PEQ235" s="269"/>
      <c r="PER235" s="269"/>
      <c r="PES235" s="269"/>
      <c r="PET235" s="269"/>
      <c r="PEU235" s="269"/>
      <c r="PEV235" s="269"/>
      <c r="PEW235" s="269"/>
      <c r="PEX235" s="269"/>
      <c r="PEY235" s="269"/>
      <c r="PEZ235" s="269"/>
      <c r="PFA235" s="269"/>
      <c r="PFB235" s="269"/>
      <c r="PFC235" s="269"/>
      <c r="PFD235" s="269"/>
      <c r="PFE235" s="269"/>
      <c r="PFF235" s="269"/>
      <c r="PFG235" s="269"/>
      <c r="PFH235" s="269"/>
      <c r="PFI235" s="269"/>
      <c r="PFJ235" s="269"/>
      <c r="PFK235" s="269"/>
      <c r="PFL235" s="269"/>
      <c r="PFM235" s="269"/>
      <c r="PFN235" s="269"/>
      <c r="PFO235" s="269"/>
      <c r="PFP235" s="269"/>
      <c r="PFQ235" s="269"/>
      <c r="PFR235" s="269"/>
      <c r="PFS235" s="269"/>
      <c r="PFT235" s="269"/>
      <c r="PFU235" s="269"/>
      <c r="PFV235" s="269"/>
      <c r="PFW235" s="269"/>
      <c r="PFX235" s="269"/>
      <c r="PFY235" s="269"/>
      <c r="PFZ235" s="269"/>
      <c r="PGA235" s="269"/>
      <c r="PGB235" s="269"/>
      <c r="PGC235" s="269"/>
      <c r="PGD235" s="269"/>
      <c r="PGE235" s="269"/>
      <c r="PGF235" s="269"/>
      <c r="PGG235" s="269"/>
      <c r="PGH235" s="269"/>
      <c r="PGI235" s="269"/>
      <c r="PGJ235" s="269"/>
      <c r="PGK235" s="269"/>
      <c r="PGL235" s="269"/>
      <c r="PGM235" s="269"/>
      <c r="PGN235" s="269"/>
      <c r="PGO235" s="269"/>
      <c r="PGP235" s="269"/>
      <c r="PGQ235" s="269"/>
      <c r="PGR235" s="269"/>
      <c r="PGS235" s="269"/>
      <c r="PGT235" s="269"/>
      <c r="PGU235" s="269"/>
      <c r="PGV235" s="269"/>
      <c r="PGW235" s="269"/>
      <c r="PGX235" s="269"/>
      <c r="PGY235" s="269"/>
      <c r="PGZ235" s="269"/>
      <c r="PHA235" s="269"/>
      <c r="PHB235" s="269"/>
      <c r="PHC235" s="269"/>
      <c r="PHD235" s="269"/>
      <c r="PHE235" s="269"/>
      <c r="PHF235" s="269"/>
      <c r="PHG235" s="269"/>
      <c r="PHH235" s="269"/>
      <c r="PHI235" s="269"/>
      <c r="PHJ235" s="269"/>
      <c r="PHK235" s="269"/>
      <c r="PHL235" s="269"/>
      <c r="PHM235" s="269"/>
      <c r="PHN235" s="269"/>
      <c r="PHO235" s="269"/>
      <c r="PHP235" s="269"/>
      <c r="PHQ235" s="269"/>
      <c r="PHR235" s="269"/>
      <c r="PHS235" s="269"/>
      <c r="PHT235" s="269"/>
      <c r="PHU235" s="269"/>
      <c r="PHV235" s="269"/>
      <c r="PHW235" s="269"/>
      <c r="PHX235" s="269"/>
      <c r="PHY235" s="269"/>
      <c r="PHZ235" s="269"/>
      <c r="PIA235" s="269"/>
      <c r="PIB235" s="269"/>
      <c r="PIC235" s="269"/>
      <c r="PID235" s="269"/>
      <c r="PIE235" s="269"/>
      <c r="PIF235" s="269"/>
      <c r="PIG235" s="269"/>
      <c r="PIH235" s="269"/>
      <c r="PII235" s="269"/>
      <c r="PIJ235" s="269"/>
      <c r="PIK235" s="269"/>
      <c r="PIL235" s="269"/>
      <c r="PIM235" s="269"/>
      <c r="PIN235" s="269"/>
      <c r="PIO235" s="269"/>
      <c r="PIP235" s="269"/>
      <c r="PIQ235" s="269"/>
      <c r="PIR235" s="269"/>
      <c r="PIS235" s="269"/>
      <c r="PIT235" s="269"/>
      <c r="PIU235" s="269"/>
      <c r="PIV235" s="269"/>
      <c r="PIW235" s="269"/>
      <c r="PIX235" s="269"/>
      <c r="PIY235" s="269"/>
      <c r="PIZ235" s="269"/>
      <c r="PJA235" s="269"/>
      <c r="PJB235" s="269"/>
      <c r="PJC235" s="269"/>
      <c r="PJD235" s="269"/>
      <c r="PJE235" s="269"/>
      <c r="PJF235" s="269"/>
      <c r="PJG235" s="269"/>
      <c r="PJH235" s="269"/>
      <c r="PJI235" s="269"/>
      <c r="PJJ235" s="269"/>
      <c r="PJK235" s="269"/>
      <c r="PJL235" s="269"/>
      <c r="PJM235" s="269"/>
      <c r="PJN235" s="269"/>
      <c r="PJO235" s="269"/>
      <c r="PJP235" s="269"/>
      <c r="PJQ235" s="269"/>
      <c r="PJR235" s="269"/>
      <c r="PJS235" s="269"/>
      <c r="PJT235" s="269"/>
      <c r="PJU235" s="269"/>
      <c r="PJV235" s="269"/>
      <c r="PJW235" s="269"/>
      <c r="PJX235" s="269"/>
      <c r="PJY235" s="269"/>
      <c r="PJZ235" s="269"/>
      <c r="PKA235" s="269"/>
      <c r="PKB235" s="269"/>
      <c r="PKC235" s="269"/>
      <c r="PKD235" s="269"/>
      <c r="PKE235" s="269"/>
      <c r="PKF235" s="269"/>
      <c r="PKG235" s="269"/>
      <c r="PKH235" s="269"/>
      <c r="PKI235" s="269"/>
      <c r="PKJ235" s="269"/>
      <c r="PKK235" s="269"/>
      <c r="PKL235" s="269"/>
      <c r="PKM235" s="269"/>
      <c r="PKN235" s="269"/>
      <c r="PKO235" s="269"/>
      <c r="PKP235" s="269"/>
      <c r="PKQ235" s="269"/>
      <c r="PKR235" s="269"/>
      <c r="PKS235" s="269"/>
      <c r="PKT235" s="269"/>
      <c r="PKU235" s="269"/>
      <c r="PKV235" s="269"/>
      <c r="PKW235" s="269"/>
      <c r="PKX235" s="269"/>
      <c r="PKY235" s="269"/>
      <c r="PKZ235" s="269"/>
      <c r="PLA235" s="269"/>
      <c r="PLB235" s="269"/>
      <c r="PLC235" s="269"/>
      <c r="PLD235" s="269"/>
      <c r="PLE235" s="269"/>
      <c r="PLF235" s="269"/>
      <c r="PLG235" s="269"/>
      <c r="PLH235" s="269"/>
      <c r="PLI235" s="269"/>
      <c r="PLJ235" s="269"/>
      <c r="PLK235" s="269"/>
      <c r="PLL235" s="269"/>
      <c r="PLM235" s="269"/>
      <c r="PLN235" s="269"/>
      <c r="PLO235" s="269"/>
      <c r="PLP235" s="269"/>
      <c r="PLQ235" s="269"/>
      <c r="PLR235" s="269"/>
      <c r="PLS235" s="269"/>
      <c r="PLT235" s="269"/>
      <c r="PLU235" s="269"/>
      <c r="PLV235" s="269"/>
      <c r="PLW235" s="269"/>
      <c r="PLX235" s="269"/>
      <c r="PLY235" s="269"/>
      <c r="PLZ235" s="269"/>
      <c r="PMA235" s="269"/>
      <c r="PMB235" s="269"/>
      <c r="PMC235" s="269"/>
      <c r="PMD235" s="269"/>
      <c r="PME235" s="269"/>
      <c r="PMF235" s="269"/>
      <c r="PMG235" s="269"/>
      <c r="PMH235" s="269"/>
      <c r="PMI235" s="269"/>
      <c r="PMJ235" s="269"/>
      <c r="PMK235" s="269"/>
      <c r="PML235" s="269"/>
      <c r="PMM235" s="269"/>
      <c r="PMN235" s="269"/>
      <c r="PMO235" s="269"/>
      <c r="PMP235" s="269"/>
      <c r="PMQ235" s="269"/>
      <c r="PMR235" s="269"/>
      <c r="PMS235" s="269"/>
      <c r="PMT235" s="269"/>
      <c r="PMU235" s="269"/>
      <c r="PMV235" s="269"/>
      <c r="PMW235" s="269"/>
      <c r="PMX235" s="269"/>
      <c r="PMY235" s="269"/>
      <c r="PMZ235" s="269"/>
      <c r="PNA235" s="269"/>
      <c r="PNB235" s="269"/>
      <c r="PNC235" s="269"/>
      <c r="PND235" s="269"/>
      <c r="PNE235" s="269"/>
      <c r="PNF235" s="269"/>
      <c r="PNG235" s="269"/>
      <c r="PNH235" s="269"/>
      <c r="PNI235" s="269"/>
      <c r="PNJ235" s="269"/>
      <c r="PNK235" s="269"/>
      <c r="PNL235" s="269"/>
      <c r="PNM235" s="269"/>
      <c r="PNN235" s="269"/>
      <c r="PNO235" s="269"/>
      <c r="PNP235" s="269"/>
      <c r="PNQ235" s="269"/>
      <c r="PNR235" s="269"/>
      <c r="PNS235" s="269"/>
      <c r="PNT235" s="269"/>
      <c r="PNU235" s="269"/>
      <c r="PNV235" s="269"/>
      <c r="PNW235" s="269"/>
      <c r="PNX235" s="269"/>
      <c r="PNY235" s="269"/>
      <c r="PNZ235" s="269"/>
      <c r="POA235" s="269"/>
      <c r="POB235" s="269"/>
      <c r="POC235" s="269"/>
      <c r="POD235" s="269"/>
      <c r="POE235" s="269"/>
      <c r="POF235" s="269"/>
      <c r="POG235" s="269"/>
      <c r="POH235" s="269"/>
      <c r="POI235" s="269"/>
      <c r="POJ235" s="269"/>
      <c r="POK235" s="269"/>
      <c r="POL235" s="269"/>
      <c r="POM235" s="269"/>
      <c r="PON235" s="269"/>
      <c r="POO235" s="269"/>
      <c r="POP235" s="269"/>
      <c r="POQ235" s="269"/>
      <c r="POR235" s="269"/>
      <c r="POS235" s="269"/>
      <c r="POT235" s="269"/>
      <c r="POU235" s="269"/>
      <c r="POV235" s="269"/>
      <c r="POW235" s="269"/>
      <c r="POX235" s="269"/>
      <c r="POY235" s="269"/>
      <c r="POZ235" s="269"/>
      <c r="PPA235" s="269"/>
      <c r="PPB235" s="269"/>
      <c r="PPC235" s="269"/>
      <c r="PPD235" s="269"/>
      <c r="PPE235" s="269"/>
      <c r="PPF235" s="269"/>
      <c r="PPG235" s="269"/>
      <c r="PPH235" s="269"/>
      <c r="PPI235" s="269"/>
      <c r="PPJ235" s="269"/>
      <c r="PPK235" s="269"/>
      <c r="PPL235" s="269"/>
      <c r="PPM235" s="269"/>
      <c r="PPN235" s="269"/>
      <c r="PPO235" s="269"/>
      <c r="PPP235" s="269"/>
      <c r="PPQ235" s="269"/>
      <c r="PPR235" s="269"/>
      <c r="PPS235" s="269"/>
      <c r="PPT235" s="269"/>
      <c r="PPU235" s="269"/>
      <c r="PPV235" s="269"/>
      <c r="PPW235" s="269"/>
      <c r="PPX235" s="269"/>
      <c r="PPY235" s="269"/>
      <c r="PPZ235" s="269"/>
      <c r="PQA235" s="269"/>
      <c r="PQB235" s="269"/>
      <c r="PQC235" s="269"/>
      <c r="PQD235" s="269"/>
      <c r="PQE235" s="269"/>
      <c r="PQF235" s="269"/>
      <c r="PQG235" s="269"/>
      <c r="PQH235" s="269"/>
      <c r="PQI235" s="269"/>
      <c r="PQJ235" s="269"/>
      <c r="PQK235" s="269"/>
      <c r="PQL235" s="269"/>
      <c r="PQM235" s="269"/>
      <c r="PQN235" s="269"/>
      <c r="PQO235" s="269"/>
      <c r="PQP235" s="269"/>
      <c r="PQQ235" s="269"/>
      <c r="PQR235" s="269"/>
      <c r="PQS235" s="269"/>
      <c r="PQT235" s="269"/>
      <c r="PQU235" s="269"/>
      <c r="PQV235" s="269"/>
      <c r="PQW235" s="269"/>
      <c r="PQX235" s="269"/>
      <c r="PQY235" s="269"/>
      <c r="PQZ235" s="269"/>
      <c r="PRA235" s="269"/>
      <c r="PRB235" s="269"/>
      <c r="PRC235" s="269"/>
      <c r="PRD235" s="269"/>
      <c r="PRE235" s="269"/>
      <c r="PRF235" s="269"/>
      <c r="PRG235" s="269"/>
      <c r="PRH235" s="269"/>
      <c r="PRI235" s="269"/>
      <c r="PRJ235" s="269"/>
      <c r="PRK235" s="269"/>
      <c r="PRL235" s="269"/>
      <c r="PRM235" s="269"/>
      <c r="PRN235" s="269"/>
      <c r="PRO235" s="269"/>
      <c r="PRP235" s="269"/>
      <c r="PRQ235" s="269"/>
      <c r="PRR235" s="269"/>
      <c r="PRS235" s="269"/>
      <c r="PRT235" s="269"/>
      <c r="PRU235" s="269"/>
      <c r="PRV235" s="269"/>
      <c r="PRW235" s="269"/>
      <c r="PRX235" s="269"/>
      <c r="PRY235" s="269"/>
      <c r="PRZ235" s="269"/>
      <c r="PSA235" s="269"/>
      <c r="PSB235" s="269"/>
      <c r="PSC235" s="269"/>
      <c r="PSD235" s="269"/>
      <c r="PSE235" s="269"/>
      <c r="PSF235" s="269"/>
      <c r="PSG235" s="269"/>
      <c r="PSH235" s="269"/>
      <c r="PSI235" s="269"/>
      <c r="PSJ235" s="269"/>
      <c r="PSK235" s="269"/>
      <c r="PSL235" s="269"/>
      <c r="PSM235" s="269"/>
      <c r="PSN235" s="269"/>
      <c r="PSO235" s="269"/>
      <c r="PSP235" s="269"/>
      <c r="PSQ235" s="269"/>
      <c r="PSR235" s="269"/>
      <c r="PSS235" s="269"/>
      <c r="PST235" s="269"/>
      <c r="PSU235" s="269"/>
      <c r="PSV235" s="269"/>
      <c r="PSW235" s="269"/>
      <c r="PSX235" s="269"/>
      <c r="PSY235" s="269"/>
      <c r="PSZ235" s="269"/>
      <c r="PTA235" s="269"/>
      <c r="PTB235" s="269"/>
      <c r="PTC235" s="269"/>
      <c r="PTD235" s="269"/>
      <c r="PTE235" s="269"/>
      <c r="PTF235" s="269"/>
      <c r="PTG235" s="269"/>
      <c r="PTH235" s="269"/>
      <c r="PTI235" s="269"/>
      <c r="PTJ235" s="269"/>
      <c r="PTK235" s="269"/>
      <c r="PTL235" s="269"/>
      <c r="PTM235" s="269"/>
      <c r="PTN235" s="269"/>
      <c r="PTO235" s="269"/>
      <c r="PTP235" s="269"/>
      <c r="PTQ235" s="269"/>
      <c r="PTR235" s="269"/>
      <c r="PTS235" s="269"/>
      <c r="PTT235" s="269"/>
      <c r="PTU235" s="269"/>
      <c r="PTV235" s="269"/>
      <c r="PTW235" s="269"/>
      <c r="PTX235" s="269"/>
      <c r="PTY235" s="269"/>
      <c r="PTZ235" s="269"/>
      <c r="PUA235" s="269"/>
      <c r="PUB235" s="269"/>
      <c r="PUC235" s="269"/>
      <c r="PUD235" s="269"/>
      <c r="PUE235" s="269"/>
      <c r="PUF235" s="269"/>
      <c r="PUG235" s="269"/>
      <c r="PUH235" s="269"/>
      <c r="PUI235" s="269"/>
      <c r="PUJ235" s="269"/>
      <c r="PUK235" s="269"/>
      <c r="PUL235" s="269"/>
      <c r="PUM235" s="269"/>
      <c r="PUN235" s="269"/>
      <c r="PUO235" s="269"/>
      <c r="PUP235" s="269"/>
      <c r="PUQ235" s="269"/>
      <c r="PUR235" s="269"/>
      <c r="PUS235" s="269"/>
      <c r="PUT235" s="269"/>
      <c r="PUU235" s="269"/>
      <c r="PUV235" s="269"/>
      <c r="PUW235" s="269"/>
      <c r="PUX235" s="269"/>
      <c r="PUY235" s="269"/>
      <c r="PUZ235" s="269"/>
      <c r="PVA235" s="269"/>
      <c r="PVB235" s="269"/>
      <c r="PVC235" s="269"/>
      <c r="PVD235" s="269"/>
      <c r="PVE235" s="269"/>
      <c r="PVF235" s="269"/>
      <c r="PVG235" s="269"/>
      <c r="PVH235" s="269"/>
      <c r="PVI235" s="269"/>
      <c r="PVJ235" s="269"/>
      <c r="PVK235" s="269"/>
      <c r="PVL235" s="269"/>
      <c r="PVM235" s="269"/>
      <c r="PVN235" s="269"/>
      <c r="PVO235" s="269"/>
      <c r="PVP235" s="269"/>
      <c r="PVQ235" s="269"/>
      <c r="PVR235" s="269"/>
      <c r="PVS235" s="269"/>
      <c r="PVT235" s="269"/>
      <c r="PVU235" s="269"/>
      <c r="PVV235" s="269"/>
      <c r="PVW235" s="269"/>
      <c r="PVX235" s="269"/>
      <c r="PVY235" s="269"/>
      <c r="PVZ235" s="269"/>
      <c r="PWA235" s="269"/>
      <c r="PWB235" s="269"/>
      <c r="PWC235" s="269"/>
      <c r="PWD235" s="269"/>
      <c r="PWE235" s="269"/>
      <c r="PWF235" s="269"/>
      <c r="PWG235" s="269"/>
      <c r="PWH235" s="269"/>
      <c r="PWI235" s="269"/>
      <c r="PWJ235" s="269"/>
      <c r="PWK235" s="269"/>
      <c r="PWL235" s="269"/>
      <c r="PWM235" s="269"/>
      <c r="PWN235" s="269"/>
      <c r="PWO235" s="269"/>
      <c r="PWP235" s="269"/>
      <c r="PWQ235" s="269"/>
      <c r="PWR235" s="269"/>
      <c r="PWS235" s="269"/>
      <c r="PWT235" s="269"/>
      <c r="PWU235" s="269"/>
      <c r="PWV235" s="269"/>
      <c r="PWW235" s="269"/>
      <c r="PWX235" s="269"/>
      <c r="PWY235" s="269"/>
      <c r="PWZ235" s="269"/>
      <c r="PXA235" s="269"/>
      <c r="PXB235" s="269"/>
      <c r="PXC235" s="269"/>
      <c r="PXD235" s="269"/>
      <c r="PXE235" s="269"/>
      <c r="PXF235" s="269"/>
      <c r="PXG235" s="269"/>
      <c r="PXH235" s="269"/>
      <c r="PXI235" s="269"/>
      <c r="PXJ235" s="269"/>
      <c r="PXK235" s="269"/>
      <c r="PXL235" s="269"/>
      <c r="PXM235" s="269"/>
      <c r="PXN235" s="269"/>
      <c r="PXO235" s="269"/>
      <c r="PXP235" s="269"/>
      <c r="PXQ235" s="269"/>
      <c r="PXR235" s="269"/>
      <c r="PXS235" s="269"/>
      <c r="PXT235" s="269"/>
      <c r="PXU235" s="269"/>
      <c r="PXV235" s="269"/>
      <c r="PXW235" s="269"/>
      <c r="PXX235" s="269"/>
      <c r="PXY235" s="269"/>
      <c r="PXZ235" s="269"/>
      <c r="PYA235" s="269"/>
      <c r="PYB235" s="269"/>
      <c r="PYC235" s="269"/>
      <c r="PYD235" s="269"/>
      <c r="PYE235" s="269"/>
      <c r="PYF235" s="269"/>
      <c r="PYG235" s="269"/>
      <c r="PYH235" s="269"/>
      <c r="PYI235" s="269"/>
      <c r="PYJ235" s="269"/>
      <c r="PYK235" s="269"/>
      <c r="PYL235" s="269"/>
      <c r="PYM235" s="269"/>
      <c r="PYN235" s="269"/>
      <c r="PYO235" s="269"/>
      <c r="PYP235" s="269"/>
      <c r="PYQ235" s="269"/>
      <c r="PYR235" s="269"/>
      <c r="PYS235" s="269"/>
      <c r="PYT235" s="269"/>
      <c r="PYU235" s="269"/>
      <c r="PYV235" s="269"/>
      <c r="PYW235" s="269"/>
      <c r="PYX235" s="269"/>
      <c r="PYY235" s="269"/>
      <c r="PYZ235" s="269"/>
      <c r="PZA235" s="269"/>
      <c r="PZB235" s="269"/>
      <c r="PZC235" s="269"/>
      <c r="PZD235" s="269"/>
      <c r="PZE235" s="269"/>
      <c r="PZF235" s="269"/>
      <c r="PZG235" s="269"/>
      <c r="PZH235" s="269"/>
      <c r="PZI235" s="269"/>
      <c r="PZJ235" s="269"/>
      <c r="PZK235" s="269"/>
      <c r="PZL235" s="269"/>
      <c r="PZM235" s="269"/>
      <c r="PZN235" s="269"/>
      <c r="PZO235" s="269"/>
      <c r="PZP235" s="269"/>
      <c r="PZQ235" s="269"/>
      <c r="PZR235" s="269"/>
      <c r="PZS235" s="269"/>
      <c r="PZT235" s="269"/>
      <c r="PZU235" s="269"/>
      <c r="PZV235" s="269"/>
      <c r="PZW235" s="269"/>
      <c r="PZX235" s="269"/>
      <c r="PZY235" s="269"/>
      <c r="PZZ235" s="269"/>
      <c r="QAA235" s="269"/>
      <c r="QAB235" s="269"/>
      <c r="QAC235" s="269"/>
      <c r="QAD235" s="269"/>
      <c r="QAE235" s="269"/>
      <c r="QAF235" s="269"/>
      <c r="QAG235" s="269"/>
      <c r="QAH235" s="269"/>
      <c r="QAI235" s="269"/>
      <c r="QAJ235" s="269"/>
      <c r="QAK235" s="269"/>
      <c r="QAL235" s="269"/>
      <c r="QAM235" s="269"/>
      <c r="QAN235" s="269"/>
      <c r="QAO235" s="269"/>
      <c r="QAP235" s="269"/>
      <c r="QAQ235" s="269"/>
      <c r="QAR235" s="269"/>
      <c r="QAS235" s="269"/>
      <c r="QAT235" s="269"/>
      <c r="QAU235" s="269"/>
      <c r="QAV235" s="269"/>
      <c r="QAW235" s="269"/>
      <c r="QAX235" s="269"/>
      <c r="QAY235" s="269"/>
      <c r="QAZ235" s="269"/>
      <c r="QBA235" s="269"/>
      <c r="QBB235" s="269"/>
      <c r="QBC235" s="269"/>
      <c r="QBD235" s="269"/>
      <c r="QBE235" s="269"/>
      <c r="QBF235" s="269"/>
      <c r="QBG235" s="269"/>
      <c r="QBH235" s="269"/>
      <c r="QBI235" s="269"/>
      <c r="QBJ235" s="269"/>
      <c r="QBK235" s="269"/>
      <c r="QBL235" s="269"/>
      <c r="QBM235" s="269"/>
      <c r="QBN235" s="269"/>
      <c r="QBO235" s="269"/>
      <c r="QBP235" s="269"/>
      <c r="QBQ235" s="269"/>
      <c r="QBR235" s="269"/>
      <c r="QBS235" s="269"/>
      <c r="QBT235" s="269"/>
      <c r="QBU235" s="269"/>
      <c r="QBV235" s="269"/>
      <c r="QBW235" s="269"/>
      <c r="QBX235" s="269"/>
      <c r="QBY235" s="269"/>
      <c r="QBZ235" s="269"/>
      <c r="QCA235" s="269"/>
      <c r="QCB235" s="269"/>
      <c r="QCC235" s="269"/>
      <c r="QCD235" s="269"/>
      <c r="QCE235" s="269"/>
      <c r="QCF235" s="269"/>
      <c r="QCG235" s="269"/>
      <c r="QCH235" s="269"/>
      <c r="QCI235" s="269"/>
      <c r="QCJ235" s="269"/>
      <c r="QCK235" s="269"/>
      <c r="QCL235" s="269"/>
      <c r="QCM235" s="269"/>
      <c r="QCN235" s="269"/>
      <c r="QCO235" s="269"/>
      <c r="QCP235" s="269"/>
      <c r="QCQ235" s="269"/>
      <c r="QCR235" s="269"/>
      <c r="QCS235" s="269"/>
      <c r="QCT235" s="269"/>
      <c r="QCU235" s="269"/>
      <c r="QCV235" s="269"/>
      <c r="QCW235" s="269"/>
      <c r="QCX235" s="269"/>
      <c r="QCY235" s="269"/>
      <c r="QCZ235" s="269"/>
      <c r="QDA235" s="269"/>
      <c r="QDB235" s="269"/>
      <c r="QDC235" s="269"/>
      <c r="QDD235" s="269"/>
      <c r="QDE235" s="269"/>
      <c r="QDF235" s="269"/>
      <c r="QDG235" s="269"/>
      <c r="QDH235" s="269"/>
      <c r="QDI235" s="269"/>
      <c r="QDJ235" s="269"/>
      <c r="QDK235" s="269"/>
      <c r="QDL235" s="269"/>
      <c r="QDM235" s="269"/>
      <c r="QDN235" s="269"/>
      <c r="QDO235" s="269"/>
      <c r="QDP235" s="269"/>
      <c r="QDQ235" s="269"/>
      <c r="QDR235" s="269"/>
      <c r="QDS235" s="269"/>
      <c r="QDT235" s="269"/>
      <c r="QDU235" s="269"/>
      <c r="QDV235" s="269"/>
      <c r="QDW235" s="269"/>
      <c r="QDX235" s="269"/>
      <c r="QDY235" s="269"/>
      <c r="QDZ235" s="269"/>
      <c r="QEA235" s="269"/>
      <c r="QEB235" s="269"/>
      <c r="QEC235" s="269"/>
      <c r="QED235" s="269"/>
      <c r="QEE235" s="269"/>
      <c r="QEF235" s="269"/>
      <c r="QEG235" s="269"/>
      <c r="QEH235" s="269"/>
      <c r="QEI235" s="269"/>
      <c r="QEJ235" s="269"/>
      <c r="QEK235" s="269"/>
      <c r="QEL235" s="269"/>
      <c r="QEM235" s="269"/>
      <c r="QEN235" s="269"/>
      <c r="QEO235" s="269"/>
      <c r="QEP235" s="269"/>
      <c r="QEQ235" s="269"/>
      <c r="QER235" s="269"/>
      <c r="QES235" s="269"/>
      <c r="QET235" s="269"/>
      <c r="QEU235" s="269"/>
      <c r="QEV235" s="269"/>
      <c r="QEW235" s="269"/>
      <c r="QEX235" s="269"/>
      <c r="QEY235" s="269"/>
      <c r="QEZ235" s="269"/>
      <c r="QFA235" s="269"/>
      <c r="QFB235" s="269"/>
      <c r="QFC235" s="269"/>
      <c r="QFD235" s="269"/>
      <c r="QFE235" s="269"/>
      <c r="QFF235" s="269"/>
      <c r="QFG235" s="269"/>
      <c r="QFH235" s="269"/>
      <c r="QFI235" s="269"/>
      <c r="QFJ235" s="269"/>
      <c r="QFK235" s="269"/>
      <c r="QFL235" s="269"/>
      <c r="QFM235" s="269"/>
      <c r="QFN235" s="269"/>
      <c r="QFO235" s="269"/>
      <c r="QFP235" s="269"/>
      <c r="QFQ235" s="269"/>
      <c r="QFR235" s="269"/>
      <c r="QFS235" s="269"/>
      <c r="QFT235" s="269"/>
      <c r="QFU235" s="269"/>
      <c r="QFV235" s="269"/>
      <c r="QFW235" s="269"/>
      <c r="QFX235" s="269"/>
      <c r="QFY235" s="269"/>
      <c r="QFZ235" s="269"/>
      <c r="QGA235" s="269"/>
      <c r="QGB235" s="269"/>
      <c r="QGC235" s="269"/>
      <c r="QGD235" s="269"/>
      <c r="QGE235" s="269"/>
      <c r="QGF235" s="269"/>
      <c r="QGG235" s="269"/>
      <c r="QGH235" s="269"/>
      <c r="QGI235" s="269"/>
      <c r="QGJ235" s="269"/>
      <c r="QGK235" s="269"/>
      <c r="QGL235" s="269"/>
      <c r="QGM235" s="269"/>
      <c r="QGN235" s="269"/>
      <c r="QGO235" s="269"/>
      <c r="QGP235" s="269"/>
      <c r="QGQ235" s="269"/>
      <c r="QGR235" s="269"/>
      <c r="QGS235" s="269"/>
      <c r="QGT235" s="269"/>
      <c r="QGU235" s="269"/>
      <c r="QGV235" s="269"/>
      <c r="QGW235" s="269"/>
      <c r="QGX235" s="269"/>
      <c r="QGY235" s="269"/>
      <c r="QGZ235" s="269"/>
      <c r="QHA235" s="269"/>
      <c r="QHB235" s="269"/>
      <c r="QHC235" s="269"/>
      <c r="QHD235" s="269"/>
      <c r="QHE235" s="269"/>
      <c r="QHF235" s="269"/>
      <c r="QHG235" s="269"/>
      <c r="QHH235" s="269"/>
      <c r="QHI235" s="269"/>
      <c r="QHJ235" s="269"/>
      <c r="QHK235" s="269"/>
      <c r="QHL235" s="269"/>
      <c r="QHM235" s="269"/>
      <c r="QHN235" s="269"/>
      <c r="QHO235" s="269"/>
      <c r="QHP235" s="269"/>
      <c r="QHQ235" s="269"/>
      <c r="QHR235" s="269"/>
      <c r="QHS235" s="269"/>
      <c r="QHT235" s="269"/>
      <c r="QHU235" s="269"/>
      <c r="QHV235" s="269"/>
      <c r="QHW235" s="269"/>
      <c r="QHX235" s="269"/>
      <c r="QHY235" s="269"/>
      <c r="QHZ235" s="269"/>
      <c r="QIA235" s="269"/>
      <c r="QIB235" s="269"/>
      <c r="QIC235" s="269"/>
      <c r="QID235" s="269"/>
      <c r="QIE235" s="269"/>
      <c r="QIF235" s="269"/>
      <c r="QIG235" s="269"/>
      <c r="QIH235" s="269"/>
      <c r="QII235" s="269"/>
      <c r="QIJ235" s="269"/>
      <c r="QIK235" s="269"/>
      <c r="QIL235" s="269"/>
      <c r="QIM235" s="269"/>
      <c r="QIN235" s="269"/>
      <c r="QIO235" s="269"/>
      <c r="QIP235" s="269"/>
      <c r="QIQ235" s="269"/>
      <c r="QIR235" s="269"/>
      <c r="QIS235" s="269"/>
      <c r="QIT235" s="269"/>
      <c r="QIU235" s="269"/>
      <c r="QIV235" s="269"/>
      <c r="QIW235" s="269"/>
      <c r="QIX235" s="269"/>
      <c r="QIY235" s="269"/>
      <c r="QIZ235" s="269"/>
      <c r="QJA235" s="269"/>
      <c r="QJB235" s="269"/>
      <c r="QJC235" s="269"/>
      <c r="QJD235" s="269"/>
      <c r="QJE235" s="269"/>
      <c r="QJF235" s="269"/>
      <c r="QJG235" s="269"/>
      <c r="QJH235" s="269"/>
      <c r="QJI235" s="269"/>
      <c r="QJJ235" s="269"/>
      <c r="QJK235" s="269"/>
      <c r="QJL235" s="269"/>
      <c r="QJM235" s="269"/>
      <c r="QJN235" s="269"/>
      <c r="QJO235" s="269"/>
      <c r="QJP235" s="269"/>
      <c r="QJQ235" s="269"/>
      <c r="QJR235" s="269"/>
      <c r="QJS235" s="269"/>
      <c r="QJT235" s="269"/>
      <c r="QJU235" s="269"/>
      <c r="QJV235" s="269"/>
      <c r="QJW235" s="269"/>
      <c r="QJX235" s="269"/>
      <c r="QJY235" s="269"/>
      <c r="QJZ235" s="269"/>
      <c r="QKA235" s="269"/>
      <c r="QKB235" s="269"/>
      <c r="QKC235" s="269"/>
      <c r="QKD235" s="269"/>
      <c r="QKE235" s="269"/>
      <c r="QKF235" s="269"/>
      <c r="QKG235" s="269"/>
      <c r="QKH235" s="269"/>
      <c r="QKI235" s="269"/>
      <c r="QKJ235" s="269"/>
      <c r="QKK235" s="269"/>
      <c r="QKL235" s="269"/>
      <c r="QKM235" s="269"/>
      <c r="QKN235" s="269"/>
      <c r="QKO235" s="269"/>
      <c r="QKP235" s="269"/>
      <c r="QKQ235" s="269"/>
      <c r="QKR235" s="269"/>
      <c r="QKS235" s="269"/>
      <c r="QKT235" s="269"/>
      <c r="QKU235" s="269"/>
      <c r="QKV235" s="269"/>
      <c r="QKW235" s="269"/>
      <c r="QKX235" s="269"/>
      <c r="QKY235" s="269"/>
      <c r="QKZ235" s="269"/>
      <c r="QLA235" s="269"/>
      <c r="QLB235" s="269"/>
      <c r="QLC235" s="269"/>
      <c r="QLD235" s="269"/>
      <c r="QLE235" s="269"/>
      <c r="QLF235" s="269"/>
      <c r="QLG235" s="269"/>
      <c r="QLH235" s="269"/>
      <c r="QLI235" s="269"/>
      <c r="QLJ235" s="269"/>
      <c r="QLK235" s="269"/>
      <c r="QLL235" s="269"/>
      <c r="QLM235" s="269"/>
      <c r="QLN235" s="269"/>
      <c r="QLO235" s="269"/>
      <c r="QLP235" s="269"/>
      <c r="QLQ235" s="269"/>
      <c r="QLR235" s="269"/>
      <c r="QLS235" s="269"/>
      <c r="QLT235" s="269"/>
      <c r="QLU235" s="269"/>
      <c r="QLV235" s="269"/>
      <c r="QLW235" s="269"/>
      <c r="QLX235" s="269"/>
      <c r="QLY235" s="269"/>
      <c r="QLZ235" s="269"/>
      <c r="QMA235" s="269"/>
      <c r="QMB235" s="269"/>
      <c r="QMC235" s="269"/>
      <c r="QMD235" s="269"/>
      <c r="QME235" s="269"/>
      <c r="QMF235" s="269"/>
      <c r="QMG235" s="269"/>
      <c r="QMH235" s="269"/>
      <c r="QMI235" s="269"/>
      <c r="QMJ235" s="269"/>
      <c r="QMK235" s="269"/>
      <c r="QML235" s="269"/>
      <c r="QMM235" s="269"/>
      <c r="QMN235" s="269"/>
      <c r="QMO235" s="269"/>
      <c r="QMP235" s="269"/>
      <c r="QMQ235" s="269"/>
      <c r="QMR235" s="269"/>
      <c r="QMS235" s="269"/>
      <c r="QMT235" s="269"/>
      <c r="QMU235" s="269"/>
      <c r="QMV235" s="269"/>
      <c r="QMW235" s="269"/>
      <c r="QMX235" s="269"/>
      <c r="QMY235" s="269"/>
      <c r="QMZ235" s="269"/>
      <c r="QNA235" s="269"/>
      <c r="QNB235" s="269"/>
      <c r="QNC235" s="269"/>
      <c r="QND235" s="269"/>
      <c r="QNE235" s="269"/>
      <c r="QNF235" s="269"/>
      <c r="QNG235" s="269"/>
      <c r="QNH235" s="269"/>
      <c r="QNI235" s="269"/>
      <c r="QNJ235" s="269"/>
      <c r="QNK235" s="269"/>
      <c r="QNL235" s="269"/>
      <c r="QNM235" s="269"/>
      <c r="QNN235" s="269"/>
      <c r="QNO235" s="269"/>
      <c r="QNP235" s="269"/>
      <c r="QNQ235" s="269"/>
      <c r="QNR235" s="269"/>
      <c r="QNS235" s="269"/>
      <c r="QNT235" s="269"/>
      <c r="QNU235" s="269"/>
      <c r="QNV235" s="269"/>
      <c r="QNW235" s="269"/>
      <c r="QNX235" s="269"/>
      <c r="QNY235" s="269"/>
      <c r="QNZ235" s="269"/>
      <c r="QOA235" s="269"/>
      <c r="QOB235" s="269"/>
      <c r="QOC235" s="269"/>
      <c r="QOD235" s="269"/>
      <c r="QOE235" s="269"/>
      <c r="QOF235" s="269"/>
      <c r="QOG235" s="269"/>
      <c r="QOH235" s="269"/>
      <c r="QOI235" s="269"/>
      <c r="QOJ235" s="269"/>
      <c r="QOK235" s="269"/>
      <c r="QOL235" s="269"/>
      <c r="QOM235" s="269"/>
      <c r="QON235" s="269"/>
      <c r="QOO235" s="269"/>
      <c r="QOP235" s="269"/>
      <c r="QOQ235" s="269"/>
      <c r="QOR235" s="269"/>
      <c r="QOS235" s="269"/>
      <c r="QOT235" s="269"/>
      <c r="QOU235" s="269"/>
      <c r="QOV235" s="269"/>
      <c r="QOW235" s="269"/>
      <c r="QOX235" s="269"/>
      <c r="QOY235" s="269"/>
      <c r="QOZ235" s="269"/>
      <c r="QPA235" s="269"/>
      <c r="QPB235" s="269"/>
      <c r="QPC235" s="269"/>
      <c r="QPD235" s="269"/>
      <c r="QPE235" s="269"/>
      <c r="QPF235" s="269"/>
      <c r="QPG235" s="269"/>
      <c r="QPH235" s="269"/>
      <c r="QPI235" s="269"/>
      <c r="QPJ235" s="269"/>
      <c r="QPK235" s="269"/>
      <c r="QPL235" s="269"/>
      <c r="QPM235" s="269"/>
      <c r="QPN235" s="269"/>
      <c r="QPO235" s="269"/>
      <c r="QPP235" s="269"/>
      <c r="QPQ235" s="269"/>
      <c r="QPR235" s="269"/>
      <c r="QPS235" s="269"/>
      <c r="QPT235" s="269"/>
      <c r="QPU235" s="269"/>
      <c r="QPV235" s="269"/>
      <c r="QPW235" s="269"/>
      <c r="QPX235" s="269"/>
      <c r="QPY235" s="269"/>
      <c r="QPZ235" s="269"/>
      <c r="QQA235" s="269"/>
      <c r="QQB235" s="269"/>
      <c r="QQC235" s="269"/>
      <c r="QQD235" s="269"/>
      <c r="QQE235" s="269"/>
      <c r="QQF235" s="269"/>
      <c r="QQG235" s="269"/>
      <c r="QQH235" s="269"/>
      <c r="QQI235" s="269"/>
      <c r="QQJ235" s="269"/>
      <c r="QQK235" s="269"/>
      <c r="QQL235" s="269"/>
      <c r="QQM235" s="269"/>
      <c r="QQN235" s="269"/>
      <c r="QQO235" s="269"/>
      <c r="QQP235" s="269"/>
      <c r="QQQ235" s="269"/>
      <c r="QQR235" s="269"/>
      <c r="QQS235" s="269"/>
      <c r="QQT235" s="269"/>
      <c r="QQU235" s="269"/>
      <c r="QQV235" s="269"/>
      <c r="QQW235" s="269"/>
      <c r="QQX235" s="269"/>
      <c r="QQY235" s="269"/>
      <c r="QQZ235" s="269"/>
      <c r="QRA235" s="269"/>
      <c r="QRB235" s="269"/>
      <c r="QRC235" s="269"/>
      <c r="QRD235" s="269"/>
      <c r="QRE235" s="269"/>
      <c r="QRF235" s="269"/>
      <c r="QRG235" s="269"/>
      <c r="QRH235" s="269"/>
      <c r="QRI235" s="269"/>
      <c r="QRJ235" s="269"/>
      <c r="QRK235" s="269"/>
      <c r="QRL235" s="269"/>
      <c r="QRM235" s="269"/>
      <c r="QRN235" s="269"/>
      <c r="QRO235" s="269"/>
      <c r="QRP235" s="269"/>
      <c r="QRQ235" s="269"/>
      <c r="QRR235" s="269"/>
      <c r="QRS235" s="269"/>
      <c r="QRT235" s="269"/>
      <c r="QRU235" s="269"/>
      <c r="QRV235" s="269"/>
      <c r="QRW235" s="269"/>
      <c r="QRX235" s="269"/>
      <c r="QRY235" s="269"/>
      <c r="QRZ235" s="269"/>
      <c r="QSA235" s="269"/>
      <c r="QSB235" s="269"/>
      <c r="QSC235" s="269"/>
      <c r="QSD235" s="269"/>
      <c r="QSE235" s="269"/>
      <c r="QSF235" s="269"/>
      <c r="QSG235" s="269"/>
      <c r="QSH235" s="269"/>
      <c r="QSI235" s="269"/>
      <c r="QSJ235" s="269"/>
      <c r="QSK235" s="269"/>
      <c r="QSL235" s="269"/>
      <c r="QSM235" s="269"/>
      <c r="QSN235" s="269"/>
      <c r="QSO235" s="269"/>
      <c r="QSP235" s="269"/>
      <c r="QSQ235" s="269"/>
      <c r="QSR235" s="269"/>
      <c r="QSS235" s="269"/>
      <c r="QST235" s="269"/>
      <c r="QSU235" s="269"/>
      <c r="QSV235" s="269"/>
      <c r="QSW235" s="269"/>
      <c r="QSX235" s="269"/>
      <c r="QSY235" s="269"/>
      <c r="QSZ235" s="269"/>
      <c r="QTA235" s="269"/>
      <c r="QTB235" s="269"/>
      <c r="QTC235" s="269"/>
      <c r="QTD235" s="269"/>
      <c r="QTE235" s="269"/>
      <c r="QTF235" s="269"/>
      <c r="QTG235" s="269"/>
      <c r="QTH235" s="269"/>
      <c r="QTI235" s="269"/>
      <c r="QTJ235" s="269"/>
      <c r="QTK235" s="269"/>
      <c r="QTL235" s="269"/>
      <c r="QTM235" s="269"/>
      <c r="QTN235" s="269"/>
      <c r="QTO235" s="269"/>
      <c r="QTP235" s="269"/>
      <c r="QTQ235" s="269"/>
      <c r="QTR235" s="269"/>
      <c r="QTS235" s="269"/>
      <c r="QTT235" s="269"/>
      <c r="QTU235" s="269"/>
      <c r="QTV235" s="269"/>
      <c r="QTW235" s="269"/>
      <c r="QTX235" s="269"/>
      <c r="QTY235" s="269"/>
      <c r="QTZ235" s="269"/>
      <c r="QUA235" s="269"/>
      <c r="QUB235" s="269"/>
      <c r="QUC235" s="269"/>
      <c r="QUD235" s="269"/>
      <c r="QUE235" s="269"/>
      <c r="QUF235" s="269"/>
      <c r="QUG235" s="269"/>
      <c r="QUH235" s="269"/>
      <c r="QUI235" s="269"/>
      <c r="QUJ235" s="269"/>
      <c r="QUK235" s="269"/>
      <c r="QUL235" s="269"/>
      <c r="QUM235" s="269"/>
      <c r="QUN235" s="269"/>
      <c r="QUO235" s="269"/>
      <c r="QUP235" s="269"/>
      <c r="QUQ235" s="269"/>
      <c r="QUR235" s="269"/>
      <c r="QUS235" s="269"/>
      <c r="QUT235" s="269"/>
      <c r="QUU235" s="269"/>
      <c r="QUV235" s="269"/>
      <c r="QUW235" s="269"/>
      <c r="QUX235" s="269"/>
      <c r="QUY235" s="269"/>
      <c r="QUZ235" s="269"/>
      <c r="QVA235" s="269"/>
      <c r="QVB235" s="269"/>
      <c r="QVC235" s="269"/>
      <c r="QVD235" s="269"/>
      <c r="QVE235" s="269"/>
      <c r="QVF235" s="269"/>
      <c r="QVG235" s="269"/>
      <c r="QVH235" s="269"/>
      <c r="QVI235" s="269"/>
      <c r="QVJ235" s="269"/>
      <c r="QVK235" s="269"/>
      <c r="QVL235" s="269"/>
      <c r="QVM235" s="269"/>
      <c r="QVN235" s="269"/>
      <c r="QVO235" s="269"/>
      <c r="QVP235" s="269"/>
      <c r="QVQ235" s="269"/>
      <c r="QVR235" s="269"/>
      <c r="QVS235" s="269"/>
      <c r="QVT235" s="269"/>
      <c r="QVU235" s="269"/>
      <c r="QVV235" s="269"/>
      <c r="QVW235" s="269"/>
      <c r="QVX235" s="269"/>
      <c r="QVY235" s="269"/>
      <c r="QVZ235" s="269"/>
      <c r="QWA235" s="269"/>
      <c r="QWB235" s="269"/>
      <c r="QWC235" s="269"/>
      <c r="QWD235" s="269"/>
      <c r="QWE235" s="269"/>
      <c r="QWF235" s="269"/>
      <c r="QWG235" s="269"/>
      <c r="QWH235" s="269"/>
      <c r="QWI235" s="269"/>
      <c r="QWJ235" s="269"/>
      <c r="QWK235" s="269"/>
      <c r="QWL235" s="269"/>
      <c r="QWM235" s="269"/>
      <c r="QWN235" s="269"/>
      <c r="QWO235" s="269"/>
      <c r="QWP235" s="269"/>
      <c r="QWQ235" s="269"/>
      <c r="QWR235" s="269"/>
      <c r="QWS235" s="269"/>
      <c r="QWT235" s="269"/>
      <c r="QWU235" s="269"/>
      <c r="QWV235" s="269"/>
      <c r="QWW235" s="269"/>
      <c r="QWX235" s="269"/>
      <c r="QWY235" s="269"/>
      <c r="QWZ235" s="269"/>
      <c r="QXA235" s="269"/>
      <c r="QXB235" s="269"/>
      <c r="QXC235" s="269"/>
      <c r="QXD235" s="269"/>
      <c r="QXE235" s="269"/>
      <c r="QXF235" s="269"/>
      <c r="QXG235" s="269"/>
      <c r="QXH235" s="269"/>
      <c r="QXI235" s="269"/>
      <c r="QXJ235" s="269"/>
      <c r="QXK235" s="269"/>
      <c r="QXL235" s="269"/>
      <c r="QXM235" s="269"/>
      <c r="QXN235" s="269"/>
      <c r="QXO235" s="269"/>
      <c r="QXP235" s="269"/>
      <c r="QXQ235" s="269"/>
      <c r="QXR235" s="269"/>
      <c r="QXS235" s="269"/>
      <c r="QXT235" s="269"/>
      <c r="QXU235" s="269"/>
      <c r="QXV235" s="269"/>
      <c r="QXW235" s="269"/>
      <c r="QXX235" s="269"/>
      <c r="QXY235" s="269"/>
      <c r="QXZ235" s="269"/>
      <c r="QYA235" s="269"/>
      <c r="QYB235" s="269"/>
      <c r="QYC235" s="269"/>
      <c r="QYD235" s="269"/>
      <c r="QYE235" s="269"/>
      <c r="QYF235" s="269"/>
      <c r="QYG235" s="269"/>
      <c r="QYH235" s="269"/>
      <c r="QYI235" s="269"/>
      <c r="QYJ235" s="269"/>
      <c r="QYK235" s="269"/>
      <c r="QYL235" s="269"/>
      <c r="QYM235" s="269"/>
      <c r="QYN235" s="269"/>
      <c r="QYO235" s="269"/>
      <c r="QYP235" s="269"/>
      <c r="QYQ235" s="269"/>
      <c r="QYR235" s="269"/>
      <c r="QYS235" s="269"/>
      <c r="QYT235" s="269"/>
      <c r="QYU235" s="269"/>
      <c r="QYV235" s="269"/>
      <c r="QYW235" s="269"/>
      <c r="QYX235" s="269"/>
      <c r="QYY235" s="269"/>
      <c r="QYZ235" s="269"/>
      <c r="QZA235" s="269"/>
      <c r="QZB235" s="269"/>
      <c r="QZC235" s="269"/>
      <c r="QZD235" s="269"/>
      <c r="QZE235" s="269"/>
      <c r="QZF235" s="269"/>
      <c r="QZG235" s="269"/>
      <c r="QZH235" s="269"/>
      <c r="QZI235" s="269"/>
      <c r="QZJ235" s="269"/>
      <c r="QZK235" s="269"/>
      <c r="QZL235" s="269"/>
      <c r="QZM235" s="269"/>
      <c r="QZN235" s="269"/>
      <c r="QZO235" s="269"/>
      <c r="QZP235" s="269"/>
      <c r="QZQ235" s="269"/>
      <c r="QZR235" s="269"/>
      <c r="QZS235" s="269"/>
      <c r="QZT235" s="269"/>
      <c r="QZU235" s="269"/>
      <c r="QZV235" s="269"/>
      <c r="QZW235" s="269"/>
      <c r="QZX235" s="269"/>
      <c r="QZY235" s="269"/>
      <c r="QZZ235" s="269"/>
      <c r="RAA235" s="269"/>
      <c r="RAB235" s="269"/>
      <c r="RAC235" s="269"/>
      <c r="RAD235" s="269"/>
      <c r="RAE235" s="269"/>
      <c r="RAF235" s="269"/>
      <c r="RAG235" s="269"/>
      <c r="RAH235" s="269"/>
      <c r="RAI235" s="269"/>
      <c r="RAJ235" s="269"/>
      <c r="RAK235" s="269"/>
      <c r="RAL235" s="269"/>
      <c r="RAM235" s="269"/>
      <c r="RAN235" s="269"/>
      <c r="RAO235" s="269"/>
      <c r="RAP235" s="269"/>
      <c r="RAQ235" s="269"/>
      <c r="RAR235" s="269"/>
      <c r="RAS235" s="269"/>
      <c r="RAT235" s="269"/>
      <c r="RAU235" s="269"/>
      <c r="RAV235" s="269"/>
      <c r="RAW235" s="269"/>
      <c r="RAX235" s="269"/>
      <c r="RAY235" s="269"/>
      <c r="RAZ235" s="269"/>
      <c r="RBA235" s="269"/>
      <c r="RBB235" s="269"/>
      <c r="RBC235" s="269"/>
      <c r="RBD235" s="269"/>
      <c r="RBE235" s="269"/>
      <c r="RBF235" s="269"/>
      <c r="RBG235" s="269"/>
      <c r="RBH235" s="269"/>
      <c r="RBI235" s="269"/>
      <c r="RBJ235" s="269"/>
      <c r="RBK235" s="269"/>
      <c r="RBL235" s="269"/>
      <c r="RBM235" s="269"/>
      <c r="RBN235" s="269"/>
      <c r="RBO235" s="269"/>
      <c r="RBP235" s="269"/>
      <c r="RBQ235" s="269"/>
      <c r="RBR235" s="269"/>
      <c r="RBS235" s="269"/>
      <c r="RBT235" s="269"/>
      <c r="RBU235" s="269"/>
      <c r="RBV235" s="269"/>
      <c r="RBW235" s="269"/>
      <c r="RBX235" s="269"/>
      <c r="RBY235" s="269"/>
      <c r="RBZ235" s="269"/>
      <c r="RCA235" s="269"/>
      <c r="RCB235" s="269"/>
      <c r="RCC235" s="269"/>
      <c r="RCD235" s="269"/>
      <c r="RCE235" s="269"/>
      <c r="RCF235" s="269"/>
      <c r="RCG235" s="269"/>
      <c r="RCH235" s="269"/>
      <c r="RCI235" s="269"/>
      <c r="RCJ235" s="269"/>
      <c r="RCK235" s="269"/>
      <c r="RCL235" s="269"/>
      <c r="RCM235" s="269"/>
      <c r="RCN235" s="269"/>
      <c r="RCO235" s="269"/>
      <c r="RCP235" s="269"/>
      <c r="RCQ235" s="269"/>
      <c r="RCR235" s="269"/>
      <c r="RCS235" s="269"/>
      <c r="RCT235" s="269"/>
      <c r="RCU235" s="269"/>
      <c r="RCV235" s="269"/>
      <c r="RCW235" s="269"/>
      <c r="RCX235" s="269"/>
      <c r="RCY235" s="269"/>
      <c r="RCZ235" s="269"/>
      <c r="RDA235" s="269"/>
      <c r="RDB235" s="269"/>
      <c r="RDC235" s="269"/>
      <c r="RDD235" s="269"/>
      <c r="RDE235" s="269"/>
      <c r="RDF235" s="269"/>
      <c r="RDG235" s="269"/>
      <c r="RDH235" s="269"/>
      <c r="RDI235" s="269"/>
      <c r="RDJ235" s="269"/>
      <c r="RDK235" s="269"/>
      <c r="RDL235" s="269"/>
      <c r="RDM235" s="269"/>
      <c r="RDN235" s="269"/>
      <c r="RDO235" s="269"/>
      <c r="RDP235" s="269"/>
      <c r="RDQ235" s="269"/>
      <c r="RDR235" s="269"/>
      <c r="RDS235" s="269"/>
      <c r="RDT235" s="269"/>
      <c r="RDU235" s="269"/>
      <c r="RDV235" s="269"/>
      <c r="RDW235" s="269"/>
      <c r="RDX235" s="269"/>
      <c r="RDY235" s="269"/>
      <c r="RDZ235" s="269"/>
      <c r="REA235" s="269"/>
      <c r="REB235" s="269"/>
      <c r="REC235" s="269"/>
      <c r="RED235" s="269"/>
      <c r="REE235" s="269"/>
      <c r="REF235" s="269"/>
      <c r="REG235" s="269"/>
      <c r="REH235" s="269"/>
      <c r="REI235" s="269"/>
      <c r="REJ235" s="269"/>
      <c r="REK235" s="269"/>
      <c r="REL235" s="269"/>
      <c r="REM235" s="269"/>
      <c r="REN235" s="269"/>
      <c r="REO235" s="269"/>
      <c r="REP235" s="269"/>
      <c r="REQ235" s="269"/>
      <c r="RER235" s="269"/>
      <c r="RES235" s="269"/>
      <c r="RET235" s="269"/>
      <c r="REU235" s="269"/>
      <c r="REV235" s="269"/>
      <c r="REW235" s="269"/>
      <c r="REX235" s="269"/>
      <c r="REY235" s="269"/>
      <c r="REZ235" s="269"/>
      <c r="RFA235" s="269"/>
      <c r="RFB235" s="269"/>
      <c r="RFC235" s="269"/>
      <c r="RFD235" s="269"/>
      <c r="RFE235" s="269"/>
      <c r="RFF235" s="269"/>
      <c r="RFG235" s="269"/>
      <c r="RFH235" s="269"/>
      <c r="RFI235" s="269"/>
      <c r="RFJ235" s="269"/>
      <c r="RFK235" s="269"/>
      <c r="RFL235" s="269"/>
      <c r="RFM235" s="269"/>
      <c r="RFN235" s="269"/>
      <c r="RFO235" s="269"/>
      <c r="RFP235" s="269"/>
      <c r="RFQ235" s="269"/>
      <c r="RFR235" s="269"/>
      <c r="RFS235" s="269"/>
      <c r="RFT235" s="269"/>
      <c r="RFU235" s="269"/>
      <c r="RFV235" s="269"/>
      <c r="RFW235" s="269"/>
      <c r="RFX235" s="269"/>
      <c r="RFY235" s="269"/>
      <c r="RFZ235" s="269"/>
      <c r="RGA235" s="269"/>
      <c r="RGB235" s="269"/>
      <c r="RGC235" s="269"/>
      <c r="RGD235" s="269"/>
      <c r="RGE235" s="269"/>
      <c r="RGF235" s="269"/>
      <c r="RGG235" s="269"/>
      <c r="RGH235" s="269"/>
      <c r="RGI235" s="269"/>
      <c r="RGJ235" s="269"/>
      <c r="RGK235" s="269"/>
      <c r="RGL235" s="269"/>
      <c r="RGM235" s="269"/>
      <c r="RGN235" s="269"/>
      <c r="RGO235" s="269"/>
      <c r="RGP235" s="269"/>
      <c r="RGQ235" s="269"/>
      <c r="RGR235" s="269"/>
      <c r="RGS235" s="269"/>
      <c r="RGT235" s="269"/>
      <c r="RGU235" s="269"/>
      <c r="RGV235" s="269"/>
      <c r="RGW235" s="269"/>
      <c r="RGX235" s="269"/>
      <c r="RGY235" s="269"/>
      <c r="RGZ235" s="269"/>
      <c r="RHA235" s="269"/>
      <c r="RHB235" s="269"/>
      <c r="RHC235" s="269"/>
      <c r="RHD235" s="269"/>
      <c r="RHE235" s="269"/>
      <c r="RHF235" s="269"/>
      <c r="RHG235" s="269"/>
      <c r="RHH235" s="269"/>
      <c r="RHI235" s="269"/>
      <c r="RHJ235" s="269"/>
      <c r="RHK235" s="269"/>
      <c r="RHL235" s="269"/>
      <c r="RHM235" s="269"/>
      <c r="RHN235" s="269"/>
      <c r="RHO235" s="269"/>
      <c r="RHP235" s="269"/>
      <c r="RHQ235" s="269"/>
      <c r="RHR235" s="269"/>
      <c r="RHS235" s="269"/>
      <c r="RHT235" s="269"/>
      <c r="RHU235" s="269"/>
      <c r="RHV235" s="269"/>
      <c r="RHW235" s="269"/>
      <c r="RHX235" s="269"/>
      <c r="RHY235" s="269"/>
      <c r="RHZ235" s="269"/>
      <c r="RIA235" s="269"/>
      <c r="RIB235" s="269"/>
      <c r="RIC235" s="269"/>
      <c r="RID235" s="269"/>
      <c r="RIE235" s="269"/>
      <c r="RIF235" s="269"/>
      <c r="RIG235" s="269"/>
      <c r="RIH235" s="269"/>
      <c r="RII235" s="269"/>
      <c r="RIJ235" s="269"/>
      <c r="RIK235" s="269"/>
      <c r="RIL235" s="269"/>
      <c r="RIM235" s="269"/>
      <c r="RIN235" s="269"/>
      <c r="RIO235" s="269"/>
      <c r="RIP235" s="269"/>
      <c r="RIQ235" s="269"/>
      <c r="RIR235" s="269"/>
      <c r="RIS235" s="269"/>
      <c r="RIT235" s="269"/>
      <c r="RIU235" s="269"/>
      <c r="RIV235" s="269"/>
      <c r="RIW235" s="269"/>
      <c r="RIX235" s="269"/>
      <c r="RIY235" s="269"/>
      <c r="RIZ235" s="269"/>
      <c r="RJA235" s="269"/>
      <c r="RJB235" s="269"/>
      <c r="RJC235" s="269"/>
      <c r="RJD235" s="269"/>
      <c r="RJE235" s="269"/>
      <c r="RJF235" s="269"/>
      <c r="RJG235" s="269"/>
      <c r="RJH235" s="269"/>
      <c r="RJI235" s="269"/>
      <c r="RJJ235" s="269"/>
      <c r="RJK235" s="269"/>
      <c r="RJL235" s="269"/>
      <c r="RJM235" s="269"/>
      <c r="RJN235" s="269"/>
      <c r="RJO235" s="269"/>
      <c r="RJP235" s="269"/>
      <c r="RJQ235" s="269"/>
      <c r="RJR235" s="269"/>
      <c r="RJS235" s="269"/>
      <c r="RJT235" s="269"/>
      <c r="RJU235" s="269"/>
      <c r="RJV235" s="269"/>
      <c r="RJW235" s="269"/>
      <c r="RJX235" s="269"/>
      <c r="RJY235" s="269"/>
      <c r="RJZ235" s="269"/>
      <c r="RKA235" s="269"/>
      <c r="RKB235" s="269"/>
      <c r="RKC235" s="269"/>
      <c r="RKD235" s="269"/>
      <c r="RKE235" s="269"/>
      <c r="RKF235" s="269"/>
      <c r="RKG235" s="269"/>
      <c r="RKH235" s="269"/>
      <c r="RKI235" s="269"/>
      <c r="RKJ235" s="269"/>
      <c r="RKK235" s="269"/>
      <c r="RKL235" s="269"/>
      <c r="RKM235" s="269"/>
      <c r="RKN235" s="269"/>
      <c r="RKO235" s="269"/>
      <c r="RKP235" s="269"/>
      <c r="RKQ235" s="269"/>
      <c r="RKR235" s="269"/>
      <c r="RKS235" s="269"/>
      <c r="RKT235" s="269"/>
      <c r="RKU235" s="269"/>
      <c r="RKV235" s="269"/>
      <c r="RKW235" s="269"/>
      <c r="RKX235" s="269"/>
      <c r="RKY235" s="269"/>
      <c r="RKZ235" s="269"/>
      <c r="RLA235" s="269"/>
      <c r="RLB235" s="269"/>
      <c r="RLC235" s="269"/>
      <c r="RLD235" s="269"/>
      <c r="RLE235" s="269"/>
      <c r="RLF235" s="269"/>
      <c r="RLG235" s="269"/>
      <c r="RLH235" s="269"/>
      <c r="RLI235" s="269"/>
      <c r="RLJ235" s="269"/>
      <c r="RLK235" s="269"/>
      <c r="RLL235" s="269"/>
      <c r="RLM235" s="269"/>
      <c r="RLN235" s="269"/>
      <c r="RLO235" s="269"/>
      <c r="RLP235" s="269"/>
      <c r="RLQ235" s="269"/>
      <c r="RLR235" s="269"/>
      <c r="RLS235" s="269"/>
      <c r="RLT235" s="269"/>
      <c r="RLU235" s="269"/>
      <c r="RLV235" s="269"/>
      <c r="RLW235" s="269"/>
      <c r="RLX235" s="269"/>
      <c r="RLY235" s="269"/>
      <c r="RLZ235" s="269"/>
      <c r="RMA235" s="269"/>
      <c r="RMB235" s="269"/>
      <c r="RMC235" s="269"/>
      <c r="RMD235" s="269"/>
      <c r="RME235" s="269"/>
      <c r="RMF235" s="269"/>
      <c r="RMG235" s="269"/>
      <c r="RMH235" s="269"/>
      <c r="RMI235" s="269"/>
      <c r="RMJ235" s="269"/>
      <c r="RMK235" s="269"/>
      <c r="RML235" s="269"/>
      <c r="RMM235" s="269"/>
      <c r="RMN235" s="269"/>
      <c r="RMO235" s="269"/>
      <c r="RMP235" s="269"/>
      <c r="RMQ235" s="269"/>
      <c r="RMR235" s="269"/>
      <c r="RMS235" s="269"/>
      <c r="RMT235" s="269"/>
      <c r="RMU235" s="269"/>
      <c r="RMV235" s="269"/>
      <c r="RMW235" s="269"/>
      <c r="RMX235" s="269"/>
      <c r="RMY235" s="269"/>
      <c r="RMZ235" s="269"/>
      <c r="RNA235" s="269"/>
      <c r="RNB235" s="269"/>
      <c r="RNC235" s="269"/>
      <c r="RND235" s="269"/>
      <c r="RNE235" s="269"/>
      <c r="RNF235" s="269"/>
      <c r="RNG235" s="269"/>
      <c r="RNH235" s="269"/>
      <c r="RNI235" s="269"/>
      <c r="RNJ235" s="269"/>
      <c r="RNK235" s="269"/>
      <c r="RNL235" s="269"/>
      <c r="RNM235" s="269"/>
      <c r="RNN235" s="269"/>
      <c r="RNO235" s="269"/>
      <c r="RNP235" s="269"/>
      <c r="RNQ235" s="269"/>
      <c r="RNR235" s="269"/>
      <c r="RNS235" s="269"/>
      <c r="RNT235" s="269"/>
      <c r="RNU235" s="269"/>
      <c r="RNV235" s="269"/>
      <c r="RNW235" s="269"/>
      <c r="RNX235" s="269"/>
      <c r="RNY235" s="269"/>
      <c r="RNZ235" s="269"/>
      <c r="ROA235" s="269"/>
      <c r="ROB235" s="269"/>
      <c r="ROC235" s="269"/>
      <c r="ROD235" s="269"/>
      <c r="ROE235" s="269"/>
      <c r="ROF235" s="269"/>
      <c r="ROG235" s="269"/>
      <c r="ROH235" s="269"/>
      <c r="ROI235" s="269"/>
      <c r="ROJ235" s="269"/>
      <c r="ROK235" s="269"/>
      <c r="ROL235" s="269"/>
      <c r="ROM235" s="269"/>
      <c r="RON235" s="269"/>
      <c r="ROO235" s="269"/>
      <c r="ROP235" s="269"/>
      <c r="ROQ235" s="269"/>
      <c r="ROR235" s="269"/>
      <c r="ROS235" s="269"/>
      <c r="ROT235" s="269"/>
      <c r="ROU235" s="269"/>
      <c r="ROV235" s="269"/>
      <c r="ROW235" s="269"/>
      <c r="ROX235" s="269"/>
      <c r="ROY235" s="269"/>
      <c r="ROZ235" s="269"/>
      <c r="RPA235" s="269"/>
      <c r="RPB235" s="269"/>
      <c r="RPC235" s="269"/>
      <c r="RPD235" s="269"/>
      <c r="RPE235" s="269"/>
      <c r="RPF235" s="269"/>
      <c r="RPG235" s="269"/>
      <c r="RPH235" s="269"/>
      <c r="RPI235" s="269"/>
      <c r="RPJ235" s="269"/>
      <c r="RPK235" s="269"/>
      <c r="RPL235" s="269"/>
      <c r="RPM235" s="269"/>
      <c r="RPN235" s="269"/>
      <c r="RPO235" s="269"/>
      <c r="RPP235" s="269"/>
      <c r="RPQ235" s="269"/>
      <c r="RPR235" s="269"/>
      <c r="RPS235" s="269"/>
      <c r="RPT235" s="269"/>
      <c r="RPU235" s="269"/>
      <c r="RPV235" s="269"/>
      <c r="RPW235" s="269"/>
      <c r="RPX235" s="269"/>
      <c r="RPY235" s="269"/>
      <c r="RPZ235" s="269"/>
      <c r="RQA235" s="269"/>
      <c r="RQB235" s="269"/>
      <c r="RQC235" s="269"/>
      <c r="RQD235" s="269"/>
      <c r="RQE235" s="269"/>
      <c r="RQF235" s="269"/>
      <c r="RQG235" s="269"/>
      <c r="RQH235" s="269"/>
      <c r="RQI235" s="269"/>
      <c r="RQJ235" s="269"/>
      <c r="RQK235" s="269"/>
      <c r="RQL235" s="269"/>
      <c r="RQM235" s="269"/>
      <c r="RQN235" s="269"/>
      <c r="RQO235" s="269"/>
      <c r="RQP235" s="269"/>
      <c r="RQQ235" s="269"/>
      <c r="RQR235" s="269"/>
      <c r="RQS235" s="269"/>
      <c r="RQT235" s="269"/>
      <c r="RQU235" s="269"/>
      <c r="RQV235" s="269"/>
      <c r="RQW235" s="269"/>
      <c r="RQX235" s="269"/>
      <c r="RQY235" s="269"/>
      <c r="RQZ235" s="269"/>
      <c r="RRA235" s="269"/>
      <c r="RRB235" s="269"/>
      <c r="RRC235" s="269"/>
      <c r="RRD235" s="269"/>
      <c r="RRE235" s="269"/>
      <c r="RRF235" s="269"/>
      <c r="RRG235" s="269"/>
      <c r="RRH235" s="269"/>
      <c r="RRI235" s="269"/>
      <c r="RRJ235" s="269"/>
      <c r="RRK235" s="269"/>
      <c r="RRL235" s="269"/>
      <c r="RRM235" s="269"/>
      <c r="RRN235" s="269"/>
      <c r="RRO235" s="269"/>
      <c r="RRP235" s="269"/>
      <c r="RRQ235" s="269"/>
      <c r="RRR235" s="269"/>
      <c r="RRS235" s="269"/>
      <c r="RRT235" s="269"/>
      <c r="RRU235" s="269"/>
      <c r="RRV235" s="269"/>
      <c r="RRW235" s="269"/>
      <c r="RRX235" s="269"/>
      <c r="RRY235" s="269"/>
      <c r="RRZ235" s="269"/>
      <c r="RSA235" s="269"/>
      <c r="RSB235" s="269"/>
      <c r="RSC235" s="269"/>
      <c r="RSD235" s="269"/>
      <c r="RSE235" s="269"/>
      <c r="RSF235" s="269"/>
      <c r="RSG235" s="269"/>
      <c r="RSH235" s="269"/>
      <c r="RSI235" s="269"/>
      <c r="RSJ235" s="269"/>
      <c r="RSK235" s="269"/>
      <c r="RSL235" s="269"/>
      <c r="RSM235" s="269"/>
      <c r="RSN235" s="269"/>
      <c r="RSO235" s="269"/>
      <c r="RSP235" s="269"/>
      <c r="RSQ235" s="269"/>
      <c r="RSR235" s="269"/>
      <c r="RSS235" s="269"/>
      <c r="RST235" s="269"/>
      <c r="RSU235" s="269"/>
      <c r="RSV235" s="269"/>
      <c r="RSW235" s="269"/>
      <c r="RSX235" s="269"/>
      <c r="RSY235" s="269"/>
      <c r="RSZ235" s="269"/>
      <c r="RTA235" s="269"/>
      <c r="RTB235" s="269"/>
      <c r="RTC235" s="269"/>
      <c r="RTD235" s="269"/>
      <c r="RTE235" s="269"/>
      <c r="RTF235" s="269"/>
      <c r="RTG235" s="269"/>
      <c r="RTH235" s="269"/>
      <c r="RTI235" s="269"/>
      <c r="RTJ235" s="269"/>
      <c r="RTK235" s="269"/>
      <c r="RTL235" s="269"/>
      <c r="RTM235" s="269"/>
      <c r="RTN235" s="269"/>
      <c r="RTO235" s="269"/>
      <c r="RTP235" s="269"/>
      <c r="RTQ235" s="269"/>
      <c r="RTR235" s="269"/>
      <c r="RTS235" s="269"/>
      <c r="RTT235" s="269"/>
      <c r="RTU235" s="269"/>
      <c r="RTV235" s="269"/>
      <c r="RTW235" s="269"/>
      <c r="RTX235" s="269"/>
      <c r="RTY235" s="269"/>
      <c r="RTZ235" s="269"/>
      <c r="RUA235" s="269"/>
      <c r="RUB235" s="269"/>
      <c r="RUC235" s="269"/>
      <c r="RUD235" s="269"/>
      <c r="RUE235" s="269"/>
      <c r="RUF235" s="269"/>
      <c r="RUG235" s="269"/>
      <c r="RUH235" s="269"/>
      <c r="RUI235" s="269"/>
      <c r="RUJ235" s="269"/>
      <c r="RUK235" s="269"/>
      <c r="RUL235" s="269"/>
      <c r="RUM235" s="269"/>
      <c r="RUN235" s="269"/>
      <c r="RUO235" s="269"/>
      <c r="RUP235" s="269"/>
      <c r="RUQ235" s="269"/>
      <c r="RUR235" s="269"/>
      <c r="RUS235" s="269"/>
      <c r="RUT235" s="269"/>
      <c r="RUU235" s="269"/>
      <c r="RUV235" s="269"/>
      <c r="RUW235" s="269"/>
      <c r="RUX235" s="269"/>
      <c r="RUY235" s="269"/>
      <c r="RUZ235" s="269"/>
      <c r="RVA235" s="269"/>
      <c r="RVB235" s="269"/>
      <c r="RVC235" s="269"/>
      <c r="RVD235" s="269"/>
      <c r="RVE235" s="269"/>
      <c r="RVF235" s="269"/>
      <c r="RVG235" s="269"/>
      <c r="RVH235" s="269"/>
      <c r="RVI235" s="269"/>
      <c r="RVJ235" s="269"/>
      <c r="RVK235" s="269"/>
      <c r="RVL235" s="269"/>
      <c r="RVM235" s="269"/>
      <c r="RVN235" s="269"/>
      <c r="RVO235" s="269"/>
      <c r="RVP235" s="269"/>
      <c r="RVQ235" s="269"/>
      <c r="RVR235" s="269"/>
      <c r="RVS235" s="269"/>
      <c r="RVT235" s="269"/>
      <c r="RVU235" s="269"/>
      <c r="RVV235" s="269"/>
      <c r="RVW235" s="269"/>
      <c r="RVX235" s="269"/>
      <c r="RVY235" s="269"/>
      <c r="RVZ235" s="269"/>
      <c r="RWA235" s="269"/>
      <c r="RWB235" s="269"/>
      <c r="RWC235" s="269"/>
      <c r="RWD235" s="269"/>
      <c r="RWE235" s="269"/>
      <c r="RWF235" s="269"/>
      <c r="RWG235" s="269"/>
      <c r="RWH235" s="269"/>
      <c r="RWI235" s="269"/>
      <c r="RWJ235" s="269"/>
      <c r="RWK235" s="269"/>
      <c r="RWL235" s="269"/>
      <c r="RWM235" s="269"/>
      <c r="RWN235" s="269"/>
      <c r="RWO235" s="269"/>
      <c r="RWP235" s="269"/>
      <c r="RWQ235" s="269"/>
      <c r="RWR235" s="269"/>
      <c r="RWS235" s="269"/>
      <c r="RWT235" s="269"/>
      <c r="RWU235" s="269"/>
      <c r="RWV235" s="269"/>
      <c r="RWW235" s="269"/>
      <c r="RWX235" s="269"/>
      <c r="RWY235" s="269"/>
      <c r="RWZ235" s="269"/>
      <c r="RXA235" s="269"/>
      <c r="RXB235" s="269"/>
      <c r="RXC235" s="269"/>
      <c r="RXD235" s="269"/>
      <c r="RXE235" s="269"/>
      <c r="RXF235" s="269"/>
      <c r="RXG235" s="269"/>
      <c r="RXH235" s="269"/>
      <c r="RXI235" s="269"/>
      <c r="RXJ235" s="269"/>
      <c r="RXK235" s="269"/>
      <c r="RXL235" s="269"/>
      <c r="RXM235" s="269"/>
      <c r="RXN235" s="269"/>
      <c r="RXO235" s="269"/>
      <c r="RXP235" s="269"/>
      <c r="RXQ235" s="269"/>
      <c r="RXR235" s="269"/>
      <c r="RXS235" s="269"/>
      <c r="RXT235" s="269"/>
      <c r="RXU235" s="269"/>
      <c r="RXV235" s="269"/>
      <c r="RXW235" s="269"/>
      <c r="RXX235" s="269"/>
      <c r="RXY235" s="269"/>
      <c r="RXZ235" s="269"/>
      <c r="RYA235" s="269"/>
      <c r="RYB235" s="269"/>
      <c r="RYC235" s="269"/>
      <c r="RYD235" s="269"/>
      <c r="RYE235" s="269"/>
      <c r="RYF235" s="269"/>
      <c r="RYG235" s="269"/>
      <c r="RYH235" s="269"/>
      <c r="RYI235" s="269"/>
      <c r="RYJ235" s="269"/>
      <c r="RYK235" s="269"/>
      <c r="RYL235" s="269"/>
      <c r="RYM235" s="269"/>
      <c r="RYN235" s="269"/>
      <c r="RYO235" s="269"/>
      <c r="RYP235" s="269"/>
      <c r="RYQ235" s="269"/>
      <c r="RYR235" s="269"/>
      <c r="RYS235" s="269"/>
      <c r="RYT235" s="269"/>
      <c r="RYU235" s="269"/>
      <c r="RYV235" s="269"/>
      <c r="RYW235" s="269"/>
      <c r="RYX235" s="269"/>
      <c r="RYY235" s="269"/>
      <c r="RYZ235" s="269"/>
      <c r="RZA235" s="269"/>
      <c r="RZB235" s="269"/>
      <c r="RZC235" s="269"/>
      <c r="RZD235" s="269"/>
      <c r="RZE235" s="269"/>
      <c r="RZF235" s="269"/>
      <c r="RZG235" s="269"/>
      <c r="RZH235" s="269"/>
      <c r="RZI235" s="269"/>
      <c r="RZJ235" s="269"/>
      <c r="RZK235" s="269"/>
      <c r="RZL235" s="269"/>
      <c r="RZM235" s="269"/>
      <c r="RZN235" s="269"/>
      <c r="RZO235" s="269"/>
      <c r="RZP235" s="269"/>
      <c r="RZQ235" s="269"/>
      <c r="RZR235" s="269"/>
      <c r="RZS235" s="269"/>
      <c r="RZT235" s="269"/>
      <c r="RZU235" s="269"/>
      <c r="RZV235" s="269"/>
      <c r="RZW235" s="269"/>
      <c r="RZX235" s="269"/>
      <c r="RZY235" s="269"/>
      <c r="RZZ235" s="269"/>
      <c r="SAA235" s="269"/>
      <c r="SAB235" s="269"/>
      <c r="SAC235" s="269"/>
      <c r="SAD235" s="269"/>
      <c r="SAE235" s="269"/>
      <c r="SAF235" s="269"/>
      <c r="SAG235" s="269"/>
      <c r="SAH235" s="269"/>
      <c r="SAI235" s="269"/>
      <c r="SAJ235" s="269"/>
      <c r="SAK235" s="269"/>
      <c r="SAL235" s="269"/>
      <c r="SAM235" s="269"/>
      <c r="SAN235" s="269"/>
      <c r="SAO235" s="269"/>
      <c r="SAP235" s="269"/>
      <c r="SAQ235" s="269"/>
      <c r="SAR235" s="269"/>
      <c r="SAS235" s="269"/>
      <c r="SAT235" s="269"/>
      <c r="SAU235" s="269"/>
      <c r="SAV235" s="269"/>
      <c r="SAW235" s="269"/>
      <c r="SAX235" s="269"/>
      <c r="SAY235" s="269"/>
      <c r="SAZ235" s="269"/>
      <c r="SBA235" s="269"/>
      <c r="SBB235" s="269"/>
      <c r="SBC235" s="269"/>
      <c r="SBD235" s="269"/>
      <c r="SBE235" s="269"/>
      <c r="SBF235" s="269"/>
      <c r="SBG235" s="269"/>
      <c r="SBH235" s="269"/>
      <c r="SBI235" s="269"/>
      <c r="SBJ235" s="269"/>
      <c r="SBK235" s="269"/>
      <c r="SBL235" s="269"/>
      <c r="SBM235" s="269"/>
      <c r="SBN235" s="269"/>
      <c r="SBO235" s="269"/>
      <c r="SBP235" s="269"/>
      <c r="SBQ235" s="269"/>
      <c r="SBR235" s="269"/>
      <c r="SBS235" s="269"/>
      <c r="SBT235" s="269"/>
      <c r="SBU235" s="269"/>
      <c r="SBV235" s="269"/>
      <c r="SBW235" s="269"/>
      <c r="SBX235" s="269"/>
      <c r="SBY235" s="269"/>
      <c r="SBZ235" s="269"/>
      <c r="SCA235" s="269"/>
      <c r="SCB235" s="269"/>
      <c r="SCC235" s="269"/>
      <c r="SCD235" s="269"/>
      <c r="SCE235" s="269"/>
      <c r="SCF235" s="269"/>
      <c r="SCG235" s="269"/>
      <c r="SCH235" s="269"/>
      <c r="SCI235" s="269"/>
      <c r="SCJ235" s="269"/>
      <c r="SCK235" s="269"/>
      <c r="SCL235" s="269"/>
      <c r="SCM235" s="269"/>
      <c r="SCN235" s="269"/>
      <c r="SCO235" s="269"/>
      <c r="SCP235" s="269"/>
      <c r="SCQ235" s="269"/>
      <c r="SCR235" s="269"/>
      <c r="SCS235" s="269"/>
      <c r="SCT235" s="269"/>
      <c r="SCU235" s="269"/>
      <c r="SCV235" s="269"/>
      <c r="SCW235" s="269"/>
      <c r="SCX235" s="269"/>
      <c r="SCY235" s="269"/>
      <c r="SCZ235" s="269"/>
      <c r="SDA235" s="269"/>
      <c r="SDB235" s="269"/>
      <c r="SDC235" s="269"/>
      <c r="SDD235" s="269"/>
      <c r="SDE235" s="269"/>
      <c r="SDF235" s="269"/>
      <c r="SDG235" s="269"/>
      <c r="SDH235" s="269"/>
      <c r="SDI235" s="269"/>
      <c r="SDJ235" s="269"/>
      <c r="SDK235" s="269"/>
      <c r="SDL235" s="269"/>
      <c r="SDM235" s="269"/>
      <c r="SDN235" s="269"/>
      <c r="SDO235" s="269"/>
      <c r="SDP235" s="269"/>
      <c r="SDQ235" s="269"/>
      <c r="SDR235" s="269"/>
      <c r="SDS235" s="269"/>
      <c r="SDT235" s="269"/>
      <c r="SDU235" s="269"/>
      <c r="SDV235" s="269"/>
      <c r="SDW235" s="269"/>
      <c r="SDX235" s="269"/>
      <c r="SDY235" s="269"/>
      <c r="SDZ235" s="269"/>
      <c r="SEA235" s="269"/>
      <c r="SEB235" s="269"/>
      <c r="SEC235" s="269"/>
      <c r="SED235" s="269"/>
      <c r="SEE235" s="269"/>
      <c r="SEF235" s="269"/>
      <c r="SEG235" s="269"/>
      <c r="SEH235" s="269"/>
      <c r="SEI235" s="269"/>
      <c r="SEJ235" s="269"/>
      <c r="SEK235" s="269"/>
      <c r="SEL235" s="269"/>
      <c r="SEM235" s="269"/>
      <c r="SEN235" s="269"/>
      <c r="SEO235" s="269"/>
      <c r="SEP235" s="269"/>
      <c r="SEQ235" s="269"/>
      <c r="SER235" s="269"/>
      <c r="SES235" s="269"/>
      <c r="SET235" s="269"/>
      <c r="SEU235" s="269"/>
      <c r="SEV235" s="269"/>
      <c r="SEW235" s="269"/>
      <c r="SEX235" s="269"/>
      <c r="SEY235" s="269"/>
      <c r="SEZ235" s="269"/>
      <c r="SFA235" s="269"/>
      <c r="SFB235" s="269"/>
      <c r="SFC235" s="269"/>
      <c r="SFD235" s="269"/>
      <c r="SFE235" s="269"/>
      <c r="SFF235" s="269"/>
      <c r="SFG235" s="269"/>
      <c r="SFH235" s="269"/>
      <c r="SFI235" s="269"/>
      <c r="SFJ235" s="269"/>
      <c r="SFK235" s="269"/>
      <c r="SFL235" s="269"/>
      <c r="SFM235" s="269"/>
      <c r="SFN235" s="269"/>
      <c r="SFO235" s="269"/>
      <c r="SFP235" s="269"/>
      <c r="SFQ235" s="269"/>
      <c r="SFR235" s="269"/>
      <c r="SFS235" s="269"/>
      <c r="SFT235" s="269"/>
      <c r="SFU235" s="269"/>
      <c r="SFV235" s="269"/>
      <c r="SFW235" s="269"/>
      <c r="SFX235" s="269"/>
      <c r="SFY235" s="269"/>
      <c r="SFZ235" s="269"/>
      <c r="SGA235" s="269"/>
      <c r="SGB235" s="269"/>
      <c r="SGC235" s="269"/>
      <c r="SGD235" s="269"/>
      <c r="SGE235" s="269"/>
      <c r="SGF235" s="269"/>
      <c r="SGG235" s="269"/>
      <c r="SGH235" s="269"/>
      <c r="SGI235" s="269"/>
      <c r="SGJ235" s="269"/>
      <c r="SGK235" s="269"/>
      <c r="SGL235" s="269"/>
      <c r="SGM235" s="269"/>
      <c r="SGN235" s="269"/>
      <c r="SGO235" s="269"/>
      <c r="SGP235" s="269"/>
      <c r="SGQ235" s="269"/>
      <c r="SGR235" s="269"/>
      <c r="SGS235" s="269"/>
      <c r="SGT235" s="269"/>
      <c r="SGU235" s="269"/>
      <c r="SGV235" s="269"/>
      <c r="SGW235" s="269"/>
      <c r="SGX235" s="269"/>
      <c r="SGY235" s="269"/>
      <c r="SGZ235" s="269"/>
      <c r="SHA235" s="269"/>
      <c r="SHB235" s="269"/>
      <c r="SHC235" s="269"/>
      <c r="SHD235" s="269"/>
      <c r="SHE235" s="269"/>
      <c r="SHF235" s="269"/>
      <c r="SHG235" s="269"/>
      <c r="SHH235" s="269"/>
      <c r="SHI235" s="269"/>
      <c r="SHJ235" s="269"/>
      <c r="SHK235" s="269"/>
      <c r="SHL235" s="269"/>
      <c r="SHM235" s="269"/>
      <c r="SHN235" s="269"/>
      <c r="SHO235" s="269"/>
      <c r="SHP235" s="269"/>
      <c r="SHQ235" s="269"/>
      <c r="SHR235" s="269"/>
      <c r="SHS235" s="269"/>
      <c r="SHT235" s="269"/>
      <c r="SHU235" s="269"/>
      <c r="SHV235" s="269"/>
      <c r="SHW235" s="269"/>
      <c r="SHX235" s="269"/>
      <c r="SHY235" s="269"/>
      <c r="SHZ235" s="269"/>
      <c r="SIA235" s="269"/>
      <c r="SIB235" s="269"/>
      <c r="SIC235" s="269"/>
      <c r="SID235" s="269"/>
      <c r="SIE235" s="269"/>
      <c r="SIF235" s="269"/>
      <c r="SIG235" s="269"/>
      <c r="SIH235" s="269"/>
      <c r="SII235" s="269"/>
      <c r="SIJ235" s="269"/>
      <c r="SIK235" s="269"/>
      <c r="SIL235" s="269"/>
      <c r="SIM235" s="269"/>
      <c r="SIN235" s="269"/>
      <c r="SIO235" s="269"/>
      <c r="SIP235" s="269"/>
      <c r="SIQ235" s="269"/>
      <c r="SIR235" s="269"/>
      <c r="SIS235" s="269"/>
      <c r="SIT235" s="269"/>
      <c r="SIU235" s="269"/>
      <c r="SIV235" s="269"/>
      <c r="SIW235" s="269"/>
      <c r="SIX235" s="269"/>
      <c r="SIY235" s="269"/>
      <c r="SIZ235" s="269"/>
      <c r="SJA235" s="269"/>
      <c r="SJB235" s="269"/>
      <c r="SJC235" s="269"/>
      <c r="SJD235" s="269"/>
      <c r="SJE235" s="269"/>
      <c r="SJF235" s="269"/>
      <c r="SJG235" s="269"/>
      <c r="SJH235" s="269"/>
      <c r="SJI235" s="269"/>
      <c r="SJJ235" s="269"/>
      <c r="SJK235" s="269"/>
      <c r="SJL235" s="269"/>
      <c r="SJM235" s="269"/>
      <c r="SJN235" s="269"/>
      <c r="SJO235" s="269"/>
      <c r="SJP235" s="269"/>
      <c r="SJQ235" s="269"/>
      <c r="SJR235" s="269"/>
      <c r="SJS235" s="269"/>
      <c r="SJT235" s="269"/>
      <c r="SJU235" s="269"/>
      <c r="SJV235" s="269"/>
      <c r="SJW235" s="269"/>
      <c r="SJX235" s="269"/>
      <c r="SJY235" s="269"/>
      <c r="SJZ235" s="269"/>
      <c r="SKA235" s="269"/>
      <c r="SKB235" s="269"/>
      <c r="SKC235" s="269"/>
      <c r="SKD235" s="269"/>
      <c r="SKE235" s="269"/>
      <c r="SKF235" s="269"/>
      <c r="SKG235" s="269"/>
      <c r="SKH235" s="269"/>
      <c r="SKI235" s="269"/>
      <c r="SKJ235" s="269"/>
      <c r="SKK235" s="269"/>
      <c r="SKL235" s="269"/>
      <c r="SKM235" s="269"/>
      <c r="SKN235" s="269"/>
      <c r="SKO235" s="269"/>
      <c r="SKP235" s="269"/>
      <c r="SKQ235" s="269"/>
      <c r="SKR235" s="269"/>
      <c r="SKS235" s="269"/>
      <c r="SKT235" s="269"/>
      <c r="SKU235" s="269"/>
      <c r="SKV235" s="269"/>
      <c r="SKW235" s="269"/>
      <c r="SKX235" s="269"/>
      <c r="SKY235" s="269"/>
      <c r="SKZ235" s="269"/>
      <c r="SLA235" s="269"/>
      <c r="SLB235" s="269"/>
      <c r="SLC235" s="269"/>
      <c r="SLD235" s="269"/>
      <c r="SLE235" s="269"/>
      <c r="SLF235" s="269"/>
      <c r="SLG235" s="269"/>
      <c r="SLH235" s="269"/>
      <c r="SLI235" s="269"/>
      <c r="SLJ235" s="269"/>
      <c r="SLK235" s="269"/>
      <c r="SLL235" s="269"/>
      <c r="SLM235" s="269"/>
      <c r="SLN235" s="269"/>
      <c r="SLO235" s="269"/>
      <c r="SLP235" s="269"/>
      <c r="SLQ235" s="269"/>
      <c r="SLR235" s="269"/>
      <c r="SLS235" s="269"/>
      <c r="SLT235" s="269"/>
      <c r="SLU235" s="269"/>
      <c r="SLV235" s="269"/>
      <c r="SLW235" s="269"/>
      <c r="SLX235" s="269"/>
      <c r="SLY235" s="269"/>
      <c r="SLZ235" s="269"/>
      <c r="SMA235" s="269"/>
      <c r="SMB235" s="269"/>
      <c r="SMC235" s="269"/>
      <c r="SMD235" s="269"/>
      <c r="SME235" s="269"/>
      <c r="SMF235" s="269"/>
      <c r="SMG235" s="269"/>
      <c r="SMH235" s="269"/>
      <c r="SMI235" s="269"/>
      <c r="SMJ235" s="269"/>
      <c r="SMK235" s="269"/>
      <c r="SML235" s="269"/>
      <c r="SMM235" s="269"/>
      <c r="SMN235" s="269"/>
      <c r="SMO235" s="269"/>
      <c r="SMP235" s="269"/>
      <c r="SMQ235" s="269"/>
      <c r="SMR235" s="269"/>
      <c r="SMS235" s="269"/>
      <c r="SMT235" s="269"/>
      <c r="SMU235" s="269"/>
      <c r="SMV235" s="269"/>
      <c r="SMW235" s="269"/>
      <c r="SMX235" s="269"/>
      <c r="SMY235" s="269"/>
      <c r="SMZ235" s="269"/>
      <c r="SNA235" s="269"/>
      <c r="SNB235" s="269"/>
      <c r="SNC235" s="269"/>
      <c r="SND235" s="269"/>
      <c r="SNE235" s="269"/>
      <c r="SNF235" s="269"/>
      <c r="SNG235" s="269"/>
      <c r="SNH235" s="269"/>
      <c r="SNI235" s="269"/>
      <c r="SNJ235" s="269"/>
      <c r="SNK235" s="269"/>
      <c r="SNL235" s="269"/>
      <c r="SNM235" s="269"/>
      <c r="SNN235" s="269"/>
      <c r="SNO235" s="269"/>
      <c r="SNP235" s="269"/>
      <c r="SNQ235" s="269"/>
      <c r="SNR235" s="269"/>
      <c r="SNS235" s="269"/>
      <c r="SNT235" s="269"/>
      <c r="SNU235" s="269"/>
      <c r="SNV235" s="269"/>
      <c r="SNW235" s="269"/>
      <c r="SNX235" s="269"/>
      <c r="SNY235" s="269"/>
      <c r="SNZ235" s="269"/>
      <c r="SOA235" s="269"/>
      <c r="SOB235" s="269"/>
      <c r="SOC235" s="269"/>
      <c r="SOD235" s="269"/>
      <c r="SOE235" s="269"/>
      <c r="SOF235" s="269"/>
      <c r="SOG235" s="269"/>
      <c r="SOH235" s="269"/>
      <c r="SOI235" s="269"/>
      <c r="SOJ235" s="269"/>
      <c r="SOK235" s="269"/>
      <c r="SOL235" s="269"/>
      <c r="SOM235" s="269"/>
      <c r="SON235" s="269"/>
      <c r="SOO235" s="269"/>
      <c r="SOP235" s="269"/>
      <c r="SOQ235" s="269"/>
      <c r="SOR235" s="269"/>
      <c r="SOS235" s="269"/>
      <c r="SOT235" s="269"/>
      <c r="SOU235" s="269"/>
      <c r="SOV235" s="269"/>
      <c r="SOW235" s="269"/>
      <c r="SOX235" s="269"/>
      <c r="SOY235" s="269"/>
      <c r="SOZ235" s="269"/>
      <c r="SPA235" s="269"/>
      <c r="SPB235" s="269"/>
      <c r="SPC235" s="269"/>
      <c r="SPD235" s="269"/>
      <c r="SPE235" s="269"/>
      <c r="SPF235" s="269"/>
      <c r="SPG235" s="269"/>
      <c r="SPH235" s="269"/>
      <c r="SPI235" s="269"/>
      <c r="SPJ235" s="269"/>
      <c r="SPK235" s="269"/>
      <c r="SPL235" s="269"/>
      <c r="SPM235" s="269"/>
      <c r="SPN235" s="269"/>
      <c r="SPO235" s="269"/>
      <c r="SPP235" s="269"/>
      <c r="SPQ235" s="269"/>
      <c r="SPR235" s="269"/>
      <c r="SPS235" s="269"/>
      <c r="SPT235" s="269"/>
      <c r="SPU235" s="269"/>
      <c r="SPV235" s="269"/>
      <c r="SPW235" s="269"/>
      <c r="SPX235" s="269"/>
      <c r="SPY235" s="269"/>
      <c r="SPZ235" s="269"/>
      <c r="SQA235" s="269"/>
      <c r="SQB235" s="269"/>
      <c r="SQC235" s="269"/>
      <c r="SQD235" s="269"/>
      <c r="SQE235" s="269"/>
      <c r="SQF235" s="269"/>
      <c r="SQG235" s="269"/>
      <c r="SQH235" s="269"/>
      <c r="SQI235" s="269"/>
      <c r="SQJ235" s="269"/>
      <c r="SQK235" s="269"/>
      <c r="SQL235" s="269"/>
      <c r="SQM235" s="269"/>
      <c r="SQN235" s="269"/>
      <c r="SQO235" s="269"/>
      <c r="SQP235" s="269"/>
      <c r="SQQ235" s="269"/>
      <c r="SQR235" s="269"/>
      <c r="SQS235" s="269"/>
      <c r="SQT235" s="269"/>
      <c r="SQU235" s="269"/>
      <c r="SQV235" s="269"/>
      <c r="SQW235" s="269"/>
      <c r="SQX235" s="269"/>
      <c r="SQY235" s="269"/>
      <c r="SQZ235" s="269"/>
      <c r="SRA235" s="269"/>
      <c r="SRB235" s="269"/>
      <c r="SRC235" s="269"/>
      <c r="SRD235" s="269"/>
      <c r="SRE235" s="269"/>
      <c r="SRF235" s="269"/>
      <c r="SRG235" s="269"/>
      <c r="SRH235" s="269"/>
      <c r="SRI235" s="269"/>
      <c r="SRJ235" s="269"/>
      <c r="SRK235" s="269"/>
      <c r="SRL235" s="269"/>
      <c r="SRM235" s="269"/>
      <c r="SRN235" s="269"/>
      <c r="SRO235" s="269"/>
      <c r="SRP235" s="269"/>
      <c r="SRQ235" s="269"/>
      <c r="SRR235" s="269"/>
      <c r="SRS235" s="269"/>
      <c r="SRT235" s="269"/>
      <c r="SRU235" s="269"/>
      <c r="SRV235" s="269"/>
      <c r="SRW235" s="269"/>
      <c r="SRX235" s="269"/>
      <c r="SRY235" s="269"/>
      <c r="SRZ235" s="269"/>
      <c r="SSA235" s="269"/>
      <c r="SSB235" s="269"/>
      <c r="SSC235" s="269"/>
      <c r="SSD235" s="269"/>
      <c r="SSE235" s="269"/>
      <c r="SSF235" s="269"/>
      <c r="SSG235" s="269"/>
      <c r="SSH235" s="269"/>
      <c r="SSI235" s="269"/>
      <c r="SSJ235" s="269"/>
      <c r="SSK235" s="269"/>
      <c r="SSL235" s="269"/>
      <c r="SSM235" s="269"/>
      <c r="SSN235" s="269"/>
      <c r="SSO235" s="269"/>
      <c r="SSP235" s="269"/>
      <c r="SSQ235" s="269"/>
      <c r="SSR235" s="269"/>
      <c r="SSS235" s="269"/>
      <c r="SST235" s="269"/>
      <c r="SSU235" s="269"/>
      <c r="SSV235" s="269"/>
      <c r="SSW235" s="269"/>
      <c r="SSX235" s="269"/>
      <c r="SSY235" s="269"/>
      <c r="SSZ235" s="269"/>
      <c r="STA235" s="269"/>
      <c r="STB235" s="269"/>
      <c r="STC235" s="269"/>
      <c r="STD235" s="269"/>
      <c r="STE235" s="269"/>
      <c r="STF235" s="269"/>
      <c r="STG235" s="269"/>
      <c r="STH235" s="269"/>
      <c r="STI235" s="269"/>
      <c r="STJ235" s="269"/>
      <c r="STK235" s="269"/>
      <c r="STL235" s="269"/>
      <c r="STM235" s="269"/>
      <c r="STN235" s="269"/>
      <c r="STO235" s="269"/>
      <c r="STP235" s="269"/>
      <c r="STQ235" s="269"/>
      <c r="STR235" s="269"/>
      <c r="STS235" s="269"/>
      <c r="STT235" s="269"/>
      <c r="STU235" s="269"/>
      <c r="STV235" s="269"/>
      <c r="STW235" s="269"/>
      <c r="STX235" s="269"/>
      <c r="STY235" s="269"/>
      <c r="STZ235" s="269"/>
      <c r="SUA235" s="269"/>
      <c r="SUB235" s="269"/>
      <c r="SUC235" s="269"/>
      <c r="SUD235" s="269"/>
      <c r="SUE235" s="269"/>
      <c r="SUF235" s="269"/>
      <c r="SUG235" s="269"/>
      <c r="SUH235" s="269"/>
      <c r="SUI235" s="269"/>
      <c r="SUJ235" s="269"/>
      <c r="SUK235" s="269"/>
      <c r="SUL235" s="269"/>
      <c r="SUM235" s="269"/>
      <c r="SUN235" s="269"/>
      <c r="SUO235" s="269"/>
      <c r="SUP235" s="269"/>
      <c r="SUQ235" s="269"/>
      <c r="SUR235" s="269"/>
      <c r="SUS235" s="269"/>
      <c r="SUT235" s="269"/>
      <c r="SUU235" s="269"/>
      <c r="SUV235" s="269"/>
      <c r="SUW235" s="269"/>
      <c r="SUX235" s="269"/>
      <c r="SUY235" s="269"/>
      <c r="SUZ235" s="269"/>
      <c r="SVA235" s="269"/>
      <c r="SVB235" s="269"/>
      <c r="SVC235" s="269"/>
      <c r="SVD235" s="269"/>
      <c r="SVE235" s="269"/>
      <c r="SVF235" s="269"/>
      <c r="SVG235" s="269"/>
      <c r="SVH235" s="269"/>
      <c r="SVI235" s="269"/>
      <c r="SVJ235" s="269"/>
      <c r="SVK235" s="269"/>
      <c r="SVL235" s="269"/>
      <c r="SVM235" s="269"/>
      <c r="SVN235" s="269"/>
      <c r="SVO235" s="269"/>
      <c r="SVP235" s="269"/>
      <c r="SVQ235" s="269"/>
      <c r="SVR235" s="269"/>
      <c r="SVS235" s="269"/>
      <c r="SVT235" s="269"/>
      <c r="SVU235" s="269"/>
      <c r="SVV235" s="269"/>
      <c r="SVW235" s="269"/>
      <c r="SVX235" s="269"/>
      <c r="SVY235" s="269"/>
      <c r="SVZ235" s="269"/>
      <c r="SWA235" s="269"/>
      <c r="SWB235" s="269"/>
      <c r="SWC235" s="269"/>
      <c r="SWD235" s="269"/>
      <c r="SWE235" s="269"/>
      <c r="SWF235" s="269"/>
      <c r="SWG235" s="269"/>
      <c r="SWH235" s="269"/>
      <c r="SWI235" s="269"/>
      <c r="SWJ235" s="269"/>
      <c r="SWK235" s="269"/>
      <c r="SWL235" s="269"/>
      <c r="SWM235" s="269"/>
      <c r="SWN235" s="269"/>
      <c r="SWO235" s="269"/>
      <c r="SWP235" s="269"/>
      <c r="SWQ235" s="269"/>
      <c r="SWR235" s="269"/>
      <c r="SWS235" s="269"/>
      <c r="SWT235" s="269"/>
      <c r="SWU235" s="269"/>
      <c r="SWV235" s="269"/>
      <c r="SWW235" s="269"/>
      <c r="SWX235" s="269"/>
      <c r="SWY235" s="269"/>
      <c r="SWZ235" s="269"/>
      <c r="SXA235" s="269"/>
      <c r="SXB235" s="269"/>
      <c r="SXC235" s="269"/>
      <c r="SXD235" s="269"/>
      <c r="SXE235" s="269"/>
      <c r="SXF235" s="269"/>
      <c r="SXG235" s="269"/>
      <c r="SXH235" s="269"/>
      <c r="SXI235" s="269"/>
      <c r="SXJ235" s="269"/>
      <c r="SXK235" s="269"/>
      <c r="SXL235" s="269"/>
      <c r="SXM235" s="269"/>
      <c r="SXN235" s="269"/>
      <c r="SXO235" s="269"/>
      <c r="SXP235" s="269"/>
      <c r="SXQ235" s="269"/>
      <c r="SXR235" s="269"/>
      <c r="SXS235" s="269"/>
      <c r="SXT235" s="269"/>
      <c r="SXU235" s="269"/>
      <c r="SXV235" s="269"/>
      <c r="SXW235" s="269"/>
      <c r="SXX235" s="269"/>
      <c r="SXY235" s="269"/>
      <c r="SXZ235" s="269"/>
      <c r="SYA235" s="269"/>
      <c r="SYB235" s="269"/>
      <c r="SYC235" s="269"/>
      <c r="SYD235" s="269"/>
      <c r="SYE235" s="269"/>
      <c r="SYF235" s="269"/>
      <c r="SYG235" s="269"/>
      <c r="SYH235" s="269"/>
      <c r="SYI235" s="269"/>
      <c r="SYJ235" s="269"/>
      <c r="SYK235" s="269"/>
      <c r="SYL235" s="269"/>
      <c r="SYM235" s="269"/>
      <c r="SYN235" s="269"/>
      <c r="SYO235" s="269"/>
      <c r="SYP235" s="269"/>
      <c r="SYQ235" s="269"/>
      <c r="SYR235" s="269"/>
      <c r="SYS235" s="269"/>
      <c r="SYT235" s="269"/>
      <c r="SYU235" s="269"/>
      <c r="SYV235" s="269"/>
      <c r="SYW235" s="269"/>
      <c r="SYX235" s="269"/>
      <c r="SYY235" s="269"/>
      <c r="SYZ235" s="269"/>
      <c r="SZA235" s="269"/>
      <c r="SZB235" s="269"/>
      <c r="SZC235" s="269"/>
      <c r="SZD235" s="269"/>
      <c r="SZE235" s="269"/>
      <c r="SZF235" s="269"/>
      <c r="SZG235" s="269"/>
      <c r="SZH235" s="269"/>
      <c r="SZI235" s="269"/>
      <c r="SZJ235" s="269"/>
      <c r="SZK235" s="269"/>
      <c r="SZL235" s="269"/>
      <c r="SZM235" s="269"/>
      <c r="SZN235" s="269"/>
      <c r="SZO235" s="269"/>
      <c r="SZP235" s="269"/>
      <c r="SZQ235" s="269"/>
      <c r="SZR235" s="269"/>
      <c r="SZS235" s="269"/>
      <c r="SZT235" s="269"/>
      <c r="SZU235" s="269"/>
      <c r="SZV235" s="269"/>
      <c r="SZW235" s="269"/>
      <c r="SZX235" s="269"/>
      <c r="SZY235" s="269"/>
      <c r="SZZ235" s="269"/>
      <c r="TAA235" s="269"/>
      <c r="TAB235" s="269"/>
      <c r="TAC235" s="269"/>
      <c r="TAD235" s="269"/>
      <c r="TAE235" s="269"/>
      <c r="TAF235" s="269"/>
      <c r="TAG235" s="269"/>
      <c r="TAH235" s="269"/>
      <c r="TAI235" s="269"/>
      <c r="TAJ235" s="269"/>
      <c r="TAK235" s="269"/>
      <c r="TAL235" s="269"/>
      <c r="TAM235" s="269"/>
      <c r="TAN235" s="269"/>
      <c r="TAO235" s="269"/>
      <c r="TAP235" s="269"/>
      <c r="TAQ235" s="269"/>
      <c r="TAR235" s="269"/>
      <c r="TAS235" s="269"/>
      <c r="TAT235" s="269"/>
      <c r="TAU235" s="269"/>
      <c r="TAV235" s="269"/>
      <c r="TAW235" s="269"/>
      <c r="TAX235" s="269"/>
      <c r="TAY235" s="269"/>
      <c r="TAZ235" s="269"/>
      <c r="TBA235" s="269"/>
      <c r="TBB235" s="269"/>
      <c r="TBC235" s="269"/>
      <c r="TBD235" s="269"/>
      <c r="TBE235" s="269"/>
      <c r="TBF235" s="269"/>
      <c r="TBG235" s="269"/>
      <c r="TBH235" s="269"/>
      <c r="TBI235" s="269"/>
      <c r="TBJ235" s="269"/>
      <c r="TBK235" s="269"/>
      <c r="TBL235" s="269"/>
      <c r="TBM235" s="269"/>
      <c r="TBN235" s="269"/>
      <c r="TBO235" s="269"/>
      <c r="TBP235" s="269"/>
      <c r="TBQ235" s="269"/>
      <c r="TBR235" s="269"/>
      <c r="TBS235" s="269"/>
      <c r="TBT235" s="269"/>
      <c r="TBU235" s="269"/>
      <c r="TBV235" s="269"/>
      <c r="TBW235" s="269"/>
      <c r="TBX235" s="269"/>
      <c r="TBY235" s="269"/>
      <c r="TBZ235" s="269"/>
      <c r="TCA235" s="269"/>
      <c r="TCB235" s="269"/>
      <c r="TCC235" s="269"/>
      <c r="TCD235" s="269"/>
      <c r="TCE235" s="269"/>
      <c r="TCF235" s="269"/>
      <c r="TCG235" s="269"/>
      <c r="TCH235" s="269"/>
      <c r="TCI235" s="269"/>
      <c r="TCJ235" s="269"/>
      <c r="TCK235" s="269"/>
      <c r="TCL235" s="269"/>
      <c r="TCM235" s="269"/>
      <c r="TCN235" s="269"/>
      <c r="TCO235" s="269"/>
      <c r="TCP235" s="269"/>
      <c r="TCQ235" s="269"/>
      <c r="TCR235" s="269"/>
      <c r="TCS235" s="269"/>
      <c r="TCT235" s="269"/>
      <c r="TCU235" s="269"/>
      <c r="TCV235" s="269"/>
      <c r="TCW235" s="269"/>
      <c r="TCX235" s="269"/>
      <c r="TCY235" s="269"/>
      <c r="TCZ235" s="269"/>
      <c r="TDA235" s="269"/>
      <c r="TDB235" s="269"/>
      <c r="TDC235" s="269"/>
      <c r="TDD235" s="269"/>
      <c r="TDE235" s="269"/>
      <c r="TDF235" s="269"/>
      <c r="TDG235" s="269"/>
      <c r="TDH235" s="269"/>
      <c r="TDI235" s="269"/>
      <c r="TDJ235" s="269"/>
      <c r="TDK235" s="269"/>
      <c r="TDL235" s="269"/>
      <c r="TDM235" s="269"/>
      <c r="TDN235" s="269"/>
      <c r="TDO235" s="269"/>
      <c r="TDP235" s="269"/>
      <c r="TDQ235" s="269"/>
      <c r="TDR235" s="269"/>
      <c r="TDS235" s="269"/>
      <c r="TDT235" s="269"/>
      <c r="TDU235" s="269"/>
      <c r="TDV235" s="269"/>
      <c r="TDW235" s="269"/>
      <c r="TDX235" s="269"/>
      <c r="TDY235" s="269"/>
      <c r="TDZ235" s="269"/>
      <c r="TEA235" s="269"/>
      <c r="TEB235" s="269"/>
      <c r="TEC235" s="269"/>
      <c r="TED235" s="269"/>
      <c r="TEE235" s="269"/>
      <c r="TEF235" s="269"/>
      <c r="TEG235" s="269"/>
      <c r="TEH235" s="269"/>
      <c r="TEI235" s="269"/>
      <c r="TEJ235" s="269"/>
      <c r="TEK235" s="269"/>
      <c r="TEL235" s="269"/>
      <c r="TEM235" s="269"/>
      <c r="TEN235" s="269"/>
      <c r="TEO235" s="269"/>
      <c r="TEP235" s="269"/>
      <c r="TEQ235" s="269"/>
      <c r="TER235" s="269"/>
      <c r="TES235" s="269"/>
      <c r="TET235" s="269"/>
      <c r="TEU235" s="269"/>
      <c r="TEV235" s="269"/>
      <c r="TEW235" s="269"/>
      <c r="TEX235" s="269"/>
      <c r="TEY235" s="269"/>
      <c r="TEZ235" s="269"/>
      <c r="TFA235" s="269"/>
      <c r="TFB235" s="269"/>
      <c r="TFC235" s="269"/>
      <c r="TFD235" s="269"/>
      <c r="TFE235" s="269"/>
      <c r="TFF235" s="269"/>
      <c r="TFG235" s="269"/>
      <c r="TFH235" s="269"/>
      <c r="TFI235" s="269"/>
      <c r="TFJ235" s="269"/>
      <c r="TFK235" s="269"/>
      <c r="TFL235" s="269"/>
      <c r="TFM235" s="269"/>
      <c r="TFN235" s="269"/>
      <c r="TFO235" s="269"/>
      <c r="TFP235" s="269"/>
      <c r="TFQ235" s="269"/>
      <c r="TFR235" s="269"/>
      <c r="TFS235" s="269"/>
      <c r="TFT235" s="269"/>
      <c r="TFU235" s="269"/>
      <c r="TFV235" s="269"/>
      <c r="TFW235" s="269"/>
      <c r="TFX235" s="269"/>
      <c r="TFY235" s="269"/>
      <c r="TFZ235" s="269"/>
      <c r="TGA235" s="269"/>
      <c r="TGB235" s="269"/>
      <c r="TGC235" s="269"/>
      <c r="TGD235" s="269"/>
      <c r="TGE235" s="269"/>
      <c r="TGF235" s="269"/>
      <c r="TGG235" s="269"/>
      <c r="TGH235" s="269"/>
      <c r="TGI235" s="269"/>
      <c r="TGJ235" s="269"/>
      <c r="TGK235" s="269"/>
      <c r="TGL235" s="269"/>
      <c r="TGM235" s="269"/>
      <c r="TGN235" s="269"/>
      <c r="TGO235" s="269"/>
      <c r="TGP235" s="269"/>
      <c r="TGQ235" s="269"/>
      <c r="TGR235" s="269"/>
      <c r="TGS235" s="269"/>
      <c r="TGT235" s="269"/>
      <c r="TGU235" s="269"/>
      <c r="TGV235" s="269"/>
      <c r="TGW235" s="269"/>
      <c r="TGX235" s="269"/>
      <c r="TGY235" s="269"/>
      <c r="TGZ235" s="269"/>
      <c r="THA235" s="269"/>
      <c r="THB235" s="269"/>
      <c r="THC235" s="269"/>
      <c r="THD235" s="269"/>
      <c r="THE235" s="269"/>
      <c r="THF235" s="269"/>
      <c r="THG235" s="269"/>
      <c r="THH235" s="269"/>
      <c r="THI235" s="269"/>
      <c r="THJ235" s="269"/>
      <c r="THK235" s="269"/>
      <c r="THL235" s="269"/>
      <c r="THM235" s="269"/>
      <c r="THN235" s="269"/>
      <c r="THO235" s="269"/>
      <c r="THP235" s="269"/>
      <c r="THQ235" s="269"/>
      <c r="THR235" s="269"/>
      <c r="THS235" s="269"/>
      <c r="THT235" s="269"/>
      <c r="THU235" s="269"/>
      <c r="THV235" s="269"/>
      <c r="THW235" s="269"/>
      <c r="THX235" s="269"/>
      <c r="THY235" s="269"/>
      <c r="THZ235" s="269"/>
      <c r="TIA235" s="269"/>
      <c r="TIB235" s="269"/>
      <c r="TIC235" s="269"/>
      <c r="TID235" s="269"/>
      <c r="TIE235" s="269"/>
      <c r="TIF235" s="269"/>
      <c r="TIG235" s="269"/>
      <c r="TIH235" s="269"/>
      <c r="TII235" s="269"/>
      <c r="TIJ235" s="269"/>
      <c r="TIK235" s="269"/>
      <c r="TIL235" s="269"/>
      <c r="TIM235" s="269"/>
      <c r="TIN235" s="269"/>
      <c r="TIO235" s="269"/>
      <c r="TIP235" s="269"/>
      <c r="TIQ235" s="269"/>
      <c r="TIR235" s="269"/>
      <c r="TIS235" s="269"/>
      <c r="TIT235" s="269"/>
      <c r="TIU235" s="269"/>
      <c r="TIV235" s="269"/>
      <c r="TIW235" s="269"/>
      <c r="TIX235" s="269"/>
      <c r="TIY235" s="269"/>
      <c r="TIZ235" s="269"/>
      <c r="TJA235" s="269"/>
      <c r="TJB235" s="269"/>
      <c r="TJC235" s="269"/>
      <c r="TJD235" s="269"/>
      <c r="TJE235" s="269"/>
      <c r="TJF235" s="269"/>
      <c r="TJG235" s="269"/>
      <c r="TJH235" s="269"/>
      <c r="TJI235" s="269"/>
      <c r="TJJ235" s="269"/>
      <c r="TJK235" s="269"/>
      <c r="TJL235" s="269"/>
      <c r="TJM235" s="269"/>
      <c r="TJN235" s="269"/>
      <c r="TJO235" s="269"/>
      <c r="TJP235" s="269"/>
      <c r="TJQ235" s="269"/>
      <c r="TJR235" s="269"/>
      <c r="TJS235" s="269"/>
      <c r="TJT235" s="269"/>
      <c r="TJU235" s="269"/>
      <c r="TJV235" s="269"/>
      <c r="TJW235" s="269"/>
      <c r="TJX235" s="269"/>
      <c r="TJY235" s="269"/>
      <c r="TJZ235" s="269"/>
      <c r="TKA235" s="269"/>
      <c r="TKB235" s="269"/>
      <c r="TKC235" s="269"/>
      <c r="TKD235" s="269"/>
      <c r="TKE235" s="269"/>
      <c r="TKF235" s="269"/>
      <c r="TKG235" s="269"/>
      <c r="TKH235" s="269"/>
      <c r="TKI235" s="269"/>
      <c r="TKJ235" s="269"/>
      <c r="TKK235" s="269"/>
      <c r="TKL235" s="269"/>
      <c r="TKM235" s="269"/>
      <c r="TKN235" s="269"/>
      <c r="TKO235" s="269"/>
      <c r="TKP235" s="269"/>
      <c r="TKQ235" s="269"/>
      <c r="TKR235" s="269"/>
      <c r="TKS235" s="269"/>
      <c r="TKT235" s="269"/>
      <c r="TKU235" s="269"/>
      <c r="TKV235" s="269"/>
      <c r="TKW235" s="269"/>
      <c r="TKX235" s="269"/>
      <c r="TKY235" s="269"/>
      <c r="TKZ235" s="269"/>
      <c r="TLA235" s="269"/>
      <c r="TLB235" s="269"/>
      <c r="TLC235" s="269"/>
      <c r="TLD235" s="269"/>
      <c r="TLE235" s="269"/>
      <c r="TLF235" s="269"/>
      <c r="TLG235" s="269"/>
      <c r="TLH235" s="269"/>
      <c r="TLI235" s="269"/>
      <c r="TLJ235" s="269"/>
      <c r="TLK235" s="269"/>
      <c r="TLL235" s="269"/>
      <c r="TLM235" s="269"/>
      <c r="TLN235" s="269"/>
      <c r="TLO235" s="269"/>
      <c r="TLP235" s="269"/>
      <c r="TLQ235" s="269"/>
      <c r="TLR235" s="269"/>
      <c r="TLS235" s="269"/>
      <c r="TLT235" s="269"/>
      <c r="TLU235" s="269"/>
      <c r="TLV235" s="269"/>
      <c r="TLW235" s="269"/>
      <c r="TLX235" s="269"/>
      <c r="TLY235" s="269"/>
      <c r="TLZ235" s="269"/>
      <c r="TMA235" s="269"/>
      <c r="TMB235" s="269"/>
      <c r="TMC235" s="269"/>
      <c r="TMD235" s="269"/>
      <c r="TME235" s="269"/>
      <c r="TMF235" s="269"/>
      <c r="TMG235" s="269"/>
      <c r="TMH235" s="269"/>
      <c r="TMI235" s="269"/>
      <c r="TMJ235" s="269"/>
      <c r="TMK235" s="269"/>
      <c r="TML235" s="269"/>
      <c r="TMM235" s="269"/>
      <c r="TMN235" s="269"/>
      <c r="TMO235" s="269"/>
      <c r="TMP235" s="269"/>
      <c r="TMQ235" s="269"/>
      <c r="TMR235" s="269"/>
      <c r="TMS235" s="269"/>
      <c r="TMT235" s="269"/>
      <c r="TMU235" s="269"/>
      <c r="TMV235" s="269"/>
      <c r="TMW235" s="269"/>
      <c r="TMX235" s="269"/>
      <c r="TMY235" s="269"/>
      <c r="TMZ235" s="269"/>
      <c r="TNA235" s="269"/>
      <c r="TNB235" s="269"/>
      <c r="TNC235" s="269"/>
      <c r="TND235" s="269"/>
      <c r="TNE235" s="269"/>
      <c r="TNF235" s="269"/>
      <c r="TNG235" s="269"/>
      <c r="TNH235" s="269"/>
      <c r="TNI235" s="269"/>
      <c r="TNJ235" s="269"/>
      <c r="TNK235" s="269"/>
      <c r="TNL235" s="269"/>
      <c r="TNM235" s="269"/>
      <c r="TNN235" s="269"/>
      <c r="TNO235" s="269"/>
      <c r="TNP235" s="269"/>
      <c r="TNQ235" s="269"/>
      <c r="TNR235" s="269"/>
      <c r="TNS235" s="269"/>
      <c r="TNT235" s="269"/>
      <c r="TNU235" s="269"/>
      <c r="TNV235" s="269"/>
      <c r="TNW235" s="269"/>
      <c r="TNX235" s="269"/>
      <c r="TNY235" s="269"/>
      <c r="TNZ235" s="269"/>
      <c r="TOA235" s="269"/>
      <c r="TOB235" s="269"/>
      <c r="TOC235" s="269"/>
      <c r="TOD235" s="269"/>
      <c r="TOE235" s="269"/>
      <c r="TOF235" s="269"/>
      <c r="TOG235" s="269"/>
      <c r="TOH235" s="269"/>
      <c r="TOI235" s="269"/>
      <c r="TOJ235" s="269"/>
      <c r="TOK235" s="269"/>
      <c r="TOL235" s="269"/>
      <c r="TOM235" s="269"/>
      <c r="TON235" s="269"/>
      <c r="TOO235" s="269"/>
      <c r="TOP235" s="269"/>
      <c r="TOQ235" s="269"/>
      <c r="TOR235" s="269"/>
      <c r="TOS235" s="269"/>
      <c r="TOT235" s="269"/>
      <c r="TOU235" s="269"/>
      <c r="TOV235" s="269"/>
      <c r="TOW235" s="269"/>
      <c r="TOX235" s="269"/>
      <c r="TOY235" s="269"/>
      <c r="TOZ235" s="269"/>
      <c r="TPA235" s="269"/>
      <c r="TPB235" s="269"/>
      <c r="TPC235" s="269"/>
      <c r="TPD235" s="269"/>
      <c r="TPE235" s="269"/>
      <c r="TPF235" s="269"/>
      <c r="TPG235" s="269"/>
      <c r="TPH235" s="269"/>
      <c r="TPI235" s="269"/>
      <c r="TPJ235" s="269"/>
      <c r="TPK235" s="269"/>
      <c r="TPL235" s="269"/>
      <c r="TPM235" s="269"/>
      <c r="TPN235" s="269"/>
      <c r="TPO235" s="269"/>
      <c r="TPP235" s="269"/>
      <c r="TPQ235" s="269"/>
      <c r="TPR235" s="269"/>
      <c r="TPS235" s="269"/>
      <c r="TPT235" s="269"/>
      <c r="TPU235" s="269"/>
      <c r="TPV235" s="269"/>
      <c r="TPW235" s="269"/>
      <c r="TPX235" s="269"/>
      <c r="TPY235" s="269"/>
      <c r="TPZ235" s="269"/>
      <c r="TQA235" s="269"/>
      <c r="TQB235" s="269"/>
      <c r="TQC235" s="269"/>
      <c r="TQD235" s="269"/>
      <c r="TQE235" s="269"/>
      <c r="TQF235" s="269"/>
      <c r="TQG235" s="269"/>
      <c r="TQH235" s="269"/>
      <c r="TQI235" s="269"/>
      <c r="TQJ235" s="269"/>
      <c r="TQK235" s="269"/>
      <c r="TQL235" s="269"/>
      <c r="TQM235" s="269"/>
      <c r="TQN235" s="269"/>
      <c r="TQO235" s="269"/>
      <c r="TQP235" s="269"/>
      <c r="TQQ235" s="269"/>
      <c r="TQR235" s="269"/>
      <c r="TQS235" s="269"/>
      <c r="TQT235" s="269"/>
      <c r="TQU235" s="269"/>
      <c r="TQV235" s="269"/>
      <c r="TQW235" s="269"/>
      <c r="TQX235" s="269"/>
      <c r="TQY235" s="269"/>
      <c r="TQZ235" s="269"/>
      <c r="TRA235" s="269"/>
      <c r="TRB235" s="269"/>
      <c r="TRC235" s="269"/>
      <c r="TRD235" s="269"/>
      <c r="TRE235" s="269"/>
      <c r="TRF235" s="269"/>
      <c r="TRG235" s="269"/>
      <c r="TRH235" s="269"/>
      <c r="TRI235" s="269"/>
      <c r="TRJ235" s="269"/>
      <c r="TRK235" s="269"/>
      <c r="TRL235" s="269"/>
      <c r="TRM235" s="269"/>
      <c r="TRN235" s="269"/>
      <c r="TRO235" s="269"/>
      <c r="TRP235" s="269"/>
      <c r="TRQ235" s="269"/>
      <c r="TRR235" s="269"/>
      <c r="TRS235" s="269"/>
      <c r="TRT235" s="269"/>
      <c r="TRU235" s="269"/>
      <c r="TRV235" s="269"/>
      <c r="TRW235" s="269"/>
      <c r="TRX235" s="269"/>
      <c r="TRY235" s="269"/>
      <c r="TRZ235" s="269"/>
      <c r="TSA235" s="269"/>
      <c r="TSB235" s="269"/>
      <c r="TSC235" s="269"/>
      <c r="TSD235" s="269"/>
      <c r="TSE235" s="269"/>
      <c r="TSF235" s="269"/>
      <c r="TSG235" s="269"/>
      <c r="TSH235" s="269"/>
      <c r="TSI235" s="269"/>
      <c r="TSJ235" s="269"/>
      <c r="TSK235" s="269"/>
      <c r="TSL235" s="269"/>
      <c r="TSM235" s="269"/>
      <c r="TSN235" s="269"/>
      <c r="TSO235" s="269"/>
      <c r="TSP235" s="269"/>
      <c r="TSQ235" s="269"/>
      <c r="TSR235" s="269"/>
      <c r="TSS235" s="269"/>
      <c r="TST235" s="269"/>
      <c r="TSU235" s="269"/>
      <c r="TSV235" s="269"/>
      <c r="TSW235" s="269"/>
      <c r="TSX235" s="269"/>
      <c r="TSY235" s="269"/>
      <c r="TSZ235" s="269"/>
      <c r="TTA235" s="269"/>
      <c r="TTB235" s="269"/>
      <c r="TTC235" s="269"/>
      <c r="TTD235" s="269"/>
      <c r="TTE235" s="269"/>
      <c r="TTF235" s="269"/>
      <c r="TTG235" s="269"/>
      <c r="TTH235" s="269"/>
      <c r="TTI235" s="269"/>
      <c r="TTJ235" s="269"/>
      <c r="TTK235" s="269"/>
      <c r="TTL235" s="269"/>
      <c r="TTM235" s="269"/>
      <c r="TTN235" s="269"/>
      <c r="TTO235" s="269"/>
      <c r="TTP235" s="269"/>
      <c r="TTQ235" s="269"/>
      <c r="TTR235" s="269"/>
      <c r="TTS235" s="269"/>
      <c r="TTT235" s="269"/>
      <c r="TTU235" s="269"/>
      <c r="TTV235" s="269"/>
      <c r="TTW235" s="269"/>
      <c r="TTX235" s="269"/>
      <c r="TTY235" s="269"/>
      <c r="TTZ235" s="269"/>
      <c r="TUA235" s="269"/>
      <c r="TUB235" s="269"/>
      <c r="TUC235" s="269"/>
      <c r="TUD235" s="269"/>
      <c r="TUE235" s="269"/>
      <c r="TUF235" s="269"/>
      <c r="TUG235" s="269"/>
      <c r="TUH235" s="269"/>
      <c r="TUI235" s="269"/>
      <c r="TUJ235" s="269"/>
      <c r="TUK235" s="269"/>
      <c r="TUL235" s="269"/>
      <c r="TUM235" s="269"/>
      <c r="TUN235" s="269"/>
      <c r="TUO235" s="269"/>
      <c r="TUP235" s="269"/>
      <c r="TUQ235" s="269"/>
      <c r="TUR235" s="269"/>
      <c r="TUS235" s="269"/>
      <c r="TUT235" s="269"/>
      <c r="TUU235" s="269"/>
      <c r="TUV235" s="269"/>
      <c r="TUW235" s="269"/>
      <c r="TUX235" s="269"/>
      <c r="TUY235" s="269"/>
      <c r="TUZ235" s="269"/>
      <c r="TVA235" s="269"/>
      <c r="TVB235" s="269"/>
      <c r="TVC235" s="269"/>
      <c r="TVD235" s="269"/>
      <c r="TVE235" s="269"/>
      <c r="TVF235" s="269"/>
      <c r="TVG235" s="269"/>
      <c r="TVH235" s="269"/>
      <c r="TVI235" s="269"/>
      <c r="TVJ235" s="269"/>
      <c r="TVK235" s="269"/>
      <c r="TVL235" s="269"/>
      <c r="TVM235" s="269"/>
      <c r="TVN235" s="269"/>
      <c r="TVO235" s="269"/>
      <c r="TVP235" s="269"/>
      <c r="TVQ235" s="269"/>
      <c r="TVR235" s="269"/>
      <c r="TVS235" s="269"/>
      <c r="TVT235" s="269"/>
      <c r="TVU235" s="269"/>
      <c r="TVV235" s="269"/>
      <c r="TVW235" s="269"/>
      <c r="TVX235" s="269"/>
      <c r="TVY235" s="269"/>
      <c r="TVZ235" s="269"/>
      <c r="TWA235" s="269"/>
      <c r="TWB235" s="269"/>
      <c r="TWC235" s="269"/>
      <c r="TWD235" s="269"/>
      <c r="TWE235" s="269"/>
      <c r="TWF235" s="269"/>
      <c r="TWG235" s="269"/>
      <c r="TWH235" s="269"/>
      <c r="TWI235" s="269"/>
      <c r="TWJ235" s="269"/>
      <c r="TWK235" s="269"/>
      <c r="TWL235" s="269"/>
      <c r="TWM235" s="269"/>
      <c r="TWN235" s="269"/>
      <c r="TWO235" s="269"/>
      <c r="TWP235" s="269"/>
      <c r="TWQ235" s="269"/>
      <c r="TWR235" s="269"/>
      <c r="TWS235" s="269"/>
      <c r="TWT235" s="269"/>
      <c r="TWU235" s="269"/>
      <c r="TWV235" s="269"/>
      <c r="TWW235" s="269"/>
      <c r="TWX235" s="269"/>
      <c r="TWY235" s="269"/>
      <c r="TWZ235" s="269"/>
      <c r="TXA235" s="269"/>
      <c r="TXB235" s="269"/>
      <c r="TXC235" s="269"/>
      <c r="TXD235" s="269"/>
      <c r="TXE235" s="269"/>
      <c r="TXF235" s="269"/>
      <c r="TXG235" s="269"/>
      <c r="TXH235" s="269"/>
      <c r="TXI235" s="269"/>
      <c r="TXJ235" s="269"/>
      <c r="TXK235" s="269"/>
      <c r="TXL235" s="269"/>
      <c r="TXM235" s="269"/>
      <c r="TXN235" s="269"/>
      <c r="TXO235" s="269"/>
      <c r="TXP235" s="269"/>
      <c r="TXQ235" s="269"/>
      <c r="TXR235" s="269"/>
      <c r="TXS235" s="269"/>
      <c r="TXT235" s="269"/>
      <c r="TXU235" s="269"/>
      <c r="TXV235" s="269"/>
      <c r="TXW235" s="269"/>
      <c r="TXX235" s="269"/>
      <c r="TXY235" s="269"/>
      <c r="TXZ235" s="269"/>
      <c r="TYA235" s="269"/>
      <c r="TYB235" s="269"/>
      <c r="TYC235" s="269"/>
      <c r="TYD235" s="269"/>
      <c r="TYE235" s="269"/>
      <c r="TYF235" s="269"/>
      <c r="TYG235" s="269"/>
      <c r="TYH235" s="269"/>
      <c r="TYI235" s="269"/>
      <c r="TYJ235" s="269"/>
      <c r="TYK235" s="269"/>
      <c r="TYL235" s="269"/>
      <c r="TYM235" s="269"/>
      <c r="TYN235" s="269"/>
      <c r="TYO235" s="269"/>
      <c r="TYP235" s="269"/>
      <c r="TYQ235" s="269"/>
      <c r="TYR235" s="269"/>
      <c r="TYS235" s="269"/>
      <c r="TYT235" s="269"/>
      <c r="TYU235" s="269"/>
      <c r="TYV235" s="269"/>
      <c r="TYW235" s="269"/>
      <c r="TYX235" s="269"/>
      <c r="TYY235" s="269"/>
      <c r="TYZ235" s="269"/>
      <c r="TZA235" s="269"/>
      <c r="TZB235" s="269"/>
      <c r="TZC235" s="269"/>
      <c r="TZD235" s="269"/>
      <c r="TZE235" s="269"/>
      <c r="TZF235" s="269"/>
      <c r="TZG235" s="269"/>
      <c r="TZH235" s="269"/>
      <c r="TZI235" s="269"/>
      <c r="TZJ235" s="269"/>
      <c r="TZK235" s="269"/>
      <c r="TZL235" s="269"/>
      <c r="TZM235" s="269"/>
      <c r="TZN235" s="269"/>
      <c r="TZO235" s="269"/>
      <c r="TZP235" s="269"/>
      <c r="TZQ235" s="269"/>
      <c r="TZR235" s="269"/>
      <c r="TZS235" s="269"/>
      <c r="TZT235" s="269"/>
      <c r="TZU235" s="269"/>
      <c r="TZV235" s="269"/>
      <c r="TZW235" s="269"/>
      <c r="TZX235" s="269"/>
      <c r="TZY235" s="269"/>
      <c r="TZZ235" s="269"/>
      <c r="UAA235" s="269"/>
      <c r="UAB235" s="269"/>
      <c r="UAC235" s="269"/>
      <c r="UAD235" s="269"/>
      <c r="UAE235" s="269"/>
      <c r="UAF235" s="269"/>
      <c r="UAG235" s="269"/>
      <c r="UAH235" s="269"/>
      <c r="UAI235" s="269"/>
      <c r="UAJ235" s="269"/>
      <c r="UAK235" s="269"/>
      <c r="UAL235" s="269"/>
      <c r="UAM235" s="269"/>
      <c r="UAN235" s="269"/>
      <c r="UAO235" s="269"/>
      <c r="UAP235" s="269"/>
      <c r="UAQ235" s="269"/>
      <c r="UAR235" s="269"/>
      <c r="UAS235" s="269"/>
      <c r="UAT235" s="269"/>
      <c r="UAU235" s="269"/>
      <c r="UAV235" s="269"/>
      <c r="UAW235" s="269"/>
      <c r="UAX235" s="269"/>
      <c r="UAY235" s="269"/>
      <c r="UAZ235" s="269"/>
      <c r="UBA235" s="269"/>
      <c r="UBB235" s="269"/>
      <c r="UBC235" s="269"/>
      <c r="UBD235" s="269"/>
      <c r="UBE235" s="269"/>
      <c r="UBF235" s="269"/>
      <c r="UBG235" s="269"/>
      <c r="UBH235" s="269"/>
      <c r="UBI235" s="269"/>
      <c r="UBJ235" s="269"/>
      <c r="UBK235" s="269"/>
      <c r="UBL235" s="269"/>
      <c r="UBM235" s="269"/>
      <c r="UBN235" s="269"/>
      <c r="UBO235" s="269"/>
      <c r="UBP235" s="269"/>
      <c r="UBQ235" s="269"/>
      <c r="UBR235" s="269"/>
      <c r="UBS235" s="269"/>
      <c r="UBT235" s="269"/>
      <c r="UBU235" s="269"/>
      <c r="UBV235" s="269"/>
      <c r="UBW235" s="269"/>
      <c r="UBX235" s="269"/>
      <c r="UBY235" s="269"/>
      <c r="UBZ235" s="269"/>
      <c r="UCA235" s="269"/>
      <c r="UCB235" s="269"/>
      <c r="UCC235" s="269"/>
      <c r="UCD235" s="269"/>
      <c r="UCE235" s="269"/>
      <c r="UCF235" s="269"/>
      <c r="UCG235" s="269"/>
      <c r="UCH235" s="269"/>
      <c r="UCI235" s="269"/>
      <c r="UCJ235" s="269"/>
      <c r="UCK235" s="269"/>
      <c r="UCL235" s="269"/>
      <c r="UCM235" s="269"/>
      <c r="UCN235" s="269"/>
      <c r="UCO235" s="269"/>
      <c r="UCP235" s="269"/>
      <c r="UCQ235" s="269"/>
      <c r="UCR235" s="269"/>
      <c r="UCS235" s="269"/>
      <c r="UCT235" s="269"/>
      <c r="UCU235" s="269"/>
      <c r="UCV235" s="269"/>
      <c r="UCW235" s="269"/>
      <c r="UCX235" s="269"/>
      <c r="UCY235" s="269"/>
      <c r="UCZ235" s="269"/>
      <c r="UDA235" s="269"/>
      <c r="UDB235" s="269"/>
      <c r="UDC235" s="269"/>
      <c r="UDD235" s="269"/>
      <c r="UDE235" s="269"/>
      <c r="UDF235" s="269"/>
      <c r="UDG235" s="269"/>
      <c r="UDH235" s="269"/>
      <c r="UDI235" s="269"/>
      <c r="UDJ235" s="269"/>
      <c r="UDK235" s="269"/>
      <c r="UDL235" s="269"/>
      <c r="UDM235" s="269"/>
      <c r="UDN235" s="269"/>
      <c r="UDO235" s="269"/>
      <c r="UDP235" s="269"/>
      <c r="UDQ235" s="269"/>
      <c r="UDR235" s="269"/>
      <c r="UDS235" s="269"/>
      <c r="UDT235" s="269"/>
      <c r="UDU235" s="269"/>
      <c r="UDV235" s="269"/>
      <c r="UDW235" s="269"/>
      <c r="UDX235" s="269"/>
      <c r="UDY235" s="269"/>
      <c r="UDZ235" s="269"/>
      <c r="UEA235" s="269"/>
      <c r="UEB235" s="269"/>
      <c r="UEC235" s="269"/>
      <c r="UED235" s="269"/>
      <c r="UEE235" s="269"/>
      <c r="UEF235" s="269"/>
      <c r="UEG235" s="269"/>
      <c r="UEH235" s="269"/>
      <c r="UEI235" s="269"/>
      <c r="UEJ235" s="269"/>
      <c r="UEK235" s="269"/>
      <c r="UEL235" s="269"/>
      <c r="UEM235" s="269"/>
      <c r="UEN235" s="269"/>
      <c r="UEO235" s="269"/>
      <c r="UEP235" s="269"/>
      <c r="UEQ235" s="269"/>
      <c r="UER235" s="269"/>
      <c r="UES235" s="269"/>
      <c r="UET235" s="269"/>
      <c r="UEU235" s="269"/>
      <c r="UEV235" s="269"/>
      <c r="UEW235" s="269"/>
      <c r="UEX235" s="269"/>
      <c r="UEY235" s="269"/>
      <c r="UEZ235" s="269"/>
      <c r="UFA235" s="269"/>
      <c r="UFB235" s="269"/>
      <c r="UFC235" s="269"/>
      <c r="UFD235" s="269"/>
      <c r="UFE235" s="269"/>
      <c r="UFF235" s="269"/>
      <c r="UFG235" s="269"/>
      <c r="UFH235" s="269"/>
      <c r="UFI235" s="269"/>
      <c r="UFJ235" s="269"/>
      <c r="UFK235" s="269"/>
      <c r="UFL235" s="269"/>
      <c r="UFM235" s="269"/>
      <c r="UFN235" s="269"/>
      <c r="UFO235" s="269"/>
      <c r="UFP235" s="269"/>
      <c r="UFQ235" s="269"/>
      <c r="UFR235" s="269"/>
      <c r="UFS235" s="269"/>
      <c r="UFT235" s="269"/>
      <c r="UFU235" s="269"/>
      <c r="UFV235" s="269"/>
      <c r="UFW235" s="269"/>
      <c r="UFX235" s="269"/>
      <c r="UFY235" s="269"/>
      <c r="UFZ235" s="269"/>
      <c r="UGA235" s="269"/>
      <c r="UGB235" s="269"/>
      <c r="UGC235" s="269"/>
      <c r="UGD235" s="269"/>
      <c r="UGE235" s="269"/>
      <c r="UGF235" s="269"/>
      <c r="UGG235" s="269"/>
      <c r="UGH235" s="269"/>
      <c r="UGI235" s="269"/>
      <c r="UGJ235" s="269"/>
      <c r="UGK235" s="269"/>
      <c r="UGL235" s="269"/>
      <c r="UGM235" s="269"/>
      <c r="UGN235" s="269"/>
      <c r="UGO235" s="269"/>
      <c r="UGP235" s="269"/>
      <c r="UGQ235" s="269"/>
      <c r="UGR235" s="269"/>
      <c r="UGS235" s="269"/>
      <c r="UGT235" s="269"/>
      <c r="UGU235" s="269"/>
      <c r="UGV235" s="269"/>
      <c r="UGW235" s="269"/>
      <c r="UGX235" s="269"/>
      <c r="UGY235" s="269"/>
      <c r="UGZ235" s="269"/>
      <c r="UHA235" s="269"/>
      <c r="UHB235" s="269"/>
      <c r="UHC235" s="269"/>
      <c r="UHD235" s="269"/>
      <c r="UHE235" s="269"/>
      <c r="UHF235" s="269"/>
      <c r="UHG235" s="269"/>
      <c r="UHH235" s="269"/>
      <c r="UHI235" s="269"/>
      <c r="UHJ235" s="269"/>
      <c r="UHK235" s="269"/>
      <c r="UHL235" s="269"/>
      <c r="UHM235" s="269"/>
      <c r="UHN235" s="269"/>
      <c r="UHO235" s="269"/>
      <c r="UHP235" s="269"/>
      <c r="UHQ235" s="269"/>
      <c r="UHR235" s="269"/>
      <c r="UHS235" s="269"/>
      <c r="UHT235" s="269"/>
      <c r="UHU235" s="269"/>
      <c r="UHV235" s="269"/>
      <c r="UHW235" s="269"/>
      <c r="UHX235" s="269"/>
      <c r="UHY235" s="269"/>
      <c r="UHZ235" s="269"/>
      <c r="UIA235" s="269"/>
      <c r="UIB235" s="269"/>
      <c r="UIC235" s="269"/>
      <c r="UID235" s="269"/>
      <c r="UIE235" s="269"/>
      <c r="UIF235" s="269"/>
      <c r="UIG235" s="269"/>
      <c r="UIH235" s="269"/>
      <c r="UII235" s="269"/>
      <c r="UIJ235" s="269"/>
      <c r="UIK235" s="269"/>
      <c r="UIL235" s="269"/>
      <c r="UIM235" s="269"/>
      <c r="UIN235" s="269"/>
      <c r="UIO235" s="269"/>
      <c r="UIP235" s="269"/>
      <c r="UIQ235" s="269"/>
      <c r="UIR235" s="269"/>
      <c r="UIS235" s="269"/>
      <c r="UIT235" s="269"/>
      <c r="UIU235" s="269"/>
      <c r="UIV235" s="269"/>
      <c r="UIW235" s="269"/>
      <c r="UIX235" s="269"/>
      <c r="UIY235" s="269"/>
      <c r="UIZ235" s="269"/>
      <c r="UJA235" s="269"/>
      <c r="UJB235" s="269"/>
      <c r="UJC235" s="269"/>
      <c r="UJD235" s="269"/>
      <c r="UJE235" s="269"/>
      <c r="UJF235" s="269"/>
      <c r="UJG235" s="269"/>
      <c r="UJH235" s="269"/>
      <c r="UJI235" s="269"/>
      <c r="UJJ235" s="269"/>
      <c r="UJK235" s="269"/>
      <c r="UJL235" s="269"/>
      <c r="UJM235" s="269"/>
      <c r="UJN235" s="269"/>
      <c r="UJO235" s="269"/>
      <c r="UJP235" s="269"/>
      <c r="UJQ235" s="269"/>
      <c r="UJR235" s="269"/>
      <c r="UJS235" s="269"/>
      <c r="UJT235" s="269"/>
      <c r="UJU235" s="269"/>
      <c r="UJV235" s="269"/>
      <c r="UJW235" s="269"/>
      <c r="UJX235" s="269"/>
      <c r="UJY235" s="269"/>
      <c r="UJZ235" s="269"/>
      <c r="UKA235" s="269"/>
      <c r="UKB235" s="269"/>
      <c r="UKC235" s="269"/>
      <c r="UKD235" s="269"/>
      <c r="UKE235" s="269"/>
      <c r="UKF235" s="269"/>
      <c r="UKG235" s="269"/>
      <c r="UKH235" s="269"/>
      <c r="UKI235" s="269"/>
      <c r="UKJ235" s="269"/>
      <c r="UKK235" s="269"/>
      <c r="UKL235" s="269"/>
      <c r="UKM235" s="269"/>
      <c r="UKN235" s="269"/>
      <c r="UKO235" s="269"/>
      <c r="UKP235" s="269"/>
      <c r="UKQ235" s="269"/>
      <c r="UKR235" s="269"/>
      <c r="UKS235" s="269"/>
      <c r="UKT235" s="269"/>
      <c r="UKU235" s="269"/>
      <c r="UKV235" s="269"/>
      <c r="UKW235" s="269"/>
      <c r="UKX235" s="269"/>
      <c r="UKY235" s="269"/>
      <c r="UKZ235" s="269"/>
      <c r="ULA235" s="269"/>
      <c r="ULB235" s="269"/>
      <c r="ULC235" s="269"/>
      <c r="ULD235" s="269"/>
      <c r="ULE235" s="269"/>
      <c r="ULF235" s="269"/>
      <c r="ULG235" s="269"/>
      <c r="ULH235" s="269"/>
      <c r="ULI235" s="269"/>
      <c r="ULJ235" s="269"/>
      <c r="ULK235" s="269"/>
      <c r="ULL235" s="269"/>
      <c r="ULM235" s="269"/>
      <c r="ULN235" s="269"/>
      <c r="ULO235" s="269"/>
      <c r="ULP235" s="269"/>
      <c r="ULQ235" s="269"/>
      <c r="ULR235" s="269"/>
      <c r="ULS235" s="269"/>
      <c r="ULT235" s="269"/>
      <c r="ULU235" s="269"/>
      <c r="ULV235" s="269"/>
      <c r="ULW235" s="269"/>
      <c r="ULX235" s="269"/>
      <c r="ULY235" s="269"/>
      <c r="ULZ235" s="269"/>
      <c r="UMA235" s="269"/>
      <c r="UMB235" s="269"/>
      <c r="UMC235" s="269"/>
      <c r="UMD235" s="269"/>
      <c r="UME235" s="269"/>
      <c r="UMF235" s="269"/>
      <c r="UMG235" s="269"/>
      <c r="UMH235" s="269"/>
      <c r="UMI235" s="269"/>
      <c r="UMJ235" s="269"/>
      <c r="UMK235" s="269"/>
      <c r="UML235" s="269"/>
      <c r="UMM235" s="269"/>
      <c r="UMN235" s="269"/>
      <c r="UMO235" s="269"/>
      <c r="UMP235" s="269"/>
      <c r="UMQ235" s="269"/>
      <c r="UMR235" s="269"/>
      <c r="UMS235" s="269"/>
      <c r="UMT235" s="269"/>
      <c r="UMU235" s="269"/>
      <c r="UMV235" s="269"/>
      <c r="UMW235" s="269"/>
      <c r="UMX235" s="269"/>
      <c r="UMY235" s="269"/>
      <c r="UMZ235" s="269"/>
      <c r="UNA235" s="269"/>
      <c r="UNB235" s="269"/>
      <c r="UNC235" s="269"/>
      <c r="UND235" s="269"/>
      <c r="UNE235" s="269"/>
      <c r="UNF235" s="269"/>
      <c r="UNG235" s="269"/>
      <c r="UNH235" s="269"/>
      <c r="UNI235" s="269"/>
      <c r="UNJ235" s="269"/>
      <c r="UNK235" s="269"/>
      <c r="UNL235" s="269"/>
      <c r="UNM235" s="269"/>
      <c r="UNN235" s="269"/>
      <c r="UNO235" s="269"/>
      <c r="UNP235" s="269"/>
      <c r="UNQ235" s="269"/>
      <c r="UNR235" s="269"/>
      <c r="UNS235" s="269"/>
      <c r="UNT235" s="269"/>
      <c r="UNU235" s="269"/>
      <c r="UNV235" s="269"/>
      <c r="UNW235" s="269"/>
      <c r="UNX235" s="269"/>
      <c r="UNY235" s="269"/>
      <c r="UNZ235" s="269"/>
      <c r="UOA235" s="269"/>
      <c r="UOB235" s="269"/>
      <c r="UOC235" s="269"/>
      <c r="UOD235" s="269"/>
      <c r="UOE235" s="269"/>
      <c r="UOF235" s="269"/>
      <c r="UOG235" s="269"/>
      <c r="UOH235" s="269"/>
      <c r="UOI235" s="269"/>
      <c r="UOJ235" s="269"/>
      <c r="UOK235" s="269"/>
      <c r="UOL235" s="269"/>
      <c r="UOM235" s="269"/>
      <c r="UON235" s="269"/>
      <c r="UOO235" s="269"/>
      <c r="UOP235" s="269"/>
      <c r="UOQ235" s="269"/>
      <c r="UOR235" s="269"/>
      <c r="UOS235" s="269"/>
      <c r="UOT235" s="269"/>
      <c r="UOU235" s="269"/>
      <c r="UOV235" s="269"/>
      <c r="UOW235" s="269"/>
      <c r="UOX235" s="269"/>
      <c r="UOY235" s="269"/>
      <c r="UOZ235" s="269"/>
      <c r="UPA235" s="269"/>
      <c r="UPB235" s="269"/>
      <c r="UPC235" s="269"/>
      <c r="UPD235" s="269"/>
      <c r="UPE235" s="269"/>
      <c r="UPF235" s="269"/>
      <c r="UPG235" s="269"/>
      <c r="UPH235" s="269"/>
      <c r="UPI235" s="269"/>
      <c r="UPJ235" s="269"/>
      <c r="UPK235" s="269"/>
      <c r="UPL235" s="269"/>
      <c r="UPM235" s="269"/>
      <c r="UPN235" s="269"/>
      <c r="UPO235" s="269"/>
      <c r="UPP235" s="269"/>
      <c r="UPQ235" s="269"/>
      <c r="UPR235" s="269"/>
      <c r="UPS235" s="269"/>
      <c r="UPT235" s="269"/>
      <c r="UPU235" s="269"/>
      <c r="UPV235" s="269"/>
      <c r="UPW235" s="269"/>
      <c r="UPX235" s="269"/>
      <c r="UPY235" s="269"/>
      <c r="UPZ235" s="269"/>
      <c r="UQA235" s="269"/>
      <c r="UQB235" s="269"/>
      <c r="UQC235" s="269"/>
      <c r="UQD235" s="269"/>
      <c r="UQE235" s="269"/>
      <c r="UQF235" s="269"/>
      <c r="UQG235" s="269"/>
      <c r="UQH235" s="269"/>
      <c r="UQI235" s="269"/>
      <c r="UQJ235" s="269"/>
      <c r="UQK235" s="269"/>
      <c r="UQL235" s="269"/>
      <c r="UQM235" s="269"/>
      <c r="UQN235" s="269"/>
      <c r="UQO235" s="269"/>
      <c r="UQP235" s="269"/>
      <c r="UQQ235" s="269"/>
      <c r="UQR235" s="269"/>
      <c r="UQS235" s="269"/>
      <c r="UQT235" s="269"/>
      <c r="UQU235" s="269"/>
      <c r="UQV235" s="269"/>
      <c r="UQW235" s="269"/>
      <c r="UQX235" s="269"/>
      <c r="UQY235" s="269"/>
      <c r="UQZ235" s="269"/>
      <c r="URA235" s="269"/>
      <c r="URB235" s="269"/>
      <c r="URC235" s="269"/>
      <c r="URD235" s="269"/>
      <c r="URE235" s="269"/>
      <c r="URF235" s="269"/>
      <c r="URG235" s="269"/>
      <c r="URH235" s="269"/>
      <c r="URI235" s="269"/>
      <c r="URJ235" s="269"/>
      <c r="URK235" s="269"/>
      <c r="URL235" s="269"/>
      <c r="URM235" s="269"/>
      <c r="URN235" s="269"/>
      <c r="URO235" s="269"/>
      <c r="URP235" s="269"/>
      <c r="URQ235" s="269"/>
      <c r="URR235" s="269"/>
      <c r="URS235" s="269"/>
      <c r="URT235" s="269"/>
      <c r="URU235" s="269"/>
      <c r="URV235" s="269"/>
      <c r="URW235" s="269"/>
      <c r="URX235" s="269"/>
      <c r="URY235" s="269"/>
      <c r="URZ235" s="269"/>
      <c r="USA235" s="269"/>
      <c r="USB235" s="269"/>
      <c r="USC235" s="269"/>
      <c r="USD235" s="269"/>
      <c r="USE235" s="269"/>
      <c r="USF235" s="269"/>
      <c r="USG235" s="269"/>
      <c r="USH235" s="269"/>
      <c r="USI235" s="269"/>
      <c r="USJ235" s="269"/>
      <c r="USK235" s="269"/>
      <c r="USL235" s="269"/>
      <c r="USM235" s="269"/>
      <c r="USN235" s="269"/>
      <c r="USO235" s="269"/>
      <c r="USP235" s="269"/>
      <c r="USQ235" s="269"/>
      <c r="USR235" s="269"/>
      <c r="USS235" s="269"/>
      <c r="UST235" s="269"/>
      <c r="USU235" s="269"/>
      <c r="USV235" s="269"/>
      <c r="USW235" s="269"/>
      <c r="USX235" s="269"/>
      <c r="USY235" s="269"/>
      <c r="USZ235" s="269"/>
      <c r="UTA235" s="269"/>
      <c r="UTB235" s="269"/>
      <c r="UTC235" s="269"/>
      <c r="UTD235" s="269"/>
      <c r="UTE235" s="269"/>
      <c r="UTF235" s="269"/>
      <c r="UTG235" s="269"/>
      <c r="UTH235" s="269"/>
      <c r="UTI235" s="269"/>
      <c r="UTJ235" s="269"/>
      <c r="UTK235" s="269"/>
      <c r="UTL235" s="269"/>
      <c r="UTM235" s="269"/>
      <c r="UTN235" s="269"/>
      <c r="UTO235" s="269"/>
      <c r="UTP235" s="269"/>
      <c r="UTQ235" s="269"/>
      <c r="UTR235" s="269"/>
      <c r="UTS235" s="269"/>
      <c r="UTT235" s="269"/>
      <c r="UTU235" s="269"/>
      <c r="UTV235" s="269"/>
      <c r="UTW235" s="269"/>
      <c r="UTX235" s="269"/>
      <c r="UTY235" s="269"/>
      <c r="UTZ235" s="269"/>
      <c r="UUA235" s="269"/>
      <c r="UUB235" s="269"/>
      <c r="UUC235" s="269"/>
      <c r="UUD235" s="269"/>
      <c r="UUE235" s="269"/>
      <c r="UUF235" s="269"/>
      <c r="UUG235" s="269"/>
      <c r="UUH235" s="269"/>
      <c r="UUI235" s="269"/>
      <c r="UUJ235" s="269"/>
      <c r="UUK235" s="269"/>
      <c r="UUL235" s="269"/>
      <c r="UUM235" s="269"/>
      <c r="UUN235" s="269"/>
      <c r="UUO235" s="269"/>
      <c r="UUP235" s="269"/>
      <c r="UUQ235" s="269"/>
      <c r="UUR235" s="269"/>
      <c r="UUS235" s="269"/>
      <c r="UUT235" s="269"/>
      <c r="UUU235" s="269"/>
      <c r="UUV235" s="269"/>
      <c r="UUW235" s="269"/>
      <c r="UUX235" s="269"/>
      <c r="UUY235" s="269"/>
      <c r="UUZ235" s="269"/>
      <c r="UVA235" s="269"/>
      <c r="UVB235" s="269"/>
      <c r="UVC235" s="269"/>
      <c r="UVD235" s="269"/>
      <c r="UVE235" s="269"/>
      <c r="UVF235" s="269"/>
      <c r="UVG235" s="269"/>
      <c r="UVH235" s="269"/>
      <c r="UVI235" s="269"/>
      <c r="UVJ235" s="269"/>
      <c r="UVK235" s="269"/>
      <c r="UVL235" s="269"/>
      <c r="UVM235" s="269"/>
      <c r="UVN235" s="269"/>
      <c r="UVO235" s="269"/>
      <c r="UVP235" s="269"/>
      <c r="UVQ235" s="269"/>
      <c r="UVR235" s="269"/>
      <c r="UVS235" s="269"/>
      <c r="UVT235" s="269"/>
      <c r="UVU235" s="269"/>
      <c r="UVV235" s="269"/>
      <c r="UVW235" s="269"/>
      <c r="UVX235" s="269"/>
      <c r="UVY235" s="269"/>
      <c r="UVZ235" s="269"/>
      <c r="UWA235" s="269"/>
      <c r="UWB235" s="269"/>
      <c r="UWC235" s="269"/>
      <c r="UWD235" s="269"/>
      <c r="UWE235" s="269"/>
      <c r="UWF235" s="269"/>
      <c r="UWG235" s="269"/>
      <c r="UWH235" s="269"/>
      <c r="UWI235" s="269"/>
      <c r="UWJ235" s="269"/>
      <c r="UWK235" s="269"/>
      <c r="UWL235" s="269"/>
      <c r="UWM235" s="269"/>
      <c r="UWN235" s="269"/>
      <c r="UWO235" s="269"/>
      <c r="UWP235" s="269"/>
      <c r="UWQ235" s="269"/>
      <c r="UWR235" s="269"/>
      <c r="UWS235" s="269"/>
      <c r="UWT235" s="269"/>
      <c r="UWU235" s="269"/>
      <c r="UWV235" s="269"/>
      <c r="UWW235" s="269"/>
      <c r="UWX235" s="269"/>
      <c r="UWY235" s="269"/>
      <c r="UWZ235" s="269"/>
      <c r="UXA235" s="269"/>
      <c r="UXB235" s="269"/>
      <c r="UXC235" s="269"/>
      <c r="UXD235" s="269"/>
      <c r="UXE235" s="269"/>
      <c r="UXF235" s="269"/>
      <c r="UXG235" s="269"/>
      <c r="UXH235" s="269"/>
      <c r="UXI235" s="269"/>
      <c r="UXJ235" s="269"/>
      <c r="UXK235" s="269"/>
      <c r="UXL235" s="269"/>
      <c r="UXM235" s="269"/>
      <c r="UXN235" s="269"/>
      <c r="UXO235" s="269"/>
      <c r="UXP235" s="269"/>
      <c r="UXQ235" s="269"/>
      <c r="UXR235" s="269"/>
      <c r="UXS235" s="269"/>
      <c r="UXT235" s="269"/>
      <c r="UXU235" s="269"/>
      <c r="UXV235" s="269"/>
      <c r="UXW235" s="269"/>
      <c r="UXX235" s="269"/>
      <c r="UXY235" s="269"/>
      <c r="UXZ235" s="269"/>
      <c r="UYA235" s="269"/>
      <c r="UYB235" s="269"/>
      <c r="UYC235" s="269"/>
      <c r="UYD235" s="269"/>
      <c r="UYE235" s="269"/>
      <c r="UYF235" s="269"/>
      <c r="UYG235" s="269"/>
      <c r="UYH235" s="269"/>
      <c r="UYI235" s="269"/>
      <c r="UYJ235" s="269"/>
      <c r="UYK235" s="269"/>
      <c r="UYL235" s="269"/>
      <c r="UYM235" s="269"/>
      <c r="UYN235" s="269"/>
      <c r="UYO235" s="269"/>
      <c r="UYP235" s="269"/>
      <c r="UYQ235" s="269"/>
      <c r="UYR235" s="269"/>
      <c r="UYS235" s="269"/>
      <c r="UYT235" s="269"/>
      <c r="UYU235" s="269"/>
      <c r="UYV235" s="269"/>
      <c r="UYW235" s="269"/>
      <c r="UYX235" s="269"/>
      <c r="UYY235" s="269"/>
      <c r="UYZ235" s="269"/>
      <c r="UZA235" s="269"/>
      <c r="UZB235" s="269"/>
      <c r="UZC235" s="269"/>
      <c r="UZD235" s="269"/>
      <c r="UZE235" s="269"/>
      <c r="UZF235" s="269"/>
      <c r="UZG235" s="269"/>
      <c r="UZH235" s="269"/>
      <c r="UZI235" s="269"/>
      <c r="UZJ235" s="269"/>
      <c r="UZK235" s="269"/>
      <c r="UZL235" s="269"/>
      <c r="UZM235" s="269"/>
      <c r="UZN235" s="269"/>
      <c r="UZO235" s="269"/>
      <c r="UZP235" s="269"/>
      <c r="UZQ235" s="269"/>
      <c r="UZR235" s="269"/>
      <c r="UZS235" s="269"/>
      <c r="UZT235" s="269"/>
      <c r="UZU235" s="269"/>
      <c r="UZV235" s="269"/>
      <c r="UZW235" s="269"/>
      <c r="UZX235" s="269"/>
      <c r="UZY235" s="269"/>
      <c r="UZZ235" s="269"/>
      <c r="VAA235" s="269"/>
      <c r="VAB235" s="269"/>
      <c r="VAC235" s="269"/>
      <c r="VAD235" s="269"/>
      <c r="VAE235" s="269"/>
      <c r="VAF235" s="269"/>
      <c r="VAG235" s="269"/>
      <c r="VAH235" s="269"/>
      <c r="VAI235" s="269"/>
      <c r="VAJ235" s="269"/>
      <c r="VAK235" s="269"/>
      <c r="VAL235" s="269"/>
      <c r="VAM235" s="269"/>
      <c r="VAN235" s="269"/>
      <c r="VAO235" s="269"/>
      <c r="VAP235" s="269"/>
      <c r="VAQ235" s="269"/>
      <c r="VAR235" s="269"/>
      <c r="VAS235" s="269"/>
      <c r="VAT235" s="269"/>
      <c r="VAU235" s="269"/>
      <c r="VAV235" s="269"/>
      <c r="VAW235" s="269"/>
      <c r="VAX235" s="269"/>
      <c r="VAY235" s="269"/>
      <c r="VAZ235" s="269"/>
      <c r="VBA235" s="269"/>
      <c r="VBB235" s="269"/>
      <c r="VBC235" s="269"/>
      <c r="VBD235" s="269"/>
      <c r="VBE235" s="269"/>
      <c r="VBF235" s="269"/>
      <c r="VBG235" s="269"/>
      <c r="VBH235" s="269"/>
      <c r="VBI235" s="269"/>
      <c r="VBJ235" s="269"/>
      <c r="VBK235" s="269"/>
      <c r="VBL235" s="269"/>
      <c r="VBM235" s="269"/>
      <c r="VBN235" s="269"/>
      <c r="VBO235" s="269"/>
      <c r="VBP235" s="269"/>
      <c r="VBQ235" s="269"/>
      <c r="VBR235" s="269"/>
      <c r="VBS235" s="269"/>
      <c r="VBT235" s="269"/>
      <c r="VBU235" s="269"/>
      <c r="VBV235" s="269"/>
      <c r="VBW235" s="269"/>
      <c r="VBX235" s="269"/>
      <c r="VBY235" s="269"/>
      <c r="VBZ235" s="269"/>
      <c r="VCA235" s="269"/>
      <c r="VCB235" s="269"/>
      <c r="VCC235" s="269"/>
      <c r="VCD235" s="269"/>
      <c r="VCE235" s="269"/>
      <c r="VCF235" s="269"/>
      <c r="VCG235" s="269"/>
      <c r="VCH235" s="269"/>
      <c r="VCI235" s="269"/>
      <c r="VCJ235" s="269"/>
      <c r="VCK235" s="269"/>
      <c r="VCL235" s="269"/>
      <c r="VCM235" s="269"/>
      <c r="VCN235" s="269"/>
      <c r="VCO235" s="269"/>
      <c r="VCP235" s="269"/>
      <c r="VCQ235" s="269"/>
      <c r="VCR235" s="269"/>
      <c r="VCS235" s="269"/>
      <c r="VCT235" s="269"/>
      <c r="VCU235" s="269"/>
      <c r="VCV235" s="269"/>
      <c r="VCW235" s="269"/>
      <c r="VCX235" s="269"/>
      <c r="VCY235" s="269"/>
      <c r="VCZ235" s="269"/>
      <c r="VDA235" s="269"/>
      <c r="VDB235" s="269"/>
      <c r="VDC235" s="269"/>
      <c r="VDD235" s="269"/>
      <c r="VDE235" s="269"/>
      <c r="VDF235" s="269"/>
      <c r="VDG235" s="269"/>
      <c r="VDH235" s="269"/>
      <c r="VDI235" s="269"/>
      <c r="VDJ235" s="269"/>
      <c r="VDK235" s="269"/>
      <c r="VDL235" s="269"/>
      <c r="VDM235" s="269"/>
      <c r="VDN235" s="269"/>
      <c r="VDO235" s="269"/>
      <c r="VDP235" s="269"/>
      <c r="VDQ235" s="269"/>
      <c r="VDR235" s="269"/>
      <c r="VDS235" s="269"/>
      <c r="VDT235" s="269"/>
      <c r="VDU235" s="269"/>
      <c r="VDV235" s="269"/>
      <c r="VDW235" s="269"/>
      <c r="VDX235" s="269"/>
      <c r="VDY235" s="269"/>
      <c r="VDZ235" s="269"/>
      <c r="VEA235" s="269"/>
      <c r="VEB235" s="269"/>
      <c r="VEC235" s="269"/>
      <c r="VED235" s="269"/>
      <c r="VEE235" s="269"/>
      <c r="VEF235" s="269"/>
      <c r="VEG235" s="269"/>
      <c r="VEH235" s="269"/>
      <c r="VEI235" s="269"/>
      <c r="VEJ235" s="269"/>
      <c r="VEK235" s="269"/>
      <c r="VEL235" s="269"/>
      <c r="VEM235" s="269"/>
      <c r="VEN235" s="269"/>
      <c r="VEO235" s="269"/>
      <c r="VEP235" s="269"/>
      <c r="VEQ235" s="269"/>
      <c r="VER235" s="269"/>
      <c r="VES235" s="269"/>
      <c r="VET235" s="269"/>
      <c r="VEU235" s="269"/>
      <c r="VEV235" s="269"/>
      <c r="VEW235" s="269"/>
      <c r="VEX235" s="269"/>
      <c r="VEY235" s="269"/>
      <c r="VEZ235" s="269"/>
      <c r="VFA235" s="269"/>
      <c r="VFB235" s="269"/>
      <c r="VFC235" s="269"/>
      <c r="VFD235" s="269"/>
      <c r="VFE235" s="269"/>
      <c r="VFF235" s="269"/>
      <c r="VFG235" s="269"/>
      <c r="VFH235" s="269"/>
      <c r="VFI235" s="269"/>
      <c r="VFJ235" s="269"/>
      <c r="VFK235" s="269"/>
      <c r="VFL235" s="269"/>
      <c r="VFM235" s="269"/>
      <c r="VFN235" s="269"/>
      <c r="VFO235" s="269"/>
      <c r="VFP235" s="269"/>
      <c r="VFQ235" s="269"/>
      <c r="VFR235" s="269"/>
      <c r="VFS235" s="269"/>
      <c r="VFT235" s="269"/>
      <c r="VFU235" s="269"/>
      <c r="VFV235" s="269"/>
      <c r="VFW235" s="269"/>
      <c r="VFX235" s="269"/>
      <c r="VFY235" s="269"/>
      <c r="VFZ235" s="269"/>
      <c r="VGA235" s="269"/>
      <c r="VGB235" s="269"/>
      <c r="VGC235" s="269"/>
      <c r="VGD235" s="269"/>
      <c r="VGE235" s="269"/>
      <c r="VGF235" s="269"/>
      <c r="VGG235" s="269"/>
      <c r="VGH235" s="269"/>
      <c r="VGI235" s="269"/>
      <c r="VGJ235" s="269"/>
      <c r="VGK235" s="269"/>
      <c r="VGL235" s="269"/>
      <c r="VGM235" s="269"/>
      <c r="VGN235" s="269"/>
      <c r="VGO235" s="269"/>
      <c r="VGP235" s="269"/>
      <c r="VGQ235" s="269"/>
      <c r="VGR235" s="269"/>
      <c r="VGS235" s="269"/>
      <c r="VGT235" s="269"/>
      <c r="VGU235" s="269"/>
      <c r="VGV235" s="269"/>
      <c r="VGW235" s="269"/>
      <c r="VGX235" s="269"/>
      <c r="VGY235" s="269"/>
      <c r="VGZ235" s="269"/>
      <c r="VHA235" s="269"/>
      <c r="VHB235" s="269"/>
      <c r="VHC235" s="269"/>
      <c r="VHD235" s="269"/>
      <c r="VHE235" s="269"/>
      <c r="VHF235" s="269"/>
      <c r="VHG235" s="269"/>
      <c r="VHH235" s="269"/>
      <c r="VHI235" s="269"/>
      <c r="VHJ235" s="269"/>
      <c r="VHK235" s="269"/>
      <c r="VHL235" s="269"/>
      <c r="VHM235" s="269"/>
      <c r="VHN235" s="269"/>
      <c r="VHO235" s="269"/>
      <c r="VHP235" s="269"/>
      <c r="VHQ235" s="269"/>
      <c r="VHR235" s="269"/>
      <c r="VHS235" s="269"/>
      <c r="VHT235" s="269"/>
      <c r="VHU235" s="269"/>
      <c r="VHV235" s="269"/>
      <c r="VHW235" s="269"/>
      <c r="VHX235" s="269"/>
      <c r="VHY235" s="269"/>
      <c r="VHZ235" s="269"/>
      <c r="VIA235" s="269"/>
      <c r="VIB235" s="269"/>
      <c r="VIC235" s="269"/>
      <c r="VID235" s="269"/>
      <c r="VIE235" s="269"/>
      <c r="VIF235" s="269"/>
      <c r="VIG235" s="269"/>
      <c r="VIH235" s="269"/>
      <c r="VII235" s="269"/>
      <c r="VIJ235" s="269"/>
      <c r="VIK235" s="269"/>
      <c r="VIL235" s="269"/>
      <c r="VIM235" s="269"/>
      <c r="VIN235" s="269"/>
      <c r="VIO235" s="269"/>
      <c r="VIP235" s="269"/>
      <c r="VIQ235" s="269"/>
      <c r="VIR235" s="269"/>
      <c r="VIS235" s="269"/>
      <c r="VIT235" s="269"/>
      <c r="VIU235" s="269"/>
      <c r="VIV235" s="269"/>
      <c r="VIW235" s="269"/>
      <c r="VIX235" s="269"/>
      <c r="VIY235" s="269"/>
      <c r="VIZ235" s="269"/>
      <c r="VJA235" s="269"/>
      <c r="VJB235" s="269"/>
      <c r="VJC235" s="269"/>
      <c r="VJD235" s="269"/>
      <c r="VJE235" s="269"/>
      <c r="VJF235" s="269"/>
      <c r="VJG235" s="269"/>
      <c r="VJH235" s="269"/>
      <c r="VJI235" s="269"/>
      <c r="VJJ235" s="269"/>
      <c r="VJK235" s="269"/>
      <c r="VJL235" s="269"/>
      <c r="VJM235" s="269"/>
      <c r="VJN235" s="269"/>
      <c r="VJO235" s="269"/>
      <c r="VJP235" s="269"/>
      <c r="VJQ235" s="269"/>
      <c r="VJR235" s="269"/>
      <c r="VJS235" s="269"/>
      <c r="VJT235" s="269"/>
      <c r="VJU235" s="269"/>
      <c r="VJV235" s="269"/>
      <c r="VJW235" s="269"/>
      <c r="VJX235" s="269"/>
      <c r="VJY235" s="269"/>
      <c r="VJZ235" s="269"/>
      <c r="VKA235" s="269"/>
      <c r="VKB235" s="269"/>
      <c r="VKC235" s="269"/>
      <c r="VKD235" s="269"/>
      <c r="VKE235" s="269"/>
      <c r="VKF235" s="269"/>
      <c r="VKG235" s="269"/>
      <c r="VKH235" s="269"/>
      <c r="VKI235" s="269"/>
      <c r="VKJ235" s="269"/>
      <c r="VKK235" s="269"/>
      <c r="VKL235" s="269"/>
      <c r="VKM235" s="269"/>
      <c r="VKN235" s="269"/>
      <c r="VKO235" s="269"/>
      <c r="VKP235" s="269"/>
      <c r="VKQ235" s="269"/>
      <c r="VKR235" s="269"/>
      <c r="VKS235" s="269"/>
      <c r="VKT235" s="269"/>
      <c r="VKU235" s="269"/>
      <c r="VKV235" s="269"/>
      <c r="VKW235" s="269"/>
      <c r="VKX235" s="269"/>
      <c r="VKY235" s="269"/>
      <c r="VKZ235" s="269"/>
      <c r="VLA235" s="269"/>
      <c r="VLB235" s="269"/>
      <c r="VLC235" s="269"/>
      <c r="VLD235" s="269"/>
      <c r="VLE235" s="269"/>
      <c r="VLF235" s="269"/>
      <c r="VLG235" s="269"/>
      <c r="VLH235" s="269"/>
      <c r="VLI235" s="269"/>
      <c r="VLJ235" s="269"/>
      <c r="VLK235" s="269"/>
      <c r="VLL235" s="269"/>
      <c r="VLM235" s="269"/>
      <c r="VLN235" s="269"/>
      <c r="VLO235" s="269"/>
      <c r="VLP235" s="269"/>
      <c r="VLQ235" s="269"/>
      <c r="VLR235" s="269"/>
      <c r="VLS235" s="269"/>
      <c r="VLT235" s="269"/>
      <c r="VLU235" s="269"/>
      <c r="VLV235" s="269"/>
      <c r="VLW235" s="269"/>
      <c r="VLX235" s="269"/>
      <c r="VLY235" s="269"/>
      <c r="VLZ235" s="269"/>
      <c r="VMA235" s="269"/>
      <c r="VMB235" s="269"/>
      <c r="VMC235" s="269"/>
      <c r="VMD235" s="269"/>
      <c r="VME235" s="269"/>
      <c r="VMF235" s="269"/>
      <c r="VMG235" s="269"/>
      <c r="VMH235" s="269"/>
      <c r="VMI235" s="269"/>
      <c r="VMJ235" s="269"/>
      <c r="VMK235" s="269"/>
      <c r="VML235" s="269"/>
      <c r="VMM235" s="269"/>
      <c r="VMN235" s="269"/>
      <c r="VMO235" s="269"/>
      <c r="VMP235" s="269"/>
      <c r="VMQ235" s="269"/>
      <c r="VMR235" s="269"/>
      <c r="VMS235" s="269"/>
      <c r="VMT235" s="269"/>
      <c r="VMU235" s="269"/>
      <c r="VMV235" s="269"/>
      <c r="VMW235" s="269"/>
      <c r="VMX235" s="269"/>
      <c r="VMY235" s="269"/>
      <c r="VMZ235" s="269"/>
      <c r="VNA235" s="269"/>
      <c r="VNB235" s="269"/>
      <c r="VNC235" s="269"/>
      <c r="VND235" s="269"/>
      <c r="VNE235" s="269"/>
      <c r="VNF235" s="269"/>
      <c r="VNG235" s="269"/>
      <c r="VNH235" s="269"/>
      <c r="VNI235" s="269"/>
      <c r="VNJ235" s="269"/>
      <c r="VNK235" s="269"/>
      <c r="VNL235" s="269"/>
      <c r="VNM235" s="269"/>
      <c r="VNN235" s="269"/>
      <c r="VNO235" s="269"/>
      <c r="VNP235" s="269"/>
      <c r="VNQ235" s="269"/>
      <c r="VNR235" s="269"/>
      <c r="VNS235" s="269"/>
      <c r="VNT235" s="269"/>
      <c r="VNU235" s="269"/>
      <c r="VNV235" s="269"/>
      <c r="VNW235" s="269"/>
      <c r="VNX235" s="269"/>
      <c r="VNY235" s="269"/>
      <c r="VNZ235" s="269"/>
      <c r="VOA235" s="269"/>
      <c r="VOB235" s="269"/>
      <c r="VOC235" s="269"/>
      <c r="VOD235" s="269"/>
      <c r="VOE235" s="269"/>
      <c r="VOF235" s="269"/>
      <c r="VOG235" s="269"/>
      <c r="VOH235" s="269"/>
      <c r="VOI235" s="269"/>
      <c r="VOJ235" s="269"/>
      <c r="VOK235" s="269"/>
      <c r="VOL235" s="269"/>
      <c r="VOM235" s="269"/>
      <c r="VON235" s="269"/>
      <c r="VOO235" s="269"/>
      <c r="VOP235" s="269"/>
      <c r="VOQ235" s="269"/>
      <c r="VOR235" s="269"/>
      <c r="VOS235" s="269"/>
      <c r="VOT235" s="269"/>
      <c r="VOU235" s="269"/>
      <c r="VOV235" s="269"/>
      <c r="VOW235" s="269"/>
      <c r="VOX235" s="269"/>
      <c r="VOY235" s="269"/>
      <c r="VOZ235" s="269"/>
      <c r="VPA235" s="269"/>
      <c r="VPB235" s="269"/>
      <c r="VPC235" s="269"/>
      <c r="VPD235" s="269"/>
      <c r="VPE235" s="269"/>
      <c r="VPF235" s="269"/>
      <c r="VPG235" s="269"/>
      <c r="VPH235" s="269"/>
      <c r="VPI235" s="269"/>
      <c r="VPJ235" s="269"/>
      <c r="VPK235" s="269"/>
      <c r="VPL235" s="269"/>
      <c r="VPM235" s="269"/>
      <c r="VPN235" s="269"/>
      <c r="VPO235" s="269"/>
      <c r="VPP235" s="269"/>
      <c r="VPQ235" s="269"/>
      <c r="VPR235" s="269"/>
      <c r="VPS235" s="269"/>
      <c r="VPT235" s="269"/>
      <c r="VPU235" s="269"/>
      <c r="VPV235" s="269"/>
      <c r="VPW235" s="269"/>
      <c r="VPX235" s="269"/>
      <c r="VPY235" s="269"/>
      <c r="VPZ235" s="269"/>
      <c r="VQA235" s="269"/>
      <c r="VQB235" s="269"/>
      <c r="VQC235" s="269"/>
      <c r="VQD235" s="269"/>
      <c r="VQE235" s="269"/>
      <c r="VQF235" s="269"/>
      <c r="VQG235" s="269"/>
      <c r="VQH235" s="269"/>
      <c r="VQI235" s="269"/>
      <c r="VQJ235" s="269"/>
      <c r="VQK235" s="269"/>
      <c r="VQL235" s="269"/>
      <c r="VQM235" s="269"/>
      <c r="VQN235" s="269"/>
      <c r="VQO235" s="269"/>
      <c r="VQP235" s="269"/>
      <c r="VQQ235" s="269"/>
      <c r="VQR235" s="269"/>
      <c r="VQS235" s="269"/>
      <c r="VQT235" s="269"/>
      <c r="VQU235" s="269"/>
      <c r="VQV235" s="269"/>
      <c r="VQW235" s="269"/>
      <c r="VQX235" s="269"/>
      <c r="VQY235" s="269"/>
      <c r="VQZ235" s="269"/>
      <c r="VRA235" s="269"/>
      <c r="VRB235" s="269"/>
      <c r="VRC235" s="269"/>
      <c r="VRD235" s="269"/>
      <c r="VRE235" s="269"/>
      <c r="VRF235" s="269"/>
      <c r="VRG235" s="269"/>
      <c r="VRH235" s="269"/>
      <c r="VRI235" s="269"/>
      <c r="VRJ235" s="269"/>
      <c r="VRK235" s="269"/>
      <c r="VRL235" s="269"/>
      <c r="VRM235" s="269"/>
      <c r="VRN235" s="269"/>
      <c r="VRO235" s="269"/>
      <c r="VRP235" s="269"/>
      <c r="VRQ235" s="269"/>
      <c r="VRR235" s="269"/>
      <c r="VRS235" s="269"/>
      <c r="VRT235" s="269"/>
      <c r="VRU235" s="269"/>
      <c r="VRV235" s="269"/>
      <c r="VRW235" s="269"/>
      <c r="VRX235" s="269"/>
      <c r="VRY235" s="269"/>
      <c r="VRZ235" s="269"/>
      <c r="VSA235" s="269"/>
      <c r="VSB235" s="269"/>
      <c r="VSC235" s="269"/>
      <c r="VSD235" s="269"/>
      <c r="VSE235" s="269"/>
      <c r="VSF235" s="269"/>
      <c r="VSG235" s="269"/>
      <c r="VSH235" s="269"/>
      <c r="VSI235" s="269"/>
      <c r="VSJ235" s="269"/>
      <c r="VSK235" s="269"/>
      <c r="VSL235" s="269"/>
      <c r="VSM235" s="269"/>
      <c r="VSN235" s="269"/>
      <c r="VSO235" s="269"/>
      <c r="VSP235" s="269"/>
      <c r="VSQ235" s="269"/>
      <c r="VSR235" s="269"/>
      <c r="VSS235" s="269"/>
      <c r="VST235" s="269"/>
      <c r="VSU235" s="269"/>
      <c r="VSV235" s="269"/>
      <c r="VSW235" s="269"/>
      <c r="VSX235" s="269"/>
      <c r="VSY235" s="269"/>
      <c r="VSZ235" s="269"/>
      <c r="VTA235" s="269"/>
      <c r="VTB235" s="269"/>
      <c r="VTC235" s="269"/>
      <c r="VTD235" s="269"/>
      <c r="VTE235" s="269"/>
      <c r="VTF235" s="269"/>
      <c r="VTG235" s="269"/>
      <c r="VTH235" s="269"/>
      <c r="VTI235" s="269"/>
      <c r="VTJ235" s="269"/>
      <c r="VTK235" s="269"/>
      <c r="VTL235" s="269"/>
      <c r="VTM235" s="269"/>
      <c r="VTN235" s="269"/>
      <c r="VTO235" s="269"/>
      <c r="VTP235" s="269"/>
      <c r="VTQ235" s="269"/>
      <c r="VTR235" s="269"/>
      <c r="VTS235" s="269"/>
      <c r="VTT235" s="269"/>
      <c r="VTU235" s="269"/>
      <c r="VTV235" s="269"/>
      <c r="VTW235" s="269"/>
      <c r="VTX235" s="269"/>
      <c r="VTY235" s="269"/>
      <c r="VTZ235" s="269"/>
      <c r="VUA235" s="269"/>
      <c r="VUB235" s="269"/>
      <c r="VUC235" s="269"/>
      <c r="VUD235" s="269"/>
      <c r="VUE235" s="269"/>
      <c r="VUF235" s="269"/>
      <c r="VUG235" s="269"/>
      <c r="VUH235" s="269"/>
      <c r="VUI235" s="269"/>
      <c r="VUJ235" s="269"/>
      <c r="VUK235" s="269"/>
      <c r="VUL235" s="269"/>
      <c r="VUM235" s="269"/>
      <c r="VUN235" s="269"/>
      <c r="VUO235" s="269"/>
      <c r="VUP235" s="269"/>
      <c r="VUQ235" s="269"/>
      <c r="VUR235" s="269"/>
      <c r="VUS235" s="269"/>
      <c r="VUT235" s="269"/>
      <c r="VUU235" s="269"/>
      <c r="VUV235" s="269"/>
      <c r="VUW235" s="269"/>
      <c r="VUX235" s="269"/>
      <c r="VUY235" s="269"/>
      <c r="VUZ235" s="269"/>
      <c r="VVA235" s="269"/>
      <c r="VVB235" s="269"/>
      <c r="VVC235" s="269"/>
      <c r="VVD235" s="269"/>
      <c r="VVE235" s="269"/>
      <c r="VVF235" s="269"/>
      <c r="VVG235" s="269"/>
      <c r="VVH235" s="269"/>
      <c r="VVI235" s="269"/>
      <c r="VVJ235" s="269"/>
      <c r="VVK235" s="269"/>
      <c r="VVL235" s="269"/>
      <c r="VVM235" s="269"/>
      <c r="VVN235" s="269"/>
      <c r="VVO235" s="269"/>
      <c r="VVP235" s="269"/>
      <c r="VVQ235" s="269"/>
      <c r="VVR235" s="269"/>
      <c r="VVS235" s="269"/>
      <c r="VVT235" s="269"/>
      <c r="VVU235" s="269"/>
      <c r="VVV235" s="269"/>
      <c r="VVW235" s="269"/>
      <c r="VVX235" s="269"/>
      <c r="VVY235" s="269"/>
      <c r="VVZ235" s="269"/>
      <c r="VWA235" s="269"/>
      <c r="VWB235" s="269"/>
      <c r="VWC235" s="269"/>
      <c r="VWD235" s="269"/>
      <c r="VWE235" s="269"/>
      <c r="VWF235" s="269"/>
      <c r="VWG235" s="269"/>
      <c r="VWH235" s="269"/>
      <c r="VWI235" s="269"/>
      <c r="VWJ235" s="269"/>
      <c r="VWK235" s="269"/>
      <c r="VWL235" s="269"/>
      <c r="VWM235" s="269"/>
      <c r="VWN235" s="269"/>
      <c r="VWO235" s="269"/>
      <c r="VWP235" s="269"/>
      <c r="VWQ235" s="269"/>
      <c r="VWR235" s="269"/>
      <c r="VWS235" s="269"/>
      <c r="VWT235" s="269"/>
      <c r="VWU235" s="269"/>
      <c r="VWV235" s="269"/>
      <c r="VWW235" s="269"/>
      <c r="VWX235" s="269"/>
      <c r="VWY235" s="269"/>
      <c r="VWZ235" s="269"/>
      <c r="VXA235" s="269"/>
      <c r="VXB235" s="269"/>
      <c r="VXC235" s="269"/>
      <c r="VXD235" s="269"/>
      <c r="VXE235" s="269"/>
      <c r="VXF235" s="269"/>
      <c r="VXG235" s="269"/>
      <c r="VXH235" s="269"/>
      <c r="VXI235" s="269"/>
      <c r="VXJ235" s="269"/>
      <c r="VXK235" s="269"/>
      <c r="VXL235" s="269"/>
      <c r="VXM235" s="269"/>
      <c r="VXN235" s="269"/>
      <c r="VXO235" s="269"/>
      <c r="VXP235" s="269"/>
      <c r="VXQ235" s="269"/>
      <c r="VXR235" s="269"/>
      <c r="VXS235" s="269"/>
      <c r="VXT235" s="269"/>
      <c r="VXU235" s="269"/>
      <c r="VXV235" s="269"/>
      <c r="VXW235" s="269"/>
      <c r="VXX235" s="269"/>
      <c r="VXY235" s="269"/>
      <c r="VXZ235" s="269"/>
      <c r="VYA235" s="269"/>
      <c r="VYB235" s="269"/>
      <c r="VYC235" s="269"/>
      <c r="VYD235" s="269"/>
      <c r="VYE235" s="269"/>
      <c r="VYF235" s="269"/>
      <c r="VYG235" s="269"/>
      <c r="VYH235" s="269"/>
      <c r="VYI235" s="269"/>
      <c r="VYJ235" s="269"/>
      <c r="VYK235" s="269"/>
      <c r="VYL235" s="269"/>
      <c r="VYM235" s="269"/>
      <c r="VYN235" s="269"/>
      <c r="VYO235" s="269"/>
      <c r="VYP235" s="269"/>
      <c r="VYQ235" s="269"/>
      <c r="VYR235" s="269"/>
      <c r="VYS235" s="269"/>
      <c r="VYT235" s="269"/>
      <c r="VYU235" s="269"/>
      <c r="VYV235" s="269"/>
      <c r="VYW235" s="269"/>
      <c r="VYX235" s="269"/>
      <c r="VYY235" s="269"/>
      <c r="VYZ235" s="269"/>
      <c r="VZA235" s="269"/>
      <c r="VZB235" s="269"/>
      <c r="VZC235" s="269"/>
      <c r="VZD235" s="269"/>
      <c r="VZE235" s="269"/>
      <c r="VZF235" s="269"/>
      <c r="VZG235" s="269"/>
      <c r="VZH235" s="269"/>
      <c r="VZI235" s="269"/>
      <c r="VZJ235" s="269"/>
      <c r="VZK235" s="269"/>
      <c r="VZL235" s="269"/>
      <c r="VZM235" s="269"/>
      <c r="VZN235" s="269"/>
      <c r="VZO235" s="269"/>
      <c r="VZP235" s="269"/>
      <c r="VZQ235" s="269"/>
      <c r="VZR235" s="269"/>
      <c r="VZS235" s="269"/>
      <c r="VZT235" s="269"/>
      <c r="VZU235" s="269"/>
      <c r="VZV235" s="269"/>
      <c r="VZW235" s="269"/>
      <c r="VZX235" s="269"/>
      <c r="VZY235" s="269"/>
      <c r="VZZ235" s="269"/>
      <c r="WAA235" s="269"/>
      <c r="WAB235" s="269"/>
      <c r="WAC235" s="269"/>
      <c r="WAD235" s="269"/>
      <c r="WAE235" s="269"/>
      <c r="WAF235" s="269"/>
      <c r="WAG235" s="269"/>
      <c r="WAH235" s="269"/>
      <c r="WAI235" s="269"/>
      <c r="WAJ235" s="269"/>
      <c r="WAK235" s="269"/>
      <c r="WAL235" s="269"/>
      <c r="WAM235" s="269"/>
      <c r="WAN235" s="269"/>
      <c r="WAO235" s="269"/>
      <c r="WAP235" s="269"/>
      <c r="WAQ235" s="269"/>
      <c r="WAR235" s="269"/>
      <c r="WAS235" s="269"/>
      <c r="WAT235" s="269"/>
      <c r="WAU235" s="269"/>
      <c r="WAV235" s="269"/>
      <c r="WAW235" s="269"/>
      <c r="WAX235" s="269"/>
      <c r="WAY235" s="269"/>
      <c r="WAZ235" s="269"/>
      <c r="WBA235" s="269"/>
      <c r="WBB235" s="269"/>
      <c r="WBC235" s="269"/>
      <c r="WBD235" s="269"/>
      <c r="WBE235" s="269"/>
      <c r="WBF235" s="269"/>
      <c r="WBG235" s="269"/>
      <c r="WBH235" s="269"/>
      <c r="WBI235" s="269"/>
      <c r="WBJ235" s="269"/>
      <c r="WBK235" s="269"/>
      <c r="WBL235" s="269"/>
      <c r="WBM235" s="269"/>
      <c r="WBN235" s="269"/>
      <c r="WBO235" s="269"/>
      <c r="WBP235" s="269"/>
      <c r="WBQ235" s="269"/>
      <c r="WBR235" s="269"/>
      <c r="WBS235" s="269"/>
      <c r="WBT235" s="269"/>
      <c r="WBU235" s="269"/>
      <c r="WBV235" s="269"/>
      <c r="WBW235" s="269"/>
      <c r="WBX235" s="269"/>
      <c r="WBY235" s="269"/>
      <c r="WBZ235" s="269"/>
      <c r="WCA235" s="269"/>
      <c r="WCB235" s="269"/>
      <c r="WCC235" s="269"/>
      <c r="WCD235" s="269"/>
      <c r="WCE235" s="269"/>
      <c r="WCF235" s="269"/>
      <c r="WCG235" s="269"/>
      <c r="WCH235" s="269"/>
      <c r="WCI235" s="269"/>
      <c r="WCJ235" s="269"/>
      <c r="WCK235" s="269"/>
      <c r="WCL235" s="269"/>
      <c r="WCM235" s="269"/>
      <c r="WCN235" s="269"/>
      <c r="WCO235" s="269"/>
      <c r="WCP235" s="269"/>
      <c r="WCQ235" s="269"/>
      <c r="WCR235" s="269"/>
      <c r="WCS235" s="269"/>
      <c r="WCT235" s="269"/>
      <c r="WCU235" s="269"/>
      <c r="WCV235" s="269"/>
      <c r="WCW235" s="269"/>
      <c r="WCX235" s="269"/>
      <c r="WCY235" s="269"/>
      <c r="WCZ235" s="269"/>
      <c r="WDA235" s="269"/>
      <c r="WDB235" s="269"/>
      <c r="WDC235" s="269"/>
      <c r="WDD235" s="269"/>
      <c r="WDE235" s="269"/>
      <c r="WDF235" s="269"/>
      <c r="WDG235" s="269"/>
      <c r="WDH235" s="269"/>
      <c r="WDI235" s="269"/>
      <c r="WDJ235" s="269"/>
      <c r="WDK235" s="269"/>
      <c r="WDL235" s="269"/>
      <c r="WDM235" s="269"/>
      <c r="WDN235" s="269"/>
      <c r="WDO235" s="269"/>
      <c r="WDP235" s="269"/>
      <c r="WDQ235" s="269"/>
      <c r="WDR235" s="269"/>
      <c r="WDS235" s="269"/>
      <c r="WDT235" s="269"/>
      <c r="WDU235" s="269"/>
      <c r="WDV235" s="269"/>
      <c r="WDW235" s="269"/>
      <c r="WDX235" s="269"/>
      <c r="WDY235" s="269"/>
      <c r="WDZ235" s="269"/>
      <c r="WEA235" s="269"/>
      <c r="WEB235" s="269"/>
      <c r="WEC235" s="269"/>
      <c r="WED235" s="269"/>
      <c r="WEE235" s="269"/>
      <c r="WEF235" s="269"/>
      <c r="WEG235" s="269"/>
      <c r="WEH235" s="269"/>
      <c r="WEI235" s="269"/>
      <c r="WEJ235" s="269"/>
      <c r="WEK235" s="269"/>
      <c r="WEL235" s="269"/>
      <c r="WEM235" s="269"/>
      <c r="WEN235" s="269"/>
      <c r="WEO235" s="269"/>
      <c r="WEP235" s="269"/>
      <c r="WEQ235" s="269"/>
      <c r="WER235" s="269"/>
      <c r="WES235" s="269"/>
      <c r="WET235" s="269"/>
      <c r="WEU235" s="269"/>
      <c r="WEV235" s="269"/>
      <c r="WEW235" s="269"/>
      <c r="WEX235" s="269"/>
      <c r="WEY235" s="269"/>
      <c r="WEZ235" s="269"/>
      <c r="WFA235" s="269"/>
      <c r="WFB235" s="269"/>
      <c r="WFC235" s="269"/>
      <c r="WFD235" s="269"/>
      <c r="WFE235" s="269"/>
      <c r="WFF235" s="269"/>
      <c r="WFG235" s="269"/>
      <c r="WFH235" s="269"/>
      <c r="WFI235" s="269"/>
      <c r="WFJ235" s="269"/>
      <c r="WFK235" s="269"/>
      <c r="WFL235" s="269"/>
      <c r="WFM235" s="269"/>
      <c r="WFN235" s="269"/>
      <c r="WFO235" s="269"/>
      <c r="WFP235" s="269"/>
      <c r="WFQ235" s="269"/>
      <c r="WFR235" s="269"/>
      <c r="WFS235" s="269"/>
      <c r="WFT235" s="269"/>
      <c r="WFU235" s="269"/>
      <c r="WFV235" s="269"/>
      <c r="WFW235" s="269"/>
      <c r="WFX235" s="269"/>
      <c r="WFY235" s="269"/>
      <c r="WFZ235" s="269"/>
      <c r="WGA235" s="269"/>
      <c r="WGB235" s="269"/>
      <c r="WGC235" s="269"/>
      <c r="WGD235" s="269"/>
      <c r="WGE235" s="269"/>
      <c r="WGF235" s="269"/>
      <c r="WGG235" s="269"/>
      <c r="WGH235" s="269"/>
      <c r="WGI235" s="269"/>
      <c r="WGJ235" s="269"/>
      <c r="WGK235" s="269"/>
      <c r="WGL235" s="269"/>
      <c r="WGM235" s="269"/>
      <c r="WGN235" s="269"/>
      <c r="WGO235" s="269"/>
      <c r="WGP235" s="269"/>
      <c r="WGQ235" s="269"/>
      <c r="WGR235" s="269"/>
      <c r="WGS235" s="269"/>
      <c r="WGT235" s="269"/>
      <c r="WGU235" s="269"/>
      <c r="WGV235" s="269"/>
      <c r="WGW235" s="269"/>
      <c r="WGX235" s="269"/>
      <c r="WGY235" s="269"/>
      <c r="WGZ235" s="269"/>
      <c r="WHA235" s="269"/>
      <c r="WHB235" s="269"/>
      <c r="WHC235" s="269"/>
      <c r="WHD235" s="269"/>
      <c r="WHE235" s="269"/>
      <c r="WHF235" s="269"/>
      <c r="WHG235" s="269"/>
      <c r="WHH235" s="269"/>
      <c r="WHI235" s="269"/>
      <c r="WHJ235" s="269"/>
      <c r="WHK235" s="269"/>
      <c r="WHL235" s="269"/>
      <c r="WHM235" s="269"/>
      <c r="WHN235" s="269"/>
      <c r="WHO235" s="269"/>
      <c r="WHP235" s="269"/>
      <c r="WHQ235" s="269"/>
      <c r="WHR235" s="269"/>
      <c r="WHS235" s="269"/>
      <c r="WHT235" s="269"/>
      <c r="WHU235" s="269"/>
      <c r="WHV235" s="269"/>
      <c r="WHW235" s="269"/>
      <c r="WHX235" s="269"/>
      <c r="WHY235" s="269"/>
      <c r="WHZ235" s="269"/>
      <c r="WIA235" s="269"/>
      <c r="WIB235" s="269"/>
      <c r="WIC235" s="269"/>
      <c r="WID235" s="269"/>
      <c r="WIE235" s="269"/>
      <c r="WIF235" s="269"/>
      <c r="WIG235" s="269"/>
      <c r="WIH235" s="269"/>
      <c r="WII235" s="269"/>
      <c r="WIJ235" s="269"/>
      <c r="WIK235" s="269"/>
      <c r="WIL235" s="269"/>
      <c r="WIM235" s="269"/>
      <c r="WIN235" s="269"/>
      <c r="WIO235" s="269"/>
      <c r="WIP235" s="269"/>
      <c r="WIQ235" s="269"/>
      <c r="WIR235" s="269"/>
      <c r="WIS235" s="269"/>
      <c r="WIT235" s="269"/>
      <c r="WIU235" s="269"/>
      <c r="WIV235" s="269"/>
      <c r="WIW235" s="269"/>
      <c r="WIX235" s="269"/>
      <c r="WIY235" s="269"/>
      <c r="WIZ235" s="269"/>
      <c r="WJA235" s="269"/>
      <c r="WJB235" s="269"/>
      <c r="WJC235" s="269"/>
      <c r="WJD235" s="269"/>
      <c r="WJE235" s="269"/>
      <c r="WJF235" s="269"/>
      <c r="WJG235" s="269"/>
      <c r="WJH235" s="269"/>
      <c r="WJI235" s="269"/>
      <c r="WJJ235" s="269"/>
      <c r="WJK235" s="269"/>
      <c r="WJL235" s="269"/>
      <c r="WJM235" s="269"/>
      <c r="WJN235" s="269"/>
      <c r="WJO235" s="269"/>
      <c r="WJP235" s="269"/>
      <c r="WJQ235" s="269"/>
      <c r="WJR235" s="269"/>
      <c r="WJS235" s="269"/>
      <c r="WJT235" s="269"/>
      <c r="WJU235" s="269"/>
      <c r="WJV235" s="269"/>
      <c r="WJW235" s="269"/>
      <c r="WJX235" s="269"/>
      <c r="WJY235" s="269"/>
      <c r="WJZ235" s="269"/>
      <c r="WKA235" s="269"/>
      <c r="WKB235" s="269"/>
      <c r="WKC235" s="269"/>
      <c r="WKD235" s="269"/>
      <c r="WKE235" s="269"/>
      <c r="WKF235" s="269"/>
      <c r="WKG235" s="269"/>
      <c r="WKH235" s="269"/>
      <c r="WKI235" s="269"/>
      <c r="WKJ235" s="269"/>
      <c r="WKK235" s="269"/>
      <c r="WKL235" s="269"/>
      <c r="WKM235" s="269"/>
      <c r="WKN235" s="269"/>
      <c r="WKO235" s="269"/>
      <c r="WKP235" s="269"/>
      <c r="WKQ235" s="269"/>
      <c r="WKR235" s="269"/>
      <c r="WKS235" s="269"/>
      <c r="WKT235" s="269"/>
      <c r="WKU235" s="269"/>
      <c r="WKV235" s="269"/>
      <c r="WKW235" s="269"/>
      <c r="WKX235" s="269"/>
      <c r="WKY235" s="269"/>
      <c r="WKZ235" s="269"/>
      <c r="WLA235" s="269"/>
      <c r="WLB235" s="269"/>
      <c r="WLC235" s="269"/>
      <c r="WLD235" s="269"/>
      <c r="WLE235" s="269"/>
      <c r="WLF235" s="269"/>
      <c r="WLG235" s="269"/>
      <c r="WLH235" s="269"/>
      <c r="WLI235" s="269"/>
      <c r="WLJ235" s="269"/>
      <c r="WLK235" s="269"/>
      <c r="WLL235" s="269"/>
      <c r="WLM235" s="269"/>
      <c r="WLN235" s="269"/>
      <c r="WLO235" s="269"/>
      <c r="WLP235" s="269"/>
      <c r="WLQ235" s="269"/>
      <c r="WLR235" s="269"/>
      <c r="WLS235" s="269"/>
      <c r="WLT235" s="269"/>
      <c r="WLU235" s="269"/>
      <c r="WLV235" s="269"/>
      <c r="WLW235" s="269"/>
      <c r="WLX235" s="269"/>
      <c r="WLY235" s="269"/>
      <c r="WLZ235" s="269"/>
      <c r="WMA235" s="269"/>
      <c r="WMB235" s="269"/>
      <c r="WMC235" s="269"/>
      <c r="WMD235" s="269"/>
      <c r="WME235" s="269"/>
      <c r="WMF235" s="269"/>
      <c r="WMG235" s="269"/>
      <c r="WMH235" s="269"/>
      <c r="WMI235" s="269"/>
      <c r="WMJ235" s="269"/>
      <c r="WMK235" s="269"/>
      <c r="WML235" s="269"/>
      <c r="WMM235" s="269"/>
      <c r="WMN235" s="269"/>
      <c r="WMO235" s="269"/>
      <c r="WMP235" s="269"/>
      <c r="WMQ235" s="269"/>
      <c r="WMR235" s="269"/>
      <c r="WMS235" s="269"/>
      <c r="WMT235" s="269"/>
      <c r="WMU235" s="269"/>
      <c r="WMV235" s="269"/>
      <c r="WMW235" s="269"/>
      <c r="WMX235" s="269"/>
      <c r="WMY235" s="269"/>
      <c r="WMZ235" s="269"/>
      <c r="WNA235" s="269"/>
      <c r="WNB235" s="269"/>
      <c r="WNC235" s="269"/>
      <c r="WND235" s="269"/>
      <c r="WNE235" s="269"/>
      <c r="WNF235" s="269"/>
      <c r="WNG235" s="269"/>
      <c r="WNH235" s="269"/>
      <c r="WNI235" s="269"/>
      <c r="WNJ235" s="269"/>
      <c r="WNK235" s="269"/>
      <c r="WNL235" s="269"/>
      <c r="WNM235" s="269"/>
      <c r="WNN235" s="269"/>
      <c r="WNO235" s="269"/>
      <c r="WNP235" s="269"/>
      <c r="WNQ235" s="269"/>
      <c r="WNR235" s="269"/>
      <c r="WNS235" s="269"/>
      <c r="WNT235" s="269"/>
      <c r="WNU235" s="269"/>
      <c r="WNV235" s="269"/>
      <c r="WNW235" s="269"/>
      <c r="WNX235" s="269"/>
      <c r="WNY235" s="269"/>
      <c r="WNZ235" s="269"/>
      <c r="WOA235" s="269"/>
      <c r="WOB235" s="269"/>
      <c r="WOC235" s="269"/>
      <c r="WOD235" s="269"/>
      <c r="WOE235" s="269"/>
      <c r="WOF235" s="269"/>
      <c r="WOG235" s="269"/>
      <c r="WOH235" s="269"/>
      <c r="WOI235" s="269"/>
      <c r="WOJ235" s="269"/>
      <c r="WOK235" s="269"/>
      <c r="WOL235" s="269"/>
      <c r="WOM235" s="269"/>
      <c r="WON235" s="269"/>
      <c r="WOO235" s="269"/>
      <c r="WOP235" s="269"/>
      <c r="WOQ235" s="269"/>
      <c r="WOR235" s="269"/>
      <c r="WOS235" s="269"/>
      <c r="WOT235" s="269"/>
      <c r="WOU235" s="269"/>
      <c r="WOV235" s="269"/>
      <c r="WOW235" s="269"/>
      <c r="WOX235" s="269"/>
      <c r="WOY235" s="269"/>
      <c r="WOZ235" s="269"/>
      <c r="WPA235" s="269"/>
      <c r="WPB235" s="269"/>
      <c r="WPC235" s="269"/>
      <c r="WPD235" s="269"/>
      <c r="WPE235" s="269"/>
      <c r="WPF235" s="269"/>
      <c r="WPG235" s="269"/>
      <c r="WPH235" s="269"/>
      <c r="WPI235" s="269"/>
      <c r="WPJ235" s="269"/>
      <c r="WPK235" s="269"/>
      <c r="WPL235" s="269"/>
      <c r="WPM235" s="269"/>
      <c r="WPN235" s="269"/>
      <c r="WPO235" s="269"/>
      <c r="WPP235" s="269"/>
      <c r="WPQ235" s="269"/>
      <c r="WPR235" s="269"/>
      <c r="WPS235" s="269"/>
      <c r="WPT235" s="269"/>
      <c r="WPU235" s="269"/>
      <c r="WPV235" s="269"/>
      <c r="WPW235" s="269"/>
      <c r="WPX235" s="269"/>
      <c r="WPY235" s="269"/>
      <c r="WPZ235" s="269"/>
      <c r="WQA235" s="269"/>
      <c r="WQB235" s="269"/>
      <c r="WQC235" s="269"/>
      <c r="WQD235" s="269"/>
      <c r="WQE235" s="269"/>
      <c r="WQF235" s="269"/>
      <c r="WQG235" s="269"/>
      <c r="WQH235" s="269"/>
      <c r="WQI235" s="269"/>
      <c r="WQJ235" s="269"/>
      <c r="WQK235" s="269"/>
      <c r="WQL235" s="269"/>
      <c r="WQM235" s="269"/>
      <c r="WQN235" s="269"/>
      <c r="WQO235" s="269"/>
      <c r="WQP235" s="269"/>
      <c r="WQQ235" s="269"/>
      <c r="WQR235" s="269"/>
      <c r="WQS235" s="269"/>
      <c r="WQT235" s="269"/>
      <c r="WQU235" s="269"/>
      <c r="WQV235" s="269"/>
      <c r="WQW235" s="269"/>
      <c r="WQX235" s="269"/>
      <c r="WQY235" s="269"/>
      <c r="WQZ235" s="269"/>
      <c r="WRA235" s="269"/>
      <c r="WRB235" s="269"/>
      <c r="WRC235" s="269"/>
      <c r="WRD235" s="269"/>
      <c r="WRE235" s="269"/>
      <c r="WRF235" s="269"/>
      <c r="WRG235" s="269"/>
      <c r="WRH235" s="269"/>
      <c r="WRI235" s="269"/>
      <c r="WRJ235" s="269"/>
      <c r="WRK235" s="269"/>
      <c r="WRL235" s="269"/>
      <c r="WRM235" s="269"/>
      <c r="WRN235" s="269"/>
      <c r="WRO235" s="269"/>
      <c r="WRP235" s="269"/>
      <c r="WRQ235" s="269"/>
      <c r="WRR235" s="269"/>
      <c r="WRS235" s="269"/>
      <c r="WRT235" s="269"/>
      <c r="WRU235" s="269"/>
      <c r="WRV235" s="269"/>
      <c r="WRW235" s="269"/>
      <c r="WRX235" s="269"/>
      <c r="WRY235" s="269"/>
      <c r="WRZ235" s="269"/>
      <c r="WSA235" s="269"/>
      <c r="WSB235" s="269"/>
      <c r="WSC235" s="269"/>
      <c r="WSD235" s="269"/>
      <c r="WSE235" s="269"/>
      <c r="WSF235" s="269"/>
      <c r="WSG235" s="269"/>
      <c r="WSH235" s="269"/>
      <c r="WSI235" s="269"/>
      <c r="WSJ235" s="269"/>
      <c r="WSK235" s="269"/>
      <c r="WSL235" s="269"/>
      <c r="WSM235" s="269"/>
      <c r="WSN235" s="269"/>
      <c r="WSO235" s="269"/>
      <c r="WSP235" s="269"/>
      <c r="WSQ235" s="269"/>
      <c r="WSR235" s="269"/>
      <c r="WSS235" s="269"/>
      <c r="WST235" s="269"/>
      <c r="WSU235" s="269"/>
      <c r="WSV235" s="269"/>
      <c r="WSW235" s="269"/>
      <c r="WSX235" s="269"/>
      <c r="WSY235" s="269"/>
      <c r="WSZ235" s="269"/>
      <c r="WTA235" s="269"/>
      <c r="WTB235" s="269"/>
      <c r="WTC235" s="269"/>
      <c r="WTD235" s="269"/>
      <c r="WTE235" s="269"/>
      <c r="WTF235" s="269"/>
      <c r="WTG235" s="269"/>
      <c r="WTH235" s="269"/>
      <c r="WTI235" s="269"/>
      <c r="WTJ235" s="269"/>
      <c r="WTK235" s="269"/>
      <c r="WTL235" s="269"/>
      <c r="WTM235" s="269"/>
      <c r="WTN235" s="269"/>
      <c r="WTO235" s="269"/>
      <c r="WTP235" s="269"/>
      <c r="WTQ235" s="269"/>
      <c r="WTR235" s="269"/>
      <c r="WTS235" s="269"/>
      <c r="WTT235" s="269"/>
      <c r="WTU235" s="269"/>
      <c r="WTV235" s="269"/>
      <c r="WTW235" s="269"/>
      <c r="WTX235" s="269"/>
      <c r="WTY235" s="269"/>
      <c r="WTZ235" s="269"/>
      <c r="WUA235" s="269"/>
      <c r="WUB235" s="269"/>
      <c r="WUC235" s="269"/>
      <c r="WUD235" s="269"/>
      <c r="WUE235" s="269"/>
      <c r="WUF235" s="269"/>
      <c r="WUG235" s="269"/>
      <c r="WUH235" s="269"/>
      <c r="WUI235" s="269"/>
      <c r="WUJ235" s="269"/>
      <c r="WUK235" s="269"/>
      <c r="WUL235" s="269"/>
      <c r="WUM235" s="269"/>
      <c r="WUN235" s="269"/>
      <c r="WUO235" s="269"/>
      <c r="WUP235" s="269"/>
      <c r="WUQ235" s="269"/>
      <c r="WUR235" s="269"/>
      <c r="WUS235" s="269"/>
      <c r="WUT235" s="269"/>
      <c r="WUU235" s="269"/>
      <c r="WUV235" s="269"/>
      <c r="WUW235" s="269"/>
      <c r="WUX235" s="269"/>
      <c r="WUY235" s="269"/>
      <c r="WUZ235" s="269"/>
      <c r="WVA235" s="269"/>
      <c r="WVB235" s="269"/>
      <c r="WVC235" s="269"/>
      <c r="WVD235" s="269"/>
      <c r="WVE235" s="269"/>
      <c r="WVF235" s="269"/>
      <c r="WVG235" s="269"/>
      <c r="WVH235" s="269"/>
      <c r="WVI235" s="269"/>
      <c r="WVJ235" s="269"/>
      <c r="WVK235" s="269"/>
      <c r="WVL235" s="269"/>
      <c r="WVM235" s="269"/>
      <c r="WVN235" s="269"/>
      <c r="WVO235" s="269"/>
      <c r="WVP235" s="269"/>
      <c r="WVQ235" s="269"/>
      <c r="WVR235" s="269"/>
      <c r="WVS235" s="269"/>
      <c r="WVT235" s="269"/>
      <c r="WVU235" s="269"/>
      <c r="WVV235" s="269"/>
      <c r="WVW235" s="269"/>
      <c r="WVX235" s="269"/>
      <c r="WVY235" s="269"/>
      <c r="WVZ235" s="269"/>
      <c r="WWA235" s="269"/>
      <c r="WWB235" s="269"/>
      <c r="WWC235" s="269"/>
      <c r="WWD235" s="269"/>
      <c r="WWE235" s="269"/>
      <c r="WWF235" s="269"/>
      <c r="WWG235" s="269"/>
      <c r="WWH235" s="269"/>
      <c r="WWI235" s="269"/>
      <c r="WWJ235" s="269"/>
      <c r="WWK235" s="269"/>
      <c r="WWL235" s="269"/>
      <c r="WWM235" s="269"/>
      <c r="WWN235" s="269"/>
      <c r="WWO235" s="269"/>
      <c r="WWP235" s="269"/>
      <c r="WWQ235" s="269"/>
      <c r="WWR235" s="269"/>
      <c r="WWS235" s="269"/>
      <c r="WWT235" s="269"/>
      <c r="WWU235" s="269"/>
      <c r="WWV235" s="269"/>
      <c r="WWW235" s="269"/>
      <c r="WWX235" s="269"/>
      <c r="WWY235" s="269"/>
      <c r="WWZ235" s="269"/>
      <c r="WXA235" s="269"/>
      <c r="WXB235" s="269"/>
      <c r="WXC235" s="269"/>
      <c r="WXD235" s="269"/>
      <c r="WXE235" s="269"/>
      <c r="WXF235" s="269"/>
      <c r="WXG235" s="269"/>
      <c r="WXH235" s="269"/>
      <c r="WXI235" s="269"/>
      <c r="WXJ235" s="269"/>
      <c r="WXK235" s="269"/>
      <c r="WXL235" s="269"/>
      <c r="WXM235" s="269"/>
      <c r="WXN235" s="269"/>
      <c r="WXO235" s="269"/>
      <c r="WXP235" s="269"/>
      <c r="WXQ235" s="269"/>
      <c r="WXR235" s="269"/>
      <c r="WXS235" s="269"/>
      <c r="WXT235" s="269"/>
      <c r="WXU235" s="269"/>
      <c r="WXV235" s="269"/>
      <c r="WXW235" s="269"/>
      <c r="WXX235" s="269"/>
      <c r="WXY235" s="269"/>
      <c r="WXZ235" s="269"/>
      <c r="WYA235" s="269"/>
      <c r="WYB235" s="269"/>
      <c r="WYC235" s="269"/>
      <c r="WYD235" s="269"/>
      <c r="WYE235" s="269"/>
      <c r="WYF235" s="269"/>
      <c r="WYG235" s="269"/>
      <c r="WYH235" s="269"/>
      <c r="WYI235" s="269"/>
      <c r="WYJ235" s="269"/>
      <c r="WYK235" s="269"/>
      <c r="WYL235" s="269"/>
      <c r="WYM235" s="269"/>
      <c r="WYN235" s="269"/>
      <c r="WYO235" s="269"/>
      <c r="WYP235" s="269"/>
      <c r="WYQ235" s="269"/>
      <c r="WYR235" s="269"/>
      <c r="WYS235" s="269"/>
      <c r="WYT235" s="269"/>
      <c r="WYU235" s="269"/>
      <c r="WYV235" s="269"/>
      <c r="WYW235" s="269"/>
      <c r="WYX235" s="269"/>
      <c r="WYY235" s="269"/>
      <c r="WYZ235" s="269"/>
      <c r="WZA235" s="269"/>
      <c r="WZB235" s="269"/>
      <c r="WZC235" s="269"/>
      <c r="WZD235" s="269"/>
      <c r="WZE235" s="269"/>
      <c r="WZF235" s="269"/>
      <c r="WZG235" s="269"/>
      <c r="WZH235" s="269"/>
      <c r="WZI235" s="269"/>
      <c r="WZJ235" s="269"/>
      <c r="WZK235" s="269"/>
      <c r="WZL235" s="269"/>
      <c r="WZM235" s="269"/>
      <c r="WZN235" s="269"/>
      <c r="WZO235" s="269"/>
      <c r="WZP235" s="269"/>
      <c r="WZQ235" s="269"/>
      <c r="WZR235" s="269"/>
      <c r="WZS235" s="269"/>
      <c r="WZT235" s="269"/>
      <c r="WZU235" s="269"/>
      <c r="WZV235" s="269"/>
      <c r="WZW235" s="269"/>
      <c r="WZX235" s="269"/>
      <c r="WZY235" s="269"/>
      <c r="WZZ235" s="269"/>
      <c r="XAA235" s="269"/>
      <c r="XAB235" s="269"/>
      <c r="XAC235" s="269"/>
      <c r="XAD235" s="269"/>
      <c r="XAE235" s="269"/>
      <c r="XAF235" s="269"/>
      <c r="XAG235" s="269"/>
      <c r="XAH235" s="269"/>
      <c r="XAI235" s="269"/>
      <c r="XAJ235" s="269"/>
      <c r="XAK235" s="269"/>
      <c r="XAL235" s="269"/>
      <c r="XAM235" s="269"/>
      <c r="XAN235" s="269"/>
      <c r="XAO235" s="269"/>
      <c r="XAP235" s="269"/>
      <c r="XAQ235" s="269"/>
      <c r="XAR235" s="269"/>
      <c r="XAS235" s="269"/>
      <c r="XAT235" s="269"/>
      <c r="XAU235" s="269"/>
      <c r="XAV235" s="269"/>
      <c r="XAW235" s="269"/>
      <c r="XAX235" s="269"/>
      <c r="XAY235" s="269"/>
      <c r="XAZ235" s="269"/>
      <c r="XBA235" s="269"/>
      <c r="XBB235" s="269"/>
      <c r="XBC235" s="269"/>
      <c r="XBD235" s="269"/>
      <c r="XBE235" s="269"/>
      <c r="XBF235" s="269"/>
      <c r="XBG235" s="269"/>
      <c r="XBH235" s="269"/>
      <c r="XBI235" s="269"/>
      <c r="XBJ235" s="269"/>
      <c r="XBK235" s="269"/>
      <c r="XBL235" s="269"/>
      <c r="XBM235" s="269"/>
      <c r="XBN235" s="269"/>
      <c r="XBO235" s="269"/>
      <c r="XBP235" s="269"/>
      <c r="XBQ235" s="269"/>
      <c r="XBR235" s="269"/>
      <c r="XBS235" s="269"/>
      <c r="XBT235" s="269"/>
      <c r="XBU235" s="269"/>
      <c r="XBV235" s="269"/>
      <c r="XBW235" s="269"/>
      <c r="XBX235" s="269"/>
      <c r="XBY235" s="269"/>
      <c r="XBZ235" s="269"/>
      <c r="XCA235" s="269"/>
      <c r="XCB235" s="269"/>
      <c r="XCC235" s="269"/>
      <c r="XCD235" s="269"/>
      <c r="XCE235" s="269"/>
      <c r="XCF235" s="269"/>
      <c r="XCG235" s="269"/>
      <c r="XCH235" s="269"/>
      <c r="XCI235" s="269"/>
      <c r="XCJ235" s="269"/>
      <c r="XCK235" s="269"/>
      <c r="XCL235" s="269"/>
      <c r="XCM235" s="269"/>
      <c r="XCN235" s="269"/>
      <c r="XCO235" s="269"/>
      <c r="XCP235" s="269"/>
      <c r="XCQ235" s="269"/>
      <c r="XCR235" s="269"/>
      <c r="XCS235" s="269"/>
      <c r="XCT235" s="269"/>
      <c r="XCU235" s="269"/>
      <c r="XCV235" s="269"/>
      <c r="XCW235" s="269"/>
      <c r="XCX235" s="269"/>
      <c r="XCY235" s="269"/>
      <c r="XCZ235" s="269"/>
      <c r="XDA235" s="269"/>
      <c r="XDB235" s="269"/>
      <c r="XDC235" s="269"/>
      <c r="XDD235" s="269"/>
      <c r="XDE235" s="269"/>
      <c r="XDF235" s="269"/>
      <c r="XDG235" s="269"/>
      <c r="XDH235" s="269"/>
      <c r="XDI235" s="269"/>
      <c r="XDJ235" s="269"/>
      <c r="XDK235" s="269"/>
      <c r="XDL235" s="269"/>
      <c r="XDM235" s="269"/>
      <c r="XDN235" s="269"/>
      <c r="XDO235" s="269"/>
      <c r="XDP235" s="269"/>
      <c r="XDQ235" s="269"/>
      <c r="XDR235" s="269"/>
      <c r="XDS235" s="269"/>
      <c r="XDT235" s="269"/>
      <c r="XDU235" s="269"/>
      <c r="XDV235" s="269"/>
      <c r="XDW235" s="269"/>
      <c r="XDX235" s="269"/>
      <c r="XDY235" s="269"/>
      <c r="XDZ235" s="269"/>
      <c r="XEA235" s="269"/>
      <c r="XEB235" s="269"/>
      <c r="XEC235" s="269"/>
      <c r="XED235" s="269"/>
      <c r="XEE235" s="269"/>
      <c r="XEF235" s="269"/>
      <c r="XEG235" s="269"/>
      <c r="XEH235" s="269"/>
      <c r="XEI235" s="269"/>
      <c r="XEJ235" s="269"/>
      <c r="XEK235" s="269"/>
      <c r="XEL235" s="269"/>
      <c r="XEM235" s="269"/>
      <c r="XEN235" s="269"/>
      <c r="XEO235" s="269"/>
      <c r="XEP235" s="269"/>
      <c r="XEQ235" s="269"/>
      <c r="XER235" s="269"/>
      <c r="XES235" s="269"/>
      <c r="XET235" s="269"/>
      <c r="XEU235" s="269"/>
      <c r="XEV235" s="269"/>
    </row>
    <row r="236" spans="1:16376" hidden="1" x14ac:dyDescent="0.15">
      <c r="A236" s="131" t="s">
        <v>768</v>
      </c>
      <c r="B236" s="261"/>
      <c r="C236" s="192"/>
      <c r="D236" s="192"/>
      <c r="E236" s="270"/>
      <c r="F236" s="162"/>
      <c r="G236" s="543">
        <v>97.406188397900777</v>
      </c>
      <c r="H236" s="544"/>
      <c r="I236" s="544"/>
      <c r="J236" s="545"/>
      <c r="K236" s="546">
        <v>257.15575843236257</v>
      </c>
      <c r="L236" s="547"/>
      <c r="M236" s="547"/>
      <c r="N236" s="548"/>
      <c r="O236" s="543">
        <v>220.09019562249779</v>
      </c>
      <c r="P236" s="544"/>
      <c r="Q236" s="544"/>
      <c r="R236" s="545"/>
      <c r="S236" s="546">
        <v>76.664025676780071</v>
      </c>
      <c r="T236" s="547"/>
      <c r="U236" s="547"/>
      <c r="V236" s="548"/>
      <c r="W236" s="543">
        <v>58.954775182730337</v>
      </c>
      <c r="X236" s="544">
        <v>0</v>
      </c>
      <c r="Y236" s="544">
        <v>0</v>
      </c>
      <c r="Z236" s="545">
        <v>0</v>
      </c>
      <c r="AA236" s="546">
        <v>68.895625907514372</v>
      </c>
      <c r="AB236" s="547">
        <v>0</v>
      </c>
      <c r="AC236" s="547">
        <v>0</v>
      </c>
      <c r="AD236" s="548">
        <v>0</v>
      </c>
      <c r="AE236" s="539">
        <v>107.8730561575304</v>
      </c>
      <c r="AF236" s="540">
        <v>0</v>
      </c>
      <c r="AG236" s="540">
        <v>0</v>
      </c>
      <c r="AH236" s="541">
        <v>0</v>
      </c>
      <c r="AI236" s="269"/>
      <c r="AJ236" s="269"/>
      <c r="AK236" s="269"/>
      <c r="AL236" s="269"/>
      <c r="AM236" s="269"/>
      <c r="AN236" s="269"/>
      <c r="AO236" s="269"/>
      <c r="AP236" s="269"/>
      <c r="AQ236" s="269"/>
      <c r="AR236" s="269"/>
      <c r="AS236" s="269"/>
      <c r="AT236" s="269"/>
      <c r="AU236" s="269"/>
      <c r="AV236" s="269"/>
      <c r="AW236" s="269"/>
      <c r="AX236" s="269"/>
      <c r="AY236" s="269"/>
      <c r="AZ236" s="269"/>
      <c r="BA236" s="269"/>
      <c r="BB236" s="269"/>
      <c r="BC236" s="269"/>
      <c r="BD236" s="269"/>
      <c r="BE236" s="269"/>
      <c r="BF236" s="269"/>
      <c r="BG236" s="269"/>
      <c r="BH236" s="269"/>
      <c r="BI236" s="269"/>
      <c r="BJ236" s="269"/>
      <c r="BK236" s="269"/>
      <c r="BL236" s="269"/>
      <c r="BM236" s="269"/>
      <c r="BN236" s="269"/>
      <c r="BO236" s="269"/>
      <c r="BP236" s="269"/>
      <c r="BQ236" s="269"/>
      <c r="BR236" s="269"/>
      <c r="BS236" s="269"/>
      <c r="BT236" s="269"/>
      <c r="BU236" s="269"/>
      <c r="BV236" s="269"/>
      <c r="BW236" s="269"/>
      <c r="BX236" s="269"/>
      <c r="BY236" s="269"/>
      <c r="BZ236" s="269"/>
      <c r="CA236" s="269"/>
      <c r="CB236" s="269"/>
      <c r="CC236" s="269"/>
      <c r="CD236" s="269"/>
      <c r="CE236" s="269"/>
      <c r="CF236" s="269"/>
      <c r="CG236" s="269"/>
      <c r="CH236" s="269"/>
      <c r="CI236" s="269"/>
      <c r="CJ236" s="269"/>
      <c r="CK236" s="269"/>
      <c r="CL236" s="269"/>
      <c r="CM236" s="269"/>
      <c r="CN236" s="269"/>
      <c r="CO236" s="269"/>
      <c r="CP236" s="269"/>
      <c r="CQ236" s="269"/>
      <c r="CR236" s="269"/>
      <c r="CS236" s="269"/>
      <c r="CT236" s="269"/>
      <c r="CU236" s="269"/>
      <c r="CV236" s="269"/>
      <c r="CW236" s="269"/>
      <c r="CX236" s="269"/>
      <c r="CY236" s="269"/>
      <c r="CZ236" s="269"/>
      <c r="DA236" s="269"/>
      <c r="DB236" s="269"/>
      <c r="DC236" s="269"/>
      <c r="DD236" s="269"/>
      <c r="DE236" s="269"/>
      <c r="DF236" s="269"/>
      <c r="DG236" s="269"/>
      <c r="DH236" s="269"/>
      <c r="DI236" s="269"/>
      <c r="DJ236" s="269"/>
      <c r="DK236" s="269"/>
      <c r="DL236" s="269"/>
      <c r="DM236" s="269"/>
      <c r="DN236" s="269"/>
      <c r="DO236" s="269"/>
      <c r="DP236" s="269"/>
      <c r="DQ236" s="269"/>
      <c r="DR236" s="269"/>
      <c r="DS236" s="269"/>
      <c r="DT236" s="269"/>
      <c r="DU236" s="269"/>
      <c r="DV236" s="269"/>
      <c r="DW236" s="269"/>
      <c r="DX236" s="269"/>
      <c r="DY236" s="269"/>
      <c r="DZ236" s="269"/>
      <c r="EA236" s="269"/>
      <c r="EB236" s="269"/>
      <c r="EC236" s="269"/>
      <c r="ED236" s="269"/>
      <c r="EE236" s="269"/>
      <c r="EF236" s="269"/>
      <c r="EG236" s="269"/>
      <c r="EH236" s="269"/>
      <c r="EI236" s="269"/>
      <c r="EJ236" s="269"/>
      <c r="EK236" s="269"/>
      <c r="EL236" s="269"/>
      <c r="EM236" s="269"/>
      <c r="EN236" s="269"/>
      <c r="EO236" s="269"/>
      <c r="EP236" s="269"/>
      <c r="EQ236" s="269"/>
      <c r="ER236" s="269"/>
      <c r="ES236" s="269"/>
      <c r="ET236" s="269"/>
      <c r="EU236" s="269"/>
      <c r="EV236" s="269"/>
      <c r="EW236" s="269"/>
      <c r="EX236" s="269"/>
      <c r="EY236" s="269"/>
      <c r="EZ236" s="269"/>
      <c r="FA236" s="269"/>
      <c r="FB236" s="269"/>
      <c r="FC236" s="269"/>
      <c r="FD236" s="269"/>
      <c r="FE236" s="269"/>
      <c r="FF236" s="269"/>
      <c r="FG236" s="269"/>
      <c r="FH236" s="269"/>
      <c r="FI236" s="269"/>
      <c r="FJ236" s="269"/>
      <c r="FK236" s="269"/>
      <c r="FL236" s="269"/>
      <c r="FM236" s="269"/>
      <c r="FN236" s="269"/>
      <c r="FO236" s="269"/>
      <c r="FP236" s="269"/>
      <c r="FQ236" s="269"/>
      <c r="FR236" s="269"/>
      <c r="FS236" s="269"/>
      <c r="FT236" s="269"/>
      <c r="FU236" s="269"/>
      <c r="FV236" s="269"/>
      <c r="FW236" s="269"/>
      <c r="FX236" s="269"/>
      <c r="FY236" s="269"/>
      <c r="FZ236" s="269"/>
      <c r="GA236" s="269"/>
      <c r="GB236" s="269"/>
      <c r="GC236" s="269"/>
      <c r="GD236" s="269"/>
      <c r="GE236" s="269"/>
      <c r="GF236" s="269"/>
      <c r="GG236" s="269"/>
      <c r="GH236" s="269"/>
      <c r="GI236" s="269"/>
      <c r="GJ236" s="269"/>
      <c r="GK236" s="269"/>
      <c r="GL236" s="269"/>
      <c r="GM236" s="269"/>
      <c r="GN236" s="269"/>
      <c r="GO236" s="269"/>
      <c r="GP236" s="269"/>
      <c r="GQ236" s="269"/>
      <c r="GR236" s="269"/>
      <c r="GS236" s="269"/>
      <c r="GT236" s="269"/>
      <c r="GU236" s="269"/>
      <c r="GV236" s="269"/>
      <c r="GW236" s="269"/>
      <c r="GX236" s="269"/>
      <c r="GY236" s="269"/>
      <c r="GZ236" s="269"/>
      <c r="HA236" s="269"/>
      <c r="HB236" s="269"/>
      <c r="HC236" s="269"/>
      <c r="HD236" s="269"/>
      <c r="HE236" s="269"/>
      <c r="HF236" s="269"/>
      <c r="HG236" s="269"/>
      <c r="HH236" s="269"/>
      <c r="HI236" s="269"/>
      <c r="HJ236" s="269"/>
      <c r="HK236" s="269"/>
      <c r="HL236" s="269"/>
      <c r="HM236" s="269"/>
      <c r="HN236" s="269"/>
      <c r="HO236" s="269"/>
      <c r="HP236" s="269"/>
      <c r="HQ236" s="269"/>
      <c r="HR236" s="269"/>
      <c r="HS236" s="269"/>
      <c r="HT236" s="269"/>
      <c r="HU236" s="269"/>
      <c r="HV236" s="269"/>
      <c r="HW236" s="269"/>
      <c r="HX236" s="269"/>
      <c r="HY236" s="269"/>
      <c r="HZ236" s="269"/>
      <c r="IA236" s="269"/>
      <c r="IB236" s="269"/>
      <c r="IC236" s="269"/>
      <c r="ID236" s="269"/>
      <c r="IE236" s="269"/>
      <c r="IF236" s="269"/>
      <c r="IG236" s="269"/>
      <c r="IH236" s="269"/>
      <c r="II236" s="269"/>
      <c r="IJ236" s="269"/>
      <c r="IK236" s="269"/>
      <c r="IL236" s="269"/>
      <c r="IM236" s="269"/>
      <c r="IN236" s="269"/>
      <c r="IO236" s="269"/>
      <c r="IP236" s="269"/>
      <c r="IQ236" s="269"/>
      <c r="IR236" s="269"/>
      <c r="IS236" s="269"/>
      <c r="IT236" s="269"/>
      <c r="IU236" s="269"/>
      <c r="IV236" s="269"/>
      <c r="IW236" s="269"/>
      <c r="IX236" s="269"/>
      <c r="IY236" s="269"/>
      <c r="IZ236" s="269"/>
      <c r="JA236" s="269"/>
      <c r="JB236" s="269"/>
      <c r="JC236" s="269"/>
      <c r="JD236" s="269"/>
      <c r="JE236" s="269"/>
      <c r="JF236" s="269"/>
      <c r="JG236" s="269"/>
      <c r="JH236" s="269"/>
      <c r="JI236" s="269"/>
      <c r="JJ236" s="269"/>
      <c r="JK236" s="269"/>
      <c r="JL236" s="269"/>
      <c r="JM236" s="269"/>
      <c r="JN236" s="269"/>
      <c r="JO236" s="269"/>
      <c r="JP236" s="269"/>
      <c r="JQ236" s="269"/>
      <c r="JR236" s="269"/>
      <c r="JS236" s="269"/>
      <c r="JT236" s="269"/>
      <c r="JU236" s="269"/>
      <c r="JV236" s="269"/>
      <c r="JW236" s="269"/>
      <c r="JX236" s="269"/>
      <c r="JY236" s="269"/>
      <c r="JZ236" s="269"/>
      <c r="KA236" s="269"/>
      <c r="KB236" s="269"/>
      <c r="KC236" s="269"/>
      <c r="KD236" s="269"/>
      <c r="KE236" s="269"/>
      <c r="KF236" s="269"/>
      <c r="KG236" s="269"/>
      <c r="KH236" s="269"/>
      <c r="KI236" s="269"/>
      <c r="KJ236" s="269"/>
      <c r="KK236" s="269"/>
      <c r="KL236" s="269"/>
      <c r="KM236" s="269"/>
      <c r="KN236" s="269"/>
      <c r="KO236" s="269"/>
      <c r="KP236" s="269"/>
      <c r="KQ236" s="269"/>
      <c r="KR236" s="269"/>
      <c r="KS236" s="269"/>
      <c r="KT236" s="269"/>
      <c r="KU236" s="269"/>
      <c r="KV236" s="269"/>
      <c r="KW236" s="269"/>
      <c r="KX236" s="269"/>
      <c r="KY236" s="269"/>
      <c r="KZ236" s="269"/>
      <c r="LA236" s="269"/>
      <c r="LB236" s="269"/>
      <c r="LC236" s="269"/>
      <c r="LD236" s="269"/>
      <c r="LE236" s="269"/>
      <c r="LF236" s="269"/>
      <c r="LG236" s="269"/>
      <c r="LH236" s="269"/>
      <c r="LI236" s="269"/>
      <c r="LJ236" s="269"/>
      <c r="LK236" s="269"/>
      <c r="LL236" s="269"/>
      <c r="LM236" s="269"/>
      <c r="LN236" s="269"/>
      <c r="LO236" s="269"/>
      <c r="LP236" s="269"/>
      <c r="LQ236" s="269"/>
      <c r="LR236" s="269"/>
      <c r="LS236" s="269"/>
      <c r="LT236" s="269"/>
      <c r="LU236" s="269"/>
      <c r="LV236" s="269"/>
      <c r="LW236" s="269"/>
      <c r="LX236" s="269"/>
      <c r="LY236" s="269"/>
      <c r="LZ236" s="269"/>
      <c r="MA236" s="269"/>
      <c r="MB236" s="269"/>
      <c r="MC236" s="269"/>
      <c r="MD236" s="269"/>
      <c r="ME236" s="269"/>
      <c r="MF236" s="269"/>
      <c r="MG236" s="269"/>
      <c r="MH236" s="269"/>
      <c r="MI236" s="269"/>
      <c r="MJ236" s="269"/>
      <c r="MK236" s="269"/>
      <c r="ML236" s="269"/>
      <c r="MM236" s="269"/>
      <c r="MN236" s="269"/>
      <c r="MO236" s="269"/>
      <c r="MP236" s="269"/>
      <c r="MQ236" s="269"/>
      <c r="MR236" s="269"/>
      <c r="MS236" s="269"/>
      <c r="MT236" s="269"/>
      <c r="MU236" s="269"/>
      <c r="MV236" s="269"/>
      <c r="MW236" s="269"/>
      <c r="MX236" s="269"/>
      <c r="MY236" s="269"/>
      <c r="MZ236" s="269"/>
      <c r="NA236" s="269"/>
      <c r="NB236" s="269"/>
      <c r="NC236" s="269"/>
      <c r="ND236" s="269"/>
      <c r="NE236" s="269"/>
      <c r="NF236" s="269"/>
      <c r="NG236" s="269"/>
      <c r="NH236" s="269"/>
      <c r="NI236" s="269"/>
      <c r="NJ236" s="269"/>
      <c r="NK236" s="269"/>
      <c r="NL236" s="269"/>
      <c r="NM236" s="269"/>
      <c r="NN236" s="269"/>
      <c r="NO236" s="269"/>
      <c r="NP236" s="269"/>
      <c r="NQ236" s="269"/>
      <c r="NR236" s="269"/>
      <c r="NS236" s="269"/>
      <c r="NT236" s="269"/>
      <c r="NU236" s="269"/>
      <c r="NV236" s="269"/>
      <c r="NW236" s="269"/>
      <c r="NX236" s="269"/>
      <c r="NY236" s="269"/>
      <c r="NZ236" s="269"/>
      <c r="OA236" s="269"/>
      <c r="OB236" s="269"/>
      <c r="OC236" s="269"/>
      <c r="OD236" s="269"/>
      <c r="OE236" s="269"/>
      <c r="OF236" s="269"/>
      <c r="OG236" s="269"/>
      <c r="OH236" s="269"/>
      <c r="OI236" s="269"/>
      <c r="OJ236" s="269"/>
      <c r="OK236" s="269"/>
      <c r="OL236" s="269"/>
      <c r="OM236" s="269"/>
      <c r="ON236" s="269"/>
      <c r="OO236" s="269"/>
      <c r="OP236" s="269"/>
      <c r="OQ236" s="269"/>
      <c r="OR236" s="269"/>
      <c r="OS236" s="269"/>
      <c r="OT236" s="269"/>
      <c r="OU236" s="269"/>
      <c r="OV236" s="269"/>
      <c r="OW236" s="269"/>
      <c r="OX236" s="269"/>
      <c r="OY236" s="269"/>
      <c r="OZ236" s="269"/>
      <c r="PA236" s="269"/>
      <c r="PB236" s="269"/>
      <c r="PC236" s="269"/>
      <c r="PD236" s="269"/>
      <c r="PE236" s="269"/>
      <c r="PF236" s="269"/>
      <c r="PG236" s="269"/>
      <c r="PH236" s="269"/>
      <c r="PI236" s="269"/>
      <c r="PJ236" s="269"/>
      <c r="PK236" s="269"/>
      <c r="PL236" s="269"/>
      <c r="PM236" s="269"/>
      <c r="PN236" s="269"/>
      <c r="PO236" s="269"/>
      <c r="PP236" s="269"/>
      <c r="PQ236" s="269"/>
      <c r="PR236" s="269"/>
      <c r="PS236" s="269"/>
      <c r="PT236" s="269"/>
      <c r="PU236" s="269"/>
      <c r="PV236" s="269"/>
      <c r="PW236" s="269"/>
      <c r="PX236" s="269"/>
      <c r="PY236" s="269"/>
      <c r="PZ236" s="269"/>
      <c r="QA236" s="269"/>
      <c r="QB236" s="269"/>
      <c r="QC236" s="269"/>
      <c r="QD236" s="269"/>
      <c r="QE236" s="269"/>
      <c r="QF236" s="269"/>
      <c r="QG236" s="269"/>
      <c r="QH236" s="269"/>
      <c r="QI236" s="269"/>
      <c r="QJ236" s="269"/>
      <c r="QK236" s="269"/>
      <c r="QL236" s="269"/>
      <c r="QM236" s="269"/>
      <c r="QN236" s="269"/>
      <c r="QO236" s="269"/>
      <c r="QP236" s="269"/>
      <c r="QQ236" s="269"/>
      <c r="QR236" s="269"/>
      <c r="QS236" s="269"/>
      <c r="QT236" s="269"/>
      <c r="QU236" s="269"/>
      <c r="QV236" s="269"/>
      <c r="QW236" s="269"/>
      <c r="QX236" s="269"/>
      <c r="QY236" s="269"/>
      <c r="QZ236" s="269"/>
      <c r="RA236" s="269"/>
      <c r="RB236" s="269"/>
      <c r="RC236" s="269"/>
      <c r="RD236" s="269"/>
      <c r="RE236" s="269"/>
      <c r="RF236" s="269"/>
      <c r="RG236" s="269"/>
      <c r="RH236" s="269"/>
      <c r="RI236" s="269"/>
      <c r="RJ236" s="269"/>
      <c r="RK236" s="269"/>
      <c r="RL236" s="269"/>
      <c r="RM236" s="269"/>
      <c r="RN236" s="269"/>
      <c r="RO236" s="269"/>
      <c r="RP236" s="269"/>
      <c r="RQ236" s="269"/>
      <c r="RR236" s="269"/>
      <c r="RS236" s="269"/>
      <c r="RT236" s="269"/>
      <c r="RU236" s="269"/>
      <c r="RV236" s="269"/>
      <c r="RW236" s="269"/>
      <c r="RX236" s="269"/>
      <c r="RY236" s="269"/>
      <c r="RZ236" s="269"/>
      <c r="SA236" s="269"/>
      <c r="SB236" s="269"/>
      <c r="SC236" s="269"/>
      <c r="SD236" s="269"/>
      <c r="SE236" s="269"/>
      <c r="SF236" s="269"/>
      <c r="SG236" s="269"/>
      <c r="SH236" s="269"/>
      <c r="SI236" s="269"/>
      <c r="SJ236" s="269"/>
      <c r="SK236" s="269"/>
      <c r="SL236" s="269"/>
      <c r="SM236" s="269"/>
      <c r="SN236" s="269"/>
      <c r="SO236" s="269"/>
      <c r="SP236" s="269"/>
      <c r="SQ236" s="269"/>
      <c r="SR236" s="269"/>
      <c r="SS236" s="269"/>
      <c r="ST236" s="269"/>
      <c r="SU236" s="269"/>
      <c r="SV236" s="269"/>
      <c r="SW236" s="269"/>
      <c r="SX236" s="269"/>
      <c r="SY236" s="269"/>
      <c r="SZ236" s="269"/>
      <c r="TA236" s="269"/>
      <c r="TB236" s="269"/>
      <c r="TC236" s="269"/>
      <c r="TD236" s="269"/>
      <c r="TE236" s="269"/>
      <c r="TF236" s="269"/>
      <c r="TG236" s="269"/>
      <c r="TH236" s="269"/>
      <c r="TI236" s="269"/>
      <c r="TJ236" s="269"/>
      <c r="TK236" s="269"/>
      <c r="TL236" s="269"/>
      <c r="TM236" s="269"/>
      <c r="TN236" s="269"/>
      <c r="TO236" s="269"/>
      <c r="TP236" s="269"/>
      <c r="TQ236" s="269"/>
      <c r="TR236" s="269"/>
      <c r="TS236" s="269"/>
      <c r="TT236" s="269"/>
      <c r="TU236" s="269"/>
      <c r="TV236" s="269"/>
      <c r="TW236" s="269"/>
      <c r="TX236" s="269"/>
      <c r="TY236" s="269"/>
      <c r="TZ236" s="269"/>
      <c r="UA236" s="269"/>
      <c r="UB236" s="269"/>
      <c r="UC236" s="269"/>
      <c r="UD236" s="269"/>
      <c r="UE236" s="269"/>
      <c r="UF236" s="269"/>
      <c r="UG236" s="269"/>
      <c r="UH236" s="269"/>
      <c r="UI236" s="269"/>
      <c r="UJ236" s="269"/>
      <c r="UK236" s="269"/>
      <c r="UL236" s="269"/>
      <c r="UM236" s="269"/>
      <c r="UN236" s="269"/>
      <c r="UO236" s="269"/>
      <c r="UP236" s="269"/>
      <c r="UQ236" s="269"/>
      <c r="UR236" s="269"/>
      <c r="US236" s="269"/>
      <c r="UT236" s="269"/>
      <c r="UU236" s="269"/>
      <c r="UV236" s="269"/>
      <c r="UW236" s="269"/>
      <c r="UX236" s="269"/>
      <c r="UY236" s="269"/>
      <c r="UZ236" s="269"/>
      <c r="VA236" s="269"/>
      <c r="VB236" s="269"/>
      <c r="VC236" s="269"/>
      <c r="VD236" s="269"/>
      <c r="VE236" s="269"/>
      <c r="VF236" s="269"/>
      <c r="VG236" s="269"/>
      <c r="VH236" s="269"/>
      <c r="VI236" s="269"/>
      <c r="VJ236" s="269"/>
      <c r="VK236" s="269"/>
      <c r="VL236" s="269"/>
      <c r="VM236" s="269"/>
      <c r="VN236" s="269"/>
      <c r="VO236" s="269"/>
      <c r="VP236" s="269"/>
      <c r="VQ236" s="269"/>
      <c r="VR236" s="269"/>
      <c r="VS236" s="269"/>
      <c r="VT236" s="269"/>
      <c r="VU236" s="269"/>
      <c r="VV236" s="269"/>
      <c r="VW236" s="269"/>
      <c r="VX236" s="269"/>
      <c r="VY236" s="269"/>
      <c r="VZ236" s="269"/>
      <c r="WA236" s="269"/>
      <c r="WB236" s="269"/>
      <c r="WC236" s="269"/>
      <c r="WD236" s="269"/>
      <c r="WE236" s="269"/>
      <c r="WF236" s="269"/>
      <c r="WG236" s="269"/>
      <c r="WH236" s="269"/>
      <c r="WI236" s="269"/>
      <c r="WJ236" s="269"/>
      <c r="WK236" s="269"/>
      <c r="WL236" s="269"/>
      <c r="WM236" s="269"/>
      <c r="WN236" s="269"/>
      <c r="WO236" s="269"/>
      <c r="WP236" s="269"/>
      <c r="WQ236" s="269"/>
      <c r="WR236" s="269"/>
      <c r="WS236" s="269"/>
      <c r="WT236" s="269"/>
      <c r="WU236" s="269"/>
      <c r="WV236" s="269"/>
      <c r="WW236" s="269"/>
      <c r="WX236" s="269"/>
      <c r="WY236" s="269"/>
      <c r="WZ236" s="269"/>
      <c r="XA236" s="269"/>
      <c r="XB236" s="269"/>
      <c r="XC236" s="269"/>
      <c r="XD236" s="269"/>
      <c r="XE236" s="269"/>
      <c r="XF236" s="269"/>
      <c r="XG236" s="269"/>
      <c r="XH236" s="269"/>
      <c r="XI236" s="269"/>
      <c r="XJ236" s="269"/>
      <c r="XK236" s="269"/>
      <c r="XL236" s="269"/>
      <c r="XM236" s="269"/>
      <c r="XN236" s="269"/>
      <c r="XO236" s="269"/>
      <c r="XP236" s="269"/>
      <c r="XQ236" s="269"/>
      <c r="XR236" s="269"/>
      <c r="XS236" s="269"/>
      <c r="XT236" s="269"/>
      <c r="XU236" s="269"/>
      <c r="XV236" s="269"/>
      <c r="XW236" s="269"/>
      <c r="XX236" s="269"/>
      <c r="XY236" s="269"/>
      <c r="XZ236" s="269"/>
      <c r="YA236" s="269"/>
      <c r="YB236" s="269"/>
      <c r="YC236" s="269"/>
      <c r="YD236" s="269"/>
      <c r="YE236" s="269"/>
      <c r="YF236" s="269"/>
      <c r="YG236" s="269"/>
      <c r="YH236" s="269"/>
      <c r="YI236" s="269"/>
      <c r="YJ236" s="269"/>
      <c r="YK236" s="269"/>
      <c r="YL236" s="269"/>
      <c r="YM236" s="269"/>
      <c r="YN236" s="269"/>
      <c r="YO236" s="269"/>
      <c r="YP236" s="269"/>
      <c r="YQ236" s="269"/>
      <c r="YR236" s="269"/>
      <c r="YS236" s="269"/>
      <c r="YT236" s="269"/>
      <c r="YU236" s="269"/>
      <c r="YV236" s="269"/>
      <c r="YW236" s="269"/>
      <c r="YX236" s="269"/>
      <c r="YY236" s="269"/>
      <c r="YZ236" s="269"/>
      <c r="ZA236" s="269"/>
      <c r="ZB236" s="269"/>
      <c r="ZC236" s="269"/>
      <c r="ZD236" s="269"/>
      <c r="ZE236" s="269"/>
      <c r="ZF236" s="269"/>
      <c r="ZG236" s="269"/>
      <c r="ZH236" s="269"/>
      <c r="ZI236" s="269"/>
      <c r="ZJ236" s="269"/>
      <c r="ZK236" s="269"/>
      <c r="ZL236" s="269"/>
      <c r="ZM236" s="269"/>
      <c r="ZN236" s="269"/>
      <c r="ZO236" s="269"/>
      <c r="ZP236" s="269"/>
      <c r="ZQ236" s="269"/>
      <c r="ZR236" s="269"/>
      <c r="ZS236" s="269"/>
      <c r="ZT236" s="269"/>
      <c r="ZU236" s="269"/>
      <c r="ZV236" s="269"/>
      <c r="ZW236" s="269"/>
      <c r="ZX236" s="269"/>
      <c r="ZY236" s="269"/>
      <c r="ZZ236" s="269"/>
      <c r="AAA236" s="269"/>
      <c r="AAB236" s="269"/>
      <c r="AAC236" s="269"/>
      <c r="AAD236" s="269"/>
      <c r="AAE236" s="269"/>
      <c r="AAF236" s="269"/>
      <c r="AAG236" s="269"/>
      <c r="AAH236" s="269"/>
      <c r="AAI236" s="269"/>
      <c r="AAJ236" s="269"/>
      <c r="AAK236" s="269"/>
      <c r="AAL236" s="269"/>
      <c r="AAM236" s="269"/>
      <c r="AAN236" s="269"/>
      <c r="AAO236" s="269"/>
      <c r="AAP236" s="269"/>
      <c r="AAQ236" s="269"/>
      <c r="AAR236" s="269"/>
      <c r="AAS236" s="269"/>
      <c r="AAT236" s="269"/>
      <c r="AAU236" s="269"/>
      <c r="AAV236" s="269"/>
      <c r="AAW236" s="269"/>
      <c r="AAX236" s="269"/>
      <c r="AAY236" s="269"/>
      <c r="AAZ236" s="269"/>
      <c r="ABA236" s="269"/>
      <c r="ABB236" s="269"/>
      <c r="ABC236" s="269"/>
      <c r="ABD236" s="269"/>
      <c r="ABE236" s="269"/>
      <c r="ABF236" s="269"/>
      <c r="ABG236" s="269"/>
      <c r="ABH236" s="269"/>
      <c r="ABI236" s="269"/>
      <c r="ABJ236" s="269"/>
      <c r="ABK236" s="269"/>
      <c r="ABL236" s="269"/>
      <c r="ABM236" s="269"/>
      <c r="ABN236" s="269"/>
      <c r="ABO236" s="269"/>
      <c r="ABP236" s="269"/>
      <c r="ABQ236" s="269"/>
      <c r="ABR236" s="269"/>
      <c r="ABS236" s="269"/>
      <c r="ABT236" s="269"/>
      <c r="ABU236" s="269"/>
      <c r="ABV236" s="269"/>
      <c r="ABW236" s="269"/>
      <c r="ABX236" s="269"/>
      <c r="ABY236" s="269"/>
      <c r="ABZ236" s="269"/>
      <c r="ACA236" s="269"/>
      <c r="ACB236" s="269"/>
      <c r="ACC236" s="269"/>
      <c r="ACD236" s="269"/>
      <c r="ACE236" s="269"/>
      <c r="ACF236" s="269"/>
      <c r="ACG236" s="269"/>
      <c r="ACH236" s="269"/>
      <c r="ACI236" s="269"/>
      <c r="ACJ236" s="269"/>
      <c r="ACK236" s="269"/>
      <c r="ACL236" s="269"/>
      <c r="ACM236" s="269"/>
      <c r="ACN236" s="269"/>
      <c r="ACO236" s="269"/>
      <c r="ACP236" s="269"/>
      <c r="ACQ236" s="269"/>
      <c r="ACR236" s="269"/>
      <c r="ACS236" s="269"/>
      <c r="ACT236" s="269"/>
      <c r="ACU236" s="269"/>
      <c r="ACV236" s="269"/>
      <c r="ACW236" s="269"/>
      <c r="ACX236" s="269"/>
      <c r="ACY236" s="269"/>
      <c r="ACZ236" s="269"/>
      <c r="ADA236" s="269"/>
      <c r="ADB236" s="269"/>
      <c r="ADC236" s="269"/>
      <c r="ADD236" s="269"/>
      <c r="ADE236" s="269"/>
      <c r="ADF236" s="269"/>
      <c r="ADG236" s="269"/>
      <c r="ADH236" s="269"/>
      <c r="ADI236" s="269"/>
      <c r="ADJ236" s="269"/>
      <c r="ADK236" s="269"/>
      <c r="ADL236" s="269"/>
      <c r="ADM236" s="269"/>
      <c r="ADN236" s="269"/>
      <c r="ADO236" s="269"/>
      <c r="ADP236" s="269"/>
      <c r="ADQ236" s="269"/>
      <c r="ADR236" s="269"/>
      <c r="ADS236" s="269"/>
      <c r="ADT236" s="269"/>
      <c r="ADU236" s="269"/>
      <c r="ADV236" s="269"/>
      <c r="ADW236" s="269"/>
      <c r="ADX236" s="269"/>
      <c r="ADY236" s="269"/>
      <c r="ADZ236" s="269"/>
      <c r="AEA236" s="269"/>
      <c r="AEB236" s="269"/>
      <c r="AEC236" s="269"/>
      <c r="AED236" s="269"/>
      <c r="AEE236" s="269"/>
      <c r="AEF236" s="269"/>
      <c r="AEG236" s="269"/>
      <c r="AEH236" s="269"/>
      <c r="AEI236" s="269"/>
      <c r="AEJ236" s="269"/>
      <c r="AEK236" s="269"/>
      <c r="AEL236" s="269"/>
      <c r="AEM236" s="269"/>
      <c r="AEN236" s="269"/>
      <c r="AEO236" s="269"/>
      <c r="AEP236" s="269"/>
      <c r="AEQ236" s="269"/>
      <c r="AER236" s="269"/>
      <c r="AES236" s="269"/>
      <c r="AET236" s="269"/>
      <c r="AEU236" s="269"/>
      <c r="AEV236" s="269"/>
      <c r="AEW236" s="269"/>
      <c r="AEX236" s="269"/>
      <c r="AEY236" s="269"/>
      <c r="AEZ236" s="269"/>
      <c r="AFA236" s="269"/>
      <c r="AFB236" s="269"/>
      <c r="AFC236" s="269"/>
      <c r="AFD236" s="269"/>
      <c r="AFE236" s="269"/>
      <c r="AFF236" s="269"/>
      <c r="AFG236" s="269"/>
      <c r="AFH236" s="269"/>
      <c r="AFI236" s="269"/>
      <c r="AFJ236" s="269"/>
      <c r="AFK236" s="269"/>
      <c r="AFL236" s="269"/>
      <c r="AFM236" s="269"/>
      <c r="AFN236" s="269"/>
      <c r="AFO236" s="269"/>
      <c r="AFP236" s="269"/>
      <c r="AFQ236" s="269"/>
      <c r="AFR236" s="269"/>
      <c r="AFS236" s="269"/>
      <c r="AFT236" s="269"/>
      <c r="AFU236" s="269"/>
      <c r="AFV236" s="269"/>
      <c r="AFW236" s="269"/>
      <c r="AFX236" s="269"/>
      <c r="AFY236" s="269"/>
      <c r="AFZ236" s="269"/>
      <c r="AGA236" s="269"/>
      <c r="AGB236" s="269"/>
      <c r="AGC236" s="269"/>
      <c r="AGD236" s="269"/>
      <c r="AGE236" s="269"/>
      <c r="AGF236" s="269"/>
      <c r="AGG236" s="269"/>
      <c r="AGH236" s="269"/>
      <c r="AGI236" s="269"/>
      <c r="AGJ236" s="269"/>
      <c r="AGK236" s="269"/>
      <c r="AGL236" s="269"/>
      <c r="AGM236" s="269"/>
      <c r="AGN236" s="269"/>
      <c r="AGO236" s="269"/>
      <c r="AGP236" s="269"/>
      <c r="AGQ236" s="269"/>
      <c r="AGR236" s="269"/>
      <c r="AGS236" s="269"/>
      <c r="AGT236" s="269"/>
      <c r="AGU236" s="269"/>
      <c r="AGV236" s="269"/>
      <c r="AGW236" s="269"/>
      <c r="AGX236" s="269"/>
      <c r="AGY236" s="269"/>
      <c r="AGZ236" s="269"/>
      <c r="AHA236" s="269"/>
      <c r="AHB236" s="269"/>
      <c r="AHC236" s="269"/>
      <c r="AHD236" s="269"/>
      <c r="AHE236" s="269"/>
      <c r="AHF236" s="269"/>
      <c r="AHG236" s="269"/>
      <c r="AHH236" s="269"/>
      <c r="AHI236" s="269"/>
      <c r="AHJ236" s="269"/>
      <c r="AHK236" s="269"/>
      <c r="AHL236" s="269"/>
      <c r="AHM236" s="269"/>
      <c r="AHN236" s="269"/>
      <c r="AHO236" s="269"/>
      <c r="AHP236" s="269"/>
      <c r="AHQ236" s="269"/>
      <c r="AHR236" s="269"/>
      <c r="AHS236" s="269"/>
      <c r="AHT236" s="269"/>
      <c r="AHU236" s="269"/>
      <c r="AHV236" s="269"/>
      <c r="AHW236" s="269"/>
      <c r="AHX236" s="269"/>
      <c r="AHY236" s="269"/>
      <c r="AHZ236" s="269"/>
      <c r="AIA236" s="269"/>
      <c r="AIB236" s="269"/>
      <c r="AIC236" s="269"/>
      <c r="AID236" s="269"/>
      <c r="AIE236" s="269"/>
      <c r="AIF236" s="269"/>
      <c r="AIG236" s="269"/>
      <c r="AIH236" s="269"/>
      <c r="AII236" s="269"/>
      <c r="AIJ236" s="269"/>
      <c r="AIK236" s="269"/>
      <c r="AIL236" s="269"/>
      <c r="AIM236" s="269"/>
      <c r="AIN236" s="269"/>
      <c r="AIO236" s="269"/>
      <c r="AIP236" s="269"/>
      <c r="AIQ236" s="269"/>
      <c r="AIR236" s="269"/>
      <c r="AIS236" s="269"/>
      <c r="AIT236" s="269"/>
      <c r="AIU236" s="269"/>
      <c r="AIV236" s="269"/>
      <c r="AIW236" s="269"/>
      <c r="AIX236" s="269"/>
      <c r="AIY236" s="269"/>
      <c r="AIZ236" s="269"/>
      <c r="AJA236" s="269"/>
      <c r="AJB236" s="269"/>
      <c r="AJC236" s="269"/>
      <c r="AJD236" s="269"/>
      <c r="AJE236" s="269"/>
      <c r="AJF236" s="269"/>
      <c r="AJG236" s="269"/>
      <c r="AJH236" s="269"/>
      <c r="AJI236" s="269"/>
      <c r="AJJ236" s="269"/>
      <c r="AJK236" s="269"/>
      <c r="AJL236" s="269"/>
      <c r="AJM236" s="269"/>
      <c r="AJN236" s="269"/>
      <c r="AJO236" s="269"/>
      <c r="AJP236" s="269"/>
      <c r="AJQ236" s="269"/>
      <c r="AJR236" s="269"/>
      <c r="AJS236" s="269"/>
      <c r="AJT236" s="269"/>
      <c r="AJU236" s="269"/>
      <c r="AJV236" s="269"/>
      <c r="AJW236" s="269"/>
      <c r="AJX236" s="269"/>
      <c r="AJY236" s="269"/>
      <c r="AJZ236" s="269"/>
      <c r="AKA236" s="269"/>
      <c r="AKB236" s="269"/>
      <c r="AKC236" s="269"/>
      <c r="AKD236" s="269"/>
      <c r="AKE236" s="269"/>
      <c r="AKF236" s="269"/>
      <c r="AKG236" s="269"/>
      <c r="AKH236" s="269"/>
      <c r="AKI236" s="269"/>
      <c r="AKJ236" s="269"/>
      <c r="AKK236" s="269"/>
      <c r="AKL236" s="269"/>
      <c r="AKM236" s="269"/>
      <c r="AKN236" s="269"/>
      <c r="AKO236" s="269"/>
      <c r="AKP236" s="269"/>
      <c r="AKQ236" s="269"/>
      <c r="AKR236" s="269"/>
      <c r="AKS236" s="269"/>
      <c r="AKT236" s="269"/>
      <c r="AKU236" s="269"/>
      <c r="AKV236" s="269"/>
      <c r="AKW236" s="269"/>
      <c r="AKX236" s="269"/>
      <c r="AKY236" s="269"/>
      <c r="AKZ236" s="269"/>
      <c r="ALA236" s="269"/>
      <c r="ALB236" s="269"/>
      <c r="ALC236" s="269"/>
      <c r="ALD236" s="269"/>
      <c r="ALE236" s="269"/>
      <c r="ALF236" s="269"/>
      <c r="ALG236" s="269"/>
      <c r="ALH236" s="269"/>
      <c r="ALI236" s="269"/>
      <c r="ALJ236" s="269"/>
      <c r="ALK236" s="269"/>
      <c r="ALL236" s="269"/>
      <c r="ALM236" s="269"/>
      <c r="ALN236" s="269"/>
      <c r="ALO236" s="269"/>
      <c r="ALP236" s="269"/>
      <c r="ALQ236" s="269"/>
      <c r="ALR236" s="269"/>
      <c r="ALS236" s="269"/>
      <c r="ALT236" s="269"/>
      <c r="ALU236" s="269"/>
      <c r="ALV236" s="269"/>
      <c r="ALW236" s="269"/>
      <c r="ALX236" s="269"/>
      <c r="ALY236" s="269"/>
      <c r="ALZ236" s="269"/>
      <c r="AMA236" s="269"/>
      <c r="AMB236" s="269"/>
      <c r="AMC236" s="269"/>
      <c r="AMD236" s="269"/>
      <c r="AME236" s="269"/>
      <c r="AMF236" s="269"/>
      <c r="AMG236" s="269"/>
      <c r="AMH236" s="269"/>
      <c r="AMI236" s="269"/>
      <c r="AMJ236" s="269"/>
      <c r="AMK236" s="269"/>
      <c r="AML236" s="269"/>
      <c r="AMM236" s="269"/>
      <c r="AMN236" s="269"/>
      <c r="AMO236" s="269"/>
      <c r="AMP236" s="269"/>
      <c r="AMQ236" s="269"/>
      <c r="AMR236" s="269"/>
      <c r="AMS236" s="269"/>
      <c r="AMT236" s="269"/>
      <c r="AMU236" s="269"/>
      <c r="AMV236" s="269"/>
      <c r="AMW236" s="269"/>
      <c r="AMX236" s="269"/>
      <c r="AMY236" s="269"/>
      <c r="AMZ236" s="269"/>
      <c r="ANA236" s="269"/>
      <c r="ANB236" s="269"/>
      <c r="ANC236" s="269"/>
      <c r="AND236" s="269"/>
      <c r="ANE236" s="269"/>
      <c r="ANF236" s="269"/>
      <c r="ANG236" s="269"/>
      <c r="ANH236" s="269"/>
      <c r="ANI236" s="269"/>
      <c r="ANJ236" s="269"/>
      <c r="ANK236" s="269"/>
      <c r="ANL236" s="269"/>
      <c r="ANM236" s="269"/>
      <c r="ANN236" s="269"/>
      <c r="ANO236" s="269"/>
      <c r="ANP236" s="269"/>
      <c r="ANQ236" s="269"/>
      <c r="ANR236" s="269"/>
      <c r="ANS236" s="269"/>
      <c r="ANT236" s="269"/>
      <c r="ANU236" s="269"/>
      <c r="ANV236" s="269"/>
      <c r="ANW236" s="269"/>
      <c r="ANX236" s="269"/>
      <c r="ANY236" s="269"/>
      <c r="ANZ236" s="269"/>
      <c r="AOA236" s="269"/>
      <c r="AOB236" s="269"/>
      <c r="AOC236" s="269"/>
      <c r="AOD236" s="269"/>
      <c r="AOE236" s="269"/>
      <c r="AOF236" s="269"/>
      <c r="AOG236" s="269"/>
      <c r="AOH236" s="269"/>
      <c r="AOI236" s="269"/>
      <c r="AOJ236" s="269"/>
      <c r="AOK236" s="269"/>
      <c r="AOL236" s="269"/>
      <c r="AOM236" s="269"/>
      <c r="AON236" s="269"/>
      <c r="AOO236" s="269"/>
      <c r="AOP236" s="269"/>
      <c r="AOQ236" s="269"/>
      <c r="AOR236" s="269"/>
      <c r="AOS236" s="269"/>
      <c r="AOT236" s="269"/>
      <c r="AOU236" s="269"/>
      <c r="AOV236" s="269"/>
      <c r="AOW236" s="269"/>
      <c r="AOX236" s="269"/>
      <c r="AOY236" s="269"/>
      <c r="AOZ236" s="269"/>
      <c r="APA236" s="269"/>
      <c r="APB236" s="269"/>
      <c r="APC236" s="269"/>
      <c r="APD236" s="269"/>
      <c r="APE236" s="269"/>
      <c r="APF236" s="269"/>
      <c r="APG236" s="269"/>
      <c r="APH236" s="269"/>
      <c r="API236" s="269"/>
      <c r="APJ236" s="269"/>
      <c r="APK236" s="269"/>
      <c r="APL236" s="269"/>
      <c r="APM236" s="269"/>
      <c r="APN236" s="269"/>
      <c r="APO236" s="269"/>
      <c r="APP236" s="269"/>
      <c r="APQ236" s="269"/>
      <c r="APR236" s="269"/>
      <c r="APS236" s="269"/>
      <c r="APT236" s="269"/>
      <c r="APU236" s="269"/>
      <c r="APV236" s="269"/>
      <c r="APW236" s="269"/>
      <c r="APX236" s="269"/>
      <c r="APY236" s="269"/>
      <c r="APZ236" s="269"/>
      <c r="AQA236" s="269"/>
      <c r="AQB236" s="269"/>
      <c r="AQC236" s="269"/>
      <c r="AQD236" s="269"/>
      <c r="AQE236" s="269"/>
      <c r="AQF236" s="269"/>
      <c r="AQG236" s="269"/>
      <c r="AQH236" s="269"/>
      <c r="AQI236" s="269"/>
      <c r="AQJ236" s="269"/>
      <c r="AQK236" s="269"/>
      <c r="AQL236" s="269"/>
      <c r="AQM236" s="269"/>
      <c r="AQN236" s="269"/>
      <c r="AQO236" s="269"/>
      <c r="AQP236" s="269"/>
      <c r="AQQ236" s="269"/>
      <c r="AQR236" s="269"/>
      <c r="AQS236" s="269"/>
      <c r="AQT236" s="269"/>
      <c r="AQU236" s="269"/>
      <c r="AQV236" s="269"/>
      <c r="AQW236" s="269"/>
      <c r="AQX236" s="269"/>
      <c r="AQY236" s="269"/>
      <c r="AQZ236" s="269"/>
      <c r="ARA236" s="269"/>
      <c r="ARB236" s="269"/>
      <c r="ARC236" s="269"/>
      <c r="ARD236" s="269"/>
      <c r="ARE236" s="269"/>
      <c r="ARF236" s="269"/>
      <c r="ARG236" s="269"/>
      <c r="ARH236" s="269"/>
      <c r="ARI236" s="269"/>
      <c r="ARJ236" s="269"/>
      <c r="ARK236" s="269"/>
      <c r="ARL236" s="269"/>
      <c r="ARM236" s="269"/>
      <c r="ARN236" s="269"/>
      <c r="ARO236" s="269"/>
      <c r="ARP236" s="269"/>
      <c r="ARQ236" s="269"/>
      <c r="ARR236" s="269"/>
      <c r="ARS236" s="269"/>
      <c r="ART236" s="269"/>
      <c r="ARU236" s="269"/>
      <c r="ARV236" s="269"/>
      <c r="ARW236" s="269"/>
      <c r="ARX236" s="269"/>
      <c r="ARY236" s="269"/>
      <c r="ARZ236" s="269"/>
      <c r="ASA236" s="269"/>
      <c r="ASB236" s="269"/>
      <c r="ASC236" s="269"/>
      <c r="ASD236" s="269"/>
      <c r="ASE236" s="269"/>
      <c r="ASF236" s="269"/>
      <c r="ASG236" s="269"/>
      <c r="ASH236" s="269"/>
      <c r="ASI236" s="269"/>
      <c r="ASJ236" s="269"/>
      <c r="ASK236" s="269"/>
      <c r="ASL236" s="269"/>
      <c r="ASM236" s="269"/>
      <c r="ASN236" s="269"/>
      <c r="ASO236" s="269"/>
      <c r="ASP236" s="269"/>
      <c r="ASQ236" s="269"/>
      <c r="ASR236" s="269"/>
      <c r="ASS236" s="269"/>
      <c r="AST236" s="269"/>
      <c r="ASU236" s="269"/>
      <c r="ASV236" s="269"/>
      <c r="ASW236" s="269"/>
      <c r="ASX236" s="269"/>
      <c r="ASY236" s="269"/>
      <c r="ASZ236" s="269"/>
      <c r="ATA236" s="269"/>
      <c r="ATB236" s="269"/>
      <c r="ATC236" s="269"/>
      <c r="ATD236" s="269"/>
      <c r="ATE236" s="269"/>
      <c r="ATF236" s="269"/>
      <c r="ATG236" s="269"/>
      <c r="ATH236" s="269"/>
      <c r="ATI236" s="269"/>
      <c r="ATJ236" s="269"/>
      <c r="ATK236" s="269"/>
      <c r="ATL236" s="269"/>
      <c r="ATM236" s="269"/>
      <c r="ATN236" s="269"/>
      <c r="ATO236" s="269"/>
      <c r="ATP236" s="269"/>
      <c r="ATQ236" s="269"/>
      <c r="ATR236" s="269"/>
      <c r="ATS236" s="269"/>
      <c r="ATT236" s="269"/>
      <c r="ATU236" s="269"/>
      <c r="ATV236" s="269"/>
      <c r="ATW236" s="269"/>
      <c r="ATX236" s="269"/>
      <c r="ATY236" s="269"/>
      <c r="ATZ236" s="269"/>
      <c r="AUA236" s="269"/>
      <c r="AUB236" s="269"/>
      <c r="AUC236" s="269"/>
      <c r="AUD236" s="269"/>
      <c r="AUE236" s="269"/>
      <c r="AUF236" s="269"/>
      <c r="AUG236" s="269"/>
      <c r="AUH236" s="269"/>
      <c r="AUI236" s="269"/>
      <c r="AUJ236" s="269"/>
      <c r="AUK236" s="269"/>
      <c r="AUL236" s="269"/>
      <c r="AUM236" s="269"/>
      <c r="AUN236" s="269"/>
      <c r="AUO236" s="269"/>
      <c r="AUP236" s="269"/>
      <c r="AUQ236" s="269"/>
      <c r="AUR236" s="269"/>
      <c r="AUS236" s="269"/>
      <c r="AUT236" s="269"/>
      <c r="AUU236" s="269"/>
      <c r="AUV236" s="269"/>
      <c r="AUW236" s="269"/>
      <c r="AUX236" s="269"/>
      <c r="AUY236" s="269"/>
      <c r="AUZ236" s="269"/>
      <c r="AVA236" s="269"/>
      <c r="AVB236" s="269"/>
      <c r="AVC236" s="269"/>
      <c r="AVD236" s="269"/>
      <c r="AVE236" s="269"/>
      <c r="AVF236" s="269"/>
      <c r="AVG236" s="269"/>
      <c r="AVH236" s="269"/>
      <c r="AVI236" s="269"/>
      <c r="AVJ236" s="269"/>
      <c r="AVK236" s="269"/>
      <c r="AVL236" s="269"/>
      <c r="AVM236" s="269"/>
      <c r="AVN236" s="269"/>
      <c r="AVO236" s="269"/>
      <c r="AVP236" s="269"/>
      <c r="AVQ236" s="269"/>
      <c r="AVR236" s="269"/>
      <c r="AVS236" s="269"/>
      <c r="AVT236" s="269"/>
      <c r="AVU236" s="269"/>
      <c r="AVV236" s="269"/>
      <c r="AVW236" s="269"/>
      <c r="AVX236" s="269"/>
      <c r="AVY236" s="269"/>
      <c r="AVZ236" s="269"/>
      <c r="AWA236" s="269"/>
      <c r="AWB236" s="269"/>
      <c r="AWC236" s="269"/>
      <c r="AWD236" s="269"/>
      <c r="AWE236" s="269"/>
      <c r="AWF236" s="269"/>
      <c r="AWG236" s="269"/>
      <c r="AWH236" s="269"/>
      <c r="AWI236" s="269"/>
      <c r="AWJ236" s="269"/>
      <c r="AWK236" s="269"/>
      <c r="AWL236" s="269"/>
      <c r="AWM236" s="269"/>
      <c r="AWN236" s="269"/>
      <c r="AWO236" s="269"/>
      <c r="AWP236" s="269"/>
      <c r="AWQ236" s="269"/>
      <c r="AWR236" s="269"/>
      <c r="AWS236" s="269"/>
      <c r="AWT236" s="269"/>
      <c r="AWU236" s="269"/>
      <c r="AWV236" s="269"/>
      <c r="AWW236" s="269"/>
      <c r="AWX236" s="269"/>
      <c r="AWY236" s="269"/>
      <c r="AWZ236" s="269"/>
      <c r="AXA236" s="269"/>
      <c r="AXB236" s="269"/>
      <c r="AXC236" s="269"/>
      <c r="AXD236" s="269"/>
      <c r="AXE236" s="269"/>
      <c r="AXF236" s="269"/>
      <c r="AXG236" s="269"/>
      <c r="AXH236" s="269"/>
      <c r="AXI236" s="269"/>
      <c r="AXJ236" s="269"/>
      <c r="AXK236" s="269"/>
      <c r="AXL236" s="269"/>
      <c r="AXM236" s="269"/>
      <c r="AXN236" s="269"/>
      <c r="AXO236" s="269"/>
      <c r="AXP236" s="269"/>
      <c r="AXQ236" s="269"/>
      <c r="AXR236" s="269"/>
      <c r="AXS236" s="269"/>
      <c r="AXT236" s="269"/>
      <c r="AXU236" s="269"/>
      <c r="AXV236" s="269"/>
      <c r="AXW236" s="269"/>
      <c r="AXX236" s="269"/>
      <c r="AXY236" s="269"/>
      <c r="AXZ236" s="269"/>
      <c r="AYA236" s="269"/>
      <c r="AYB236" s="269"/>
      <c r="AYC236" s="269"/>
      <c r="AYD236" s="269"/>
      <c r="AYE236" s="269"/>
      <c r="AYF236" s="269"/>
      <c r="AYG236" s="269"/>
      <c r="AYH236" s="269"/>
      <c r="AYI236" s="269"/>
      <c r="AYJ236" s="269"/>
      <c r="AYK236" s="269"/>
      <c r="AYL236" s="269"/>
      <c r="AYM236" s="269"/>
      <c r="AYN236" s="269"/>
      <c r="AYO236" s="269"/>
      <c r="AYP236" s="269"/>
      <c r="AYQ236" s="269"/>
      <c r="AYR236" s="269"/>
      <c r="AYS236" s="269"/>
      <c r="AYT236" s="269"/>
      <c r="AYU236" s="269"/>
      <c r="AYV236" s="269"/>
      <c r="AYW236" s="269"/>
      <c r="AYX236" s="269"/>
      <c r="AYY236" s="269"/>
      <c r="AYZ236" s="269"/>
      <c r="AZA236" s="269"/>
      <c r="AZB236" s="269"/>
      <c r="AZC236" s="269"/>
      <c r="AZD236" s="269"/>
      <c r="AZE236" s="269"/>
      <c r="AZF236" s="269"/>
      <c r="AZG236" s="269"/>
      <c r="AZH236" s="269"/>
      <c r="AZI236" s="269"/>
      <c r="AZJ236" s="269"/>
      <c r="AZK236" s="269"/>
      <c r="AZL236" s="269"/>
      <c r="AZM236" s="269"/>
      <c r="AZN236" s="269"/>
      <c r="AZO236" s="269"/>
      <c r="AZP236" s="269"/>
      <c r="AZQ236" s="269"/>
      <c r="AZR236" s="269"/>
      <c r="AZS236" s="269"/>
      <c r="AZT236" s="269"/>
      <c r="AZU236" s="269"/>
      <c r="AZV236" s="269"/>
      <c r="AZW236" s="269"/>
      <c r="AZX236" s="269"/>
      <c r="AZY236" s="269"/>
      <c r="AZZ236" s="269"/>
      <c r="BAA236" s="269"/>
      <c r="BAB236" s="269"/>
      <c r="BAC236" s="269"/>
      <c r="BAD236" s="269"/>
      <c r="BAE236" s="269"/>
      <c r="BAF236" s="269"/>
      <c r="BAG236" s="269"/>
      <c r="BAH236" s="269"/>
      <c r="BAI236" s="269"/>
      <c r="BAJ236" s="269"/>
      <c r="BAK236" s="269"/>
      <c r="BAL236" s="269"/>
      <c r="BAM236" s="269"/>
      <c r="BAN236" s="269"/>
      <c r="BAO236" s="269"/>
      <c r="BAP236" s="269"/>
      <c r="BAQ236" s="269"/>
      <c r="BAR236" s="269"/>
      <c r="BAS236" s="269"/>
      <c r="BAT236" s="269"/>
      <c r="BAU236" s="269"/>
      <c r="BAV236" s="269"/>
      <c r="BAW236" s="269"/>
      <c r="BAX236" s="269"/>
      <c r="BAY236" s="269"/>
      <c r="BAZ236" s="269"/>
      <c r="BBA236" s="269"/>
      <c r="BBB236" s="269"/>
      <c r="BBC236" s="269"/>
      <c r="BBD236" s="269"/>
      <c r="BBE236" s="269"/>
      <c r="BBF236" s="269"/>
      <c r="BBG236" s="269"/>
      <c r="BBH236" s="269"/>
      <c r="BBI236" s="269"/>
      <c r="BBJ236" s="269"/>
      <c r="BBK236" s="269"/>
      <c r="BBL236" s="269"/>
      <c r="BBM236" s="269"/>
      <c r="BBN236" s="269"/>
      <c r="BBO236" s="269"/>
      <c r="BBP236" s="269"/>
      <c r="BBQ236" s="269"/>
      <c r="BBR236" s="269"/>
      <c r="BBS236" s="269"/>
      <c r="BBT236" s="269"/>
      <c r="BBU236" s="269"/>
      <c r="BBV236" s="269"/>
      <c r="BBW236" s="269"/>
      <c r="BBX236" s="269"/>
      <c r="BBY236" s="269"/>
      <c r="BBZ236" s="269"/>
      <c r="BCA236" s="269"/>
      <c r="BCB236" s="269"/>
      <c r="BCC236" s="269"/>
      <c r="BCD236" s="269"/>
      <c r="BCE236" s="269"/>
      <c r="BCF236" s="269"/>
      <c r="BCG236" s="269"/>
      <c r="BCH236" s="269"/>
      <c r="BCI236" s="269"/>
      <c r="BCJ236" s="269"/>
      <c r="BCK236" s="269"/>
      <c r="BCL236" s="269"/>
      <c r="BCM236" s="269"/>
      <c r="BCN236" s="269"/>
      <c r="BCO236" s="269"/>
      <c r="BCP236" s="269"/>
      <c r="BCQ236" s="269"/>
      <c r="BCR236" s="269"/>
      <c r="BCS236" s="269"/>
      <c r="BCT236" s="269"/>
      <c r="BCU236" s="269"/>
      <c r="BCV236" s="269"/>
      <c r="BCW236" s="269"/>
      <c r="BCX236" s="269"/>
      <c r="BCY236" s="269"/>
      <c r="BCZ236" s="269"/>
      <c r="BDA236" s="269"/>
      <c r="BDB236" s="269"/>
      <c r="BDC236" s="269"/>
      <c r="BDD236" s="269"/>
      <c r="BDE236" s="269"/>
      <c r="BDF236" s="269"/>
      <c r="BDG236" s="269"/>
      <c r="BDH236" s="269"/>
      <c r="BDI236" s="269"/>
      <c r="BDJ236" s="269"/>
      <c r="BDK236" s="269"/>
      <c r="BDL236" s="269"/>
      <c r="BDM236" s="269"/>
      <c r="BDN236" s="269"/>
      <c r="BDO236" s="269"/>
      <c r="BDP236" s="269"/>
      <c r="BDQ236" s="269"/>
      <c r="BDR236" s="269"/>
      <c r="BDS236" s="269"/>
      <c r="BDT236" s="269"/>
      <c r="BDU236" s="269"/>
      <c r="BDV236" s="269"/>
      <c r="BDW236" s="269"/>
      <c r="BDX236" s="269"/>
      <c r="BDY236" s="269"/>
      <c r="BDZ236" s="269"/>
      <c r="BEA236" s="269"/>
      <c r="BEB236" s="269"/>
      <c r="BEC236" s="269"/>
      <c r="BED236" s="269"/>
      <c r="BEE236" s="269"/>
      <c r="BEF236" s="269"/>
      <c r="BEG236" s="269"/>
      <c r="BEH236" s="269"/>
      <c r="BEI236" s="269"/>
      <c r="BEJ236" s="269"/>
      <c r="BEK236" s="269"/>
      <c r="BEL236" s="269"/>
      <c r="BEM236" s="269"/>
      <c r="BEN236" s="269"/>
      <c r="BEO236" s="269"/>
      <c r="BEP236" s="269"/>
      <c r="BEQ236" s="269"/>
      <c r="BER236" s="269"/>
      <c r="BES236" s="269"/>
      <c r="BET236" s="269"/>
      <c r="BEU236" s="269"/>
      <c r="BEV236" s="269"/>
      <c r="BEW236" s="269"/>
      <c r="BEX236" s="269"/>
      <c r="BEY236" s="269"/>
      <c r="BEZ236" s="269"/>
      <c r="BFA236" s="269"/>
      <c r="BFB236" s="269"/>
      <c r="BFC236" s="269"/>
      <c r="BFD236" s="269"/>
      <c r="BFE236" s="269"/>
      <c r="BFF236" s="269"/>
      <c r="BFG236" s="269"/>
      <c r="BFH236" s="269"/>
      <c r="BFI236" s="269"/>
      <c r="BFJ236" s="269"/>
      <c r="BFK236" s="269"/>
      <c r="BFL236" s="269"/>
      <c r="BFM236" s="269"/>
      <c r="BFN236" s="269"/>
      <c r="BFO236" s="269"/>
      <c r="BFP236" s="269"/>
      <c r="BFQ236" s="269"/>
      <c r="BFR236" s="269"/>
      <c r="BFS236" s="269"/>
      <c r="BFT236" s="269"/>
      <c r="BFU236" s="269"/>
      <c r="BFV236" s="269"/>
      <c r="BFW236" s="269"/>
      <c r="BFX236" s="269"/>
      <c r="BFY236" s="269"/>
      <c r="BFZ236" s="269"/>
      <c r="BGA236" s="269"/>
      <c r="BGB236" s="269"/>
      <c r="BGC236" s="269"/>
      <c r="BGD236" s="269"/>
      <c r="BGE236" s="269"/>
      <c r="BGF236" s="269"/>
      <c r="BGG236" s="269"/>
      <c r="BGH236" s="269"/>
      <c r="BGI236" s="269"/>
      <c r="BGJ236" s="269"/>
      <c r="BGK236" s="269"/>
      <c r="BGL236" s="269"/>
      <c r="BGM236" s="269"/>
      <c r="BGN236" s="269"/>
      <c r="BGO236" s="269"/>
      <c r="BGP236" s="269"/>
      <c r="BGQ236" s="269"/>
      <c r="BGR236" s="269"/>
      <c r="BGS236" s="269"/>
      <c r="BGT236" s="269"/>
      <c r="BGU236" s="269"/>
      <c r="BGV236" s="269"/>
      <c r="BGW236" s="269"/>
      <c r="BGX236" s="269"/>
      <c r="BGY236" s="269"/>
      <c r="BGZ236" s="269"/>
      <c r="BHA236" s="269"/>
      <c r="BHB236" s="269"/>
      <c r="BHC236" s="269"/>
      <c r="BHD236" s="269"/>
      <c r="BHE236" s="269"/>
      <c r="BHF236" s="269"/>
      <c r="BHG236" s="269"/>
      <c r="BHH236" s="269"/>
      <c r="BHI236" s="269"/>
      <c r="BHJ236" s="269"/>
      <c r="BHK236" s="269"/>
      <c r="BHL236" s="269"/>
      <c r="BHM236" s="269"/>
      <c r="BHN236" s="269"/>
      <c r="BHO236" s="269"/>
      <c r="BHP236" s="269"/>
      <c r="BHQ236" s="269"/>
      <c r="BHR236" s="269"/>
      <c r="BHS236" s="269"/>
      <c r="BHT236" s="269"/>
      <c r="BHU236" s="269"/>
      <c r="BHV236" s="269"/>
      <c r="BHW236" s="269"/>
      <c r="BHX236" s="269"/>
      <c r="BHY236" s="269"/>
      <c r="BHZ236" s="269"/>
      <c r="BIA236" s="269"/>
      <c r="BIB236" s="269"/>
      <c r="BIC236" s="269"/>
      <c r="BID236" s="269"/>
      <c r="BIE236" s="269"/>
      <c r="BIF236" s="269"/>
      <c r="BIG236" s="269"/>
      <c r="BIH236" s="269"/>
      <c r="BII236" s="269"/>
      <c r="BIJ236" s="269"/>
      <c r="BIK236" s="269"/>
      <c r="BIL236" s="269"/>
      <c r="BIM236" s="269"/>
      <c r="BIN236" s="269"/>
      <c r="BIO236" s="269"/>
      <c r="BIP236" s="269"/>
      <c r="BIQ236" s="269"/>
      <c r="BIR236" s="269"/>
      <c r="BIS236" s="269"/>
      <c r="BIT236" s="269"/>
      <c r="BIU236" s="269"/>
      <c r="BIV236" s="269"/>
      <c r="BIW236" s="269"/>
      <c r="BIX236" s="269"/>
      <c r="BIY236" s="269"/>
      <c r="BIZ236" s="269"/>
      <c r="BJA236" s="269"/>
      <c r="BJB236" s="269"/>
      <c r="BJC236" s="269"/>
      <c r="BJD236" s="269"/>
      <c r="BJE236" s="269"/>
      <c r="BJF236" s="269"/>
      <c r="BJG236" s="269"/>
      <c r="BJH236" s="269"/>
      <c r="BJI236" s="269"/>
      <c r="BJJ236" s="269"/>
      <c r="BJK236" s="269"/>
      <c r="BJL236" s="269"/>
      <c r="BJM236" s="269"/>
      <c r="BJN236" s="269"/>
      <c r="BJO236" s="269"/>
      <c r="BJP236" s="269"/>
      <c r="BJQ236" s="269"/>
      <c r="BJR236" s="269"/>
      <c r="BJS236" s="269"/>
      <c r="BJT236" s="269"/>
      <c r="BJU236" s="269"/>
      <c r="BJV236" s="269"/>
      <c r="BJW236" s="269"/>
      <c r="BJX236" s="269"/>
      <c r="BJY236" s="269"/>
      <c r="BJZ236" s="269"/>
      <c r="BKA236" s="269"/>
      <c r="BKB236" s="269"/>
      <c r="BKC236" s="269"/>
      <c r="BKD236" s="269"/>
      <c r="BKE236" s="269"/>
      <c r="BKF236" s="269"/>
      <c r="BKG236" s="269"/>
      <c r="BKH236" s="269"/>
      <c r="BKI236" s="269"/>
      <c r="BKJ236" s="269"/>
      <c r="BKK236" s="269"/>
      <c r="BKL236" s="269"/>
      <c r="BKM236" s="269"/>
      <c r="BKN236" s="269"/>
      <c r="BKO236" s="269"/>
      <c r="BKP236" s="269"/>
      <c r="BKQ236" s="269"/>
      <c r="BKR236" s="269"/>
      <c r="BKS236" s="269"/>
      <c r="BKT236" s="269"/>
      <c r="BKU236" s="269"/>
      <c r="BKV236" s="269"/>
      <c r="BKW236" s="269"/>
      <c r="BKX236" s="269"/>
      <c r="BKY236" s="269"/>
      <c r="BKZ236" s="269"/>
      <c r="BLA236" s="269"/>
      <c r="BLB236" s="269"/>
      <c r="BLC236" s="269"/>
      <c r="BLD236" s="269"/>
      <c r="BLE236" s="269"/>
      <c r="BLF236" s="269"/>
      <c r="BLG236" s="269"/>
      <c r="BLH236" s="269"/>
      <c r="BLI236" s="269"/>
      <c r="BLJ236" s="269"/>
      <c r="BLK236" s="269"/>
      <c r="BLL236" s="269"/>
      <c r="BLM236" s="269"/>
      <c r="BLN236" s="269"/>
      <c r="BLO236" s="269"/>
      <c r="BLP236" s="269"/>
      <c r="BLQ236" s="269"/>
      <c r="BLR236" s="269"/>
      <c r="BLS236" s="269"/>
      <c r="BLT236" s="269"/>
      <c r="BLU236" s="269"/>
      <c r="BLV236" s="269"/>
      <c r="BLW236" s="269"/>
      <c r="BLX236" s="269"/>
      <c r="BLY236" s="269"/>
      <c r="BLZ236" s="269"/>
      <c r="BMA236" s="269"/>
      <c r="BMB236" s="269"/>
      <c r="BMC236" s="269"/>
      <c r="BMD236" s="269"/>
      <c r="BME236" s="269"/>
      <c r="BMF236" s="269"/>
      <c r="BMG236" s="269"/>
      <c r="BMH236" s="269"/>
      <c r="BMI236" s="269"/>
      <c r="BMJ236" s="269"/>
      <c r="BMK236" s="269"/>
      <c r="BML236" s="269"/>
      <c r="BMM236" s="269"/>
      <c r="BMN236" s="269"/>
      <c r="BMO236" s="269"/>
      <c r="BMP236" s="269"/>
      <c r="BMQ236" s="269"/>
      <c r="BMR236" s="269"/>
      <c r="BMS236" s="269"/>
      <c r="BMT236" s="269"/>
      <c r="BMU236" s="269"/>
      <c r="BMV236" s="269"/>
      <c r="BMW236" s="269"/>
      <c r="BMX236" s="269"/>
      <c r="BMY236" s="269"/>
      <c r="BMZ236" s="269"/>
      <c r="BNA236" s="269"/>
      <c r="BNB236" s="269"/>
      <c r="BNC236" s="269"/>
      <c r="BND236" s="269"/>
      <c r="BNE236" s="269"/>
      <c r="BNF236" s="269"/>
      <c r="BNG236" s="269"/>
      <c r="BNH236" s="269"/>
      <c r="BNI236" s="269"/>
      <c r="BNJ236" s="269"/>
      <c r="BNK236" s="269"/>
      <c r="BNL236" s="269"/>
      <c r="BNM236" s="269"/>
      <c r="BNN236" s="269"/>
      <c r="BNO236" s="269"/>
      <c r="BNP236" s="269"/>
      <c r="BNQ236" s="269"/>
      <c r="BNR236" s="269"/>
      <c r="BNS236" s="269"/>
      <c r="BNT236" s="269"/>
      <c r="BNU236" s="269"/>
      <c r="BNV236" s="269"/>
      <c r="BNW236" s="269"/>
      <c r="BNX236" s="269"/>
      <c r="BNY236" s="269"/>
      <c r="BNZ236" s="269"/>
      <c r="BOA236" s="269"/>
      <c r="BOB236" s="269"/>
      <c r="BOC236" s="269"/>
      <c r="BOD236" s="269"/>
      <c r="BOE236" s="269"/>
      <c r="BOF236" s="269"/>
      <c r="BOG236" s="269"/>
      <c r="BOH236" s="269"/>
      <c r="BOI236" s="269"/>
      <c r="BOJ236" s="269"/>
      <c r="BOK236" s="269"/>
      <c r="BOL236" s="269"/>
      <c r="BOM236" s="269"/>
      <c r="BON236" s="269"/>
      <c r="BOO236" s="269"/>
      <c r="BOP236" s="269"/>
      <c r="BOQ236" s="269"/>
      <c r="BOR236" s="269"/>
      <c r="BOS236" s="269"/>
      <c r="BOT236" s="269"/>
      <c r="BOU236" s="269"/>
      <c r="BOV236" s="269"/>
      <c r="BOW236" s="269"/>
      <c r="BOX236" s="269"/>
      <c r="BOY236" s="269"/>
      <c r="BOZ236" s="269"/>
      <c r="BPA236" s="269"/>
      <c r="BPB236" s="269"/>
      <c r="BPC236" s="269"/>
      <c r="BPD236" s="269"/>
      <c r="BPE236" s="269"/>
      <c r="BPF236" s="269"/>
      <c r="BPG236" s="269"/>
      <c r="BPH236" s="269"/>
      <c r="BPI236" s="269"/>
      <c r="BPJ236" s="269"/>
      <c r="BPK236" s="269"/>
      <c r="BPL236" s="269"/>
      <c r="BPM236" s="269"/>
      <c r="BPN236" s="269"/>
      <c r="BPO236" s="269"/>
      <c r="BPP236" s="269"/>
      <c r="BPQ236" s="269"/>
      <c r="BPR236" s="269"/>
      <c r="BPS236" s="269"/>
      <c r="BPT236" s="269"/>
      <c r="BPU236" s="269"/>
      <c r="BPV236" s="269"/>
      <c r="BPW236" s="269"/>
      <c r="BPX236" s="269"/>
      <c r="BPY236" s="269"/>
      <c r="BPZ236" s="269"/>
      <c r="BQA236" s="269"/>
      <c r="BQB236" s="269"/>
      <c r="BQC236" s="269"/>
      <c r="BQD236" s="269"/>
      <c r="BQE236" s="269"/>
      <c r="BQF236" s="269"/>
      <c r="BQG236" s="269"/>
      <c r="BQH236" s="269"/>
      <c r="BQI236" s="269"/>
      <c r="BQJ236" s="269"/>
      <c r="BQK236" s="269"/>
      <c r="BQL236" s="269"/>
      <c r="BQM236" s="269"/>
      <c r="BQN236" s="269"/>
      <c r="BQO236" s="269"/>
      <c r="BQP236" s="269"/>
      <c r="BQQ236" s="269"/>
      <c r="BQR236" s="269"/>
      <c r="BQS236" s="269"/>
      <c r="BQT236" s="269"/>
      <c r="BQU236" s="269"/>
      <c r="BQV236" s="269"/>
      <c r="BQW236" s="269"/>
      <c r="BQX236" s="269"/>
      <c r="BQY236" s="269"/>
      <c r="BQZ236" s="269"/>
      <c r="BRA236" s="269"/>
      <c r="BRB236" s="269"/>
      <c r="BRC236" s="269"/>
      <c r="BRD236" s="269"/>
      <c r="BRE236" s="269"/>
      <c r="BRF236" s="269"/>
      <c r="BRG236" s="269"/>
      <c r="BRH236" s="269"/>
      <c r="BRI236" s="269"/>
      <c r="BRJ236" s="269"/>
      <c r="BRK236" s="269"/>
      <c r="BRL236" s="269"/>
      <c r="BRM236" s="269"/>
      <c r="BRN236" s="269"/>
      <c r="BRO236" s="269"/>
      <c r="BRP236" s="269"/>
      <c r="BRQ236" s="269"/>
      <c r="BRR236" s="269"/>
      <c r="BRS236" s="269"/>
      <c r="BRT236" s="269"/>
      <c r="BRU236" s="269"/>
      <c r="BRV236" s="269"/>
      <c r="BRW236" s="269"/>
      <c r="BRX236" s="269"/>
      <c r="BRY236" s="269"/>
      <c r="BRZ236" s="269"/>
      <c r="BSA236" s="269"/>
      <c r="BSB236" s="269"/>
      <c r="BSC236" s="269"/>
      <c r="BSD236" s="269"/>
      <c r="BSE236" s="269"/>
      <c r="BSF236" s="269"/>
      <c r="BSG236" s="269"/>
      <c r="BSH236" s="269"/>
      <c r="BSI236" s="269"/>
      <c r="BSJ236" s="269"/>
      <c r="BSK236" s="269"/>
      <c r="BSL236" s="269"/>
      <c r="BSM236" s="269"/>
      <c r="BSN236" s="269"/>
      <c r="BSO236" s="269"/>
      <c r="BSP236" s="269"/>
      <c r="BSQ236" s="269"/>
      <c r="BSR236" s="269"/>
      <c r="BSS236" s="269"/>
      <c r="BST236" s="269"/>
      <c r="BSU236" s="269"/>
      <c r="BSV236" s="269"/>
      <c r="BSW236" s="269"/>
      <c r="BSX236" s="269"/>
      <c r="BSY236" s="269"/>
      <c r="BSZ236" s="269"/>
      <c r="BTA236" s="269"/>
      <c r="BTB236" s="269"/>
      <c r="BTC236" s="269"/>
      <c r="BTD236" s="269"/>
      <c r="BTE236" s="269"/>
      <c r="BTF236" s="269"/>
      <c r="BTG236" s="269"/>
      <c r="BTH236" s="269"/>
      <c r="BTI236" s="269"/>
      <c r="BTJ236" s="269"/>
      <c r="BTK236" s="269"/>
      <c r="BTL236" s="269"/>
      <c r="BTM236" s="269"/>
      <c r="BTN236" s="269"/>
      <c r="BTO236" s="269"/>
      <c r="BTP236" s="269"/>
      <c r="BTQ236" s="269"/>
      <c r="BTR236" s="269"/>
      <c r="BTS236" s="269"/>
      <c r="BTT236" s="269"/>
      <c r="BTU236" s="269"/>
      <c r="BTV236" s="269"/>
      <c r="BTW236" s="269"/>
      <c r="BTX236" s="269"/>
      <c r="BTY236" s="269"/>
      <c r="BTZ236" s="269"/>
      <c r="BUA236" s="269"/>
      <c r="BUB236" s="269"/>
      <c r="BUC236" s="269"/>
      <c r="BUD236" s="269"/>
      <c r="BUE236" s="269"/>
      <c r="BUF236" s="269"/>
      <c r="BUG236" s="269"/>
      <c r="BUH236" s="269"/>
      <c r="BUI236" s="269"/>
      <c r="BUJ236" s="269"/>
      <c r="BUK236" s="269"/>
      <c r="BUL236" s="269"/>
      <c r="BUM236" s="269"/>
      <c r="BUN236" s="269"/>
      <c r="BUO236" s="269"/>
      <c r="BUP236" s="269"/>
      <c r="BUQ236" s="269"/>
      <c r="BUR236" s="269"/>
      <c r="BUS236" s="269"/>
      <c r="BUT236" s="269"/>
      <c r="BUU236" s="269"/>
      <c r="BUV236" s="269"/>
      <c r="BUW236" s="269"/>
      <c r="BUX236" s="269"/>
      <c r="BUY236" s="269"/>
      <c r="BUZ236" s="269"/>
      <c r="BVA236" s="269"/>
      <c r="BVB236" s="269"/>
      <c r="BVC236" s="269"/>
      <c r="BVD236" s="269"/>
      <c r="BVE236" s="269"/>
      <c r="BVF236" s="269"/>
      <c r="BVG236" s="269"/>
      <c r="BVH236" s="269"/>
      <c r="BVI236" s="269"/>
      <c r="BVJ236" s="269"/>
      <c r="BVK236" s="269"/>
      <c r="BVL236" s="269"/>
      <c r="BVM236" s="269"/>
      <c r="BVN236" s="269"/>
      <c r="BVO236" s="269"/>
      <c r="BVP236" s="269"/>
      <c r="BVQ236" s="269"/>
      <c r="BVR236" s="269"/>
      <c r="BVS236" s="269"/>
      <c r="BVT236" s="269"/>
      <c r="BVU236" s="269"/>
      <c r="BVV236" s="269"/>
      <c r="BVW236" s="269"/>
      <c r="BVX236" s="269"/>
      <c r="BVY236" s="269"/>
      <c r="BVZ236" s="269"/>
      <c r="BWA236" s="269"/>
      <c r="BWB236" s="269"/>
      <c r="BWC236" s="269"/>
      <c r="BWD236" s="269"/>
      <c r="BWE236" s="269"/>
      <c r="BWF236" s="269"/>
      <c r="BWG236" s="269"/>
      <c r="BWH236" s="269"/>
      <c r="BWI236" s="269"/>
      <c r="BWJ236" s="269"/>
      <c r="BWK236" s="269"/>
      <c r="BWL236" s="269"/>
      <c r="BWM236" s="269"/>
      <c r="BWN236" s="269"/>
      <c r="BWO236" s="269"/>
      <c r="BWP236" s="269"/>
      <c r="BWQ236" s="269"/>
      <c r="BWR236" s="269"/>
      <c r="BWS236" s="269"/>
      <c r="BWT236" s="269"/>
      <c r="BWU236" s="269"/>
      <c r="BWV236" s="269"/>
      <c r="BWW236" s="269"/>
      <c r="BWX236" s="269"/>
      <c r="BWY236" s="269"/>
      <c r="BWZ236" s="269"/>
      <c r="BXA236" s="269"/>
      <c r="BXB236" s="269"/>
      <c r="BXC236" s="269"/>
      <c r="BXD236" s="269"/>
      <c r="BXE236" s="269"/>
      <c r="BXF236" s="269"/>
      <c r="BXG236" s="269"/>
      <c r="BXH236" s="269"/>
      <c r="BXI236" s="269"/>
      <c r="BXJ236" s="269"/>
      <c r="BXK236" s="269"/>
      <c r="BXL236" s="269"/>
      <c r="BXM236" s="269"/>
      <c r="BXN236" s="269"/>
      <c r="BXO236" s="269"/>
      <c r="BXP236" s="269"/>
      <c r="BXQ236" s="269"/>
      <c r="BXR236" s="269"/>
      <c r="BXS236" s="269"/>
      <c r="BXT236" s="269"/>
      <c r="BXU236" s="269"/>
      <c r="BXV236" s="269"/>
      <c r="BXW236" s="269"/>
      <c r="BXX236" s="269"/>
      <c r="BXY236" s="269"/>
      <c r="BXZ236" s="269"/>
      <c r="BYA236" s="269"/>
      <c r="BYB236" s="269"/>
      <c r="BYC236" s="269"/>
      <c r="BYD236" s="269"/>
      <c r="BYE236" s="269"/>
      <c r="BYF236" s="269"/>
      <c r="BYG236" s="269"/>
      <c r="BYH236" s="269"/>
      <c r="BYI236" s="269"/>
      <c r="BYJ236" s="269"/>
      <c r="BYK236" s="269"/>
      <c r="BYL236" s="269"/>
      <c r="BYM236" s="269"/>
      <c r="BYN236" s="269"/>
      <c r="BYO236" s="269"/>
      <c r="BYP236" s="269"/>
      <c r="BYQ236" s="269"/>
      <c r="BYR236" s="269"/>
      <c r="BYS236" s="269"/>
      <c r="BYT236" s="269"/>
      <c r="BYU236" s="269"/>
      <c r="BYV236" s="269"/>
      <c r="BYW236" s="269"/>
      <c r="BYX236" s="269"/>
      <c r="BYY236" s="269"/>
      <c r="BYZ236" s="269"/>
      <c r="BZA236" s="269"/>
      <c r="BZB236" s="269"/>
      <c r="BZC236" s="269"/>
      <c r="BZD236" s="269"/>
      <c r="BZE236" s="269"/>
      <c r="BZF236" s="269"/>
      <c r="BZG236" s="269"/>
      <c r="BZH236" s="269"/>
      <c r="BZI236" s="269"/>
      <c r="BZJ236" s="269"/>
      <c r="BZK236" s="269"/>
      <c r="BZL236" s="269"/>
      <c r="BZM236" s="269"/>
      <c r="BZN236" s="269"/>
      <c r="BZO236" s="269"/>
      <c r="BZP236" s="269"/>
      <c r="BZQ236" s="269"/>
      <c r="BZR236" s="269"/>
      <c r="BZS236" s="269"/>
      <c r="BZT236" s="269"/>
      <c r="BZU236" s="269"/>
      <c r="BZV236" s="269"/>
      <c r="BZW236" s="269"/>
      <c r="BZX236" s="269"/>
      <c r="BZY236" s="269"/>
      <c r="BZZ236" s="269"/>
      <c r="CAA236" s="269"/>
      <c r="CAB236" s="269"/>
      <c r="CAC236" s="269"/>
      <c r="CAD236" s="269"/>
      <c r="CAE236" s="269"/>
      <c r="CAF236" s="269"/>
      <c r="CAG236" s="269"/>
      <c r="CAH236" s="269"/>
      <c r="CAI236" s="269"/>
      <c r="CAJ236" s="269"/>
      <c r="CAK236" s="269"/>
      <c r="CAL236" s="269"/>
      <c r="CAM236" s="269"/>
      <c r="CAN236" s="269"/>
      <c r="CAO236" s="269"/>
      <c r="CAP236" s="269"/>
      <c r="CAQ236" s="269"/>
      <c r="CAR236" s="269"/>
      <c r="CAS236" s="269"/>
      <c r="CAT236" s="269"/>
      <c r="CAU236" s="269"/>
      <c r="CAV236" s="269"/>
      <c r="CAW236" s="269"/>
      <c r="CAX236" s="269"/>
      <c r="CAY236" s="269"/>
      <c r="CAZ236" s="269"/>
      <c r="CBA236" s="269"/>
      <c r="CBB236" s="269"/>
      <c r="CBC236" s="269"/>
      <c r="CBD236" s="269"/>
      <c r="CBE236" s="269"/>
      <c r="CBF236" s="269"/>
      <c r="CBG236" s="269"/>
      <c r="CBH236" s="269"/>
      <c r="CBI236" s="269"/>
      <c r="CBJ236" s="269"/>
      <c r="CBK236" s="269"/>
      <c r="CBL236" s="269"/>
      <c r="CBM236" s="269"/>
      <c r="CBN236" s="269"/>
      <c r="CBO236" s="269"/>
      <c r="CBP236" s="269"/>
      <c r="CBQ236" s="269"/>
      <c r="CBR236" s="269"/>
      <c r="CBS236" s="269"/>
      <c r="CBT236" s="269"/>
      <c r="CBU236" s="269"/>
      <c r="CBV236" s="269"/>
      <c r="CBW236" s="269"/>
      <c r="CBX236" s="269"/>
      <c r="CBY236" s="269"/>
      <c r="CBZ236" s="269"/>
      <c r="CCA236" s="269"/>
      <c r="CCB236" s="269"/>
      <c r="CCC236" s="269"/>
      <c r="CCD236" s="269"/>
      <c r="CCE236" s="269"/>
      <c r="CCF236" s="269"/>
      <c r="CCG236" s="269"/>
      <c r="CCH236" s="269"/>
      <c r="CCI236" s="269"/>
      <c r="CCJ236" s="269"/>
      <c r="CCK236" s="269"/>
      <c r="CCL236" s="269"/>
      <c r="CCM236" s="269"/>
      <c r="CCN236" s="269"/>
      <c r="CCO236" s="269"/>
      <c r="CCP236" s="269"/>
      <c r="CCQ236" s="269"/>
      <c r="CCR236" s="269"/>
      <c r="CCS236" s="269"/>
      <c r="CCT236" s="269"/>
      <c r="CCU236" s="269"/>
      <c r="CCV236" s="269"/>
      <c r="CCW236" s="269"/>
      <c r="CCX236" s="269"/>
      <c r="CCY236" s="269"/>
      <c r="CCZ236" s="269"/>
      <c r="CDA236" s="269"/>
      <c r="CDB236" s="269"/>
      <c r="CDC236" s="269"/>
      <c r="CDD236" s="269"/>
      <c r="CDE236" s="269"/>
      <c r="CDF236" s="269"/>
      <c r="CDG236" s="269"/>
      <c r="CDH236" s="269"/>
      <c r="CDI236" s="269"/>
      <c r="CDJ236" s="269"/>
      <c r="CDK236" s="269"/>
      <c r="CDL236" s="269"/>
      <c r="CDM236" s="269"/>
      <c r="CDN236" s="269"/>
      <c r="CDO236" s="269"/>
      <c r="CDP236" s="269"/>
      <c r="CDQ236" s="269"/>
      <c r="CDR236" s="269"/>
      <c r="CDS236" s="269"/>
      <c r="CDT236" s="269"/>
      <c r="CDU236" s="269"/>
      <c r="CDV236" s="269"/>
      <c r="CDW236" s="269"/>
      <c r="CDX236" s="269"/>
      <c r="CDY236" s="269"/>
      <c r="CDZ236" s="269"/>
      <c r="CEA236" s="269"/>
      <c r="CEB236" s="269"/>
      <c r="CEC236" s="269"/>
      <c r="CED236" s="269"/>
      <c r="CEE236" s="269"/>
      <c r="CEF236" s="269"/>
      <c r="CEG236" s="269"/>
      <c r="CEH236" s="269"/>
      <c r="CEI236" s="269"/>
      <c r="CEJ236" s="269"/>
      <c r="CEK236" s="269"/>
      <c r="CEL236" s="269"/>
      <c r="CEM236" s="269"/>
      <c r="CEN236" s="269"/>
      <c r="CEO236" s="269"/>
      <c r="CEP236" s="269"/>
      <c r="CEQ236" s="269"/>
      <c r="CER236" s="269"/>
      <c r="CES236" s="269"/>
      <c r="CET236" s="269"/>
      <c r="CEU236" s="269"/>
      <c r="CEV236" s="269"/>
      <c r="CEW236" s="269"/>
      <c r="CEX236" s="269"/>
      <c r="CEY236" s="269"/>
      <c r="CEZ236" s="269"/>
      <c r="CFA236" s="269"/>
      <c r="CFB236" s="269"/>
      <c r="CFC236" s="269"/>
      <c r="CFD236" s="269"/>
      <c r="CFE236" s="269"/>
      <c r="CFF236" s="269"/>
      <c r="CFG236" s="269"/>
      <c r="CFH236" s="269"/>
      <c r="CFI236" s="269"/>
      <c r="CFJ236" s="269"/>
      <c r="CFK236" s="269"/>
      <c r="CFL236" s="269"/>
      <c r="CFM236" s="269"/>
      <c r="CFN236" s="269"/>
      <c r="CFO236" s="269"/>
      <c r="CFP236" s="269"/>
      <c r="CFQ236" s="269"/>
      <c r="CFR236" s="269"/>
      <c r="CFS236" s="269"/>
      <c r="CFT236" s="269"/>
      <c r="CFU236" s="269"/>
      <c r="CFV236" s="269"/>
      <c r="CFW236" s="269"/>
      <c r="CFX236" s="269"/>
      <c r="CFY236" s="269"/>
      <c r="CFZ236" s="269"/>
      <c r="CGA236" s="269"/>
      <c r="CGB236" s="269"/>
      <c r="CGC236" s="269"/>
      <c r="CGD236" s="269"/>
      <c r="CGE236" s="269"/>
      <c r="CGF236" s="269"/>
      <c r="CGG236" s="269"/>
      <c r="CGH236" s="269"/>
      <c r="CGI236" s="269"/>
      <c r="CGJ236" s="269"/>
      <c r="CGK236" s="269"/>
      <c r="CGL236" s="269"/>
      <c r="CGM236" s="269"/>
      <c r="CGN236" s="269"/>
      <c r="CGO236" s="269"/>
      <c r="CGP236" s="269"/>
      <c r="CGQ236" s="269"/>
      <c r="CGR236" s="269"/>
      <c r="CGS236" s="269"/>
      <c r="CGT236" s="269"/>
      <c r="CGU236" s="269"/>
      <c r="CGV236" s="269"/>
      <c r="CGW236" s="269"/>
      <c r="CGX236" s="269"/>
      <c r="CGY236" s="269"/>
      <c r="CGZ236" s="269"/>
      <c r="CHA236" s="269"/>
      <c r="CHB236" s="269"/>
      <c r="CHC236" s="269"/>
      <c r="CHD236" s="269"/>
      <c r="CHE236" s="269"/>
      <c r="CHF236" s="269"/>
      <c r="CHG236" s="269"/>
      <c r="CHH236" s="269"/>
      <c r="CHI236" s="269"/>
      <c r="CHJ236" s="269"/>
      <c r="CHK236" s="269"/>
      <c r="CHL236" s="269"/>
      <c r="CHM236" s="269"/>
      <c r="CHN236" s="269"/>
      <c r="CHO236" s="269"/>
      <c r="CHP236" s="269"/>
      <c r="CHQ236" s="269"/>
      <c r="CHR236" s="269"/>
      <c r="CHS236" s="269"/>
      <c r="CHT236" s="269"/>
      <c r="CHU236" s="269"/>
      <c r="CHV236" s="269"/>
      <c r="CHW236" s="269"/>
      <c r="CHX236" s="269"/>
      <c r="CHY236" s="269"/>
      <c r="CHZ236" s="269"/>
      <c r="CIA236" s="269"/>
      <c r="CIB236" s="269"/>
      <c r="CIC236" s="269"/>
      <c r="CID236" s="269"/>
      <c r="CIE236" s="269"/>
      <c r="CIF236" s="269"/>
      <c r="CIG236" s="269"/>
      <c r="CIH236" s="269"/>
      <c r="CII236" s="269"/>
      <c r="CIJ236" s="269"/>
      <c r="CIK236" s="269"/>
      <c r="CIL236" s="269"/>
      <c r="CIM236" s="269"/>
      <c r="CIN236" s="269"/>
      <c r="CIO236" s="269"/>
      <c r="CIP236" s="269"/>
      <c r="CIQ236" s="269"/>
      <c r="CIR236" s="269"/>
      <c r="CIS236" s="269"/>
      <c r="CIT236" s="269"/>
      <c r="CIU236" s="269"/>
      <c r="CIV236" s="269"/>
      <c r="CIW236" s="269"/>
      <c r="CIX236" s="269"/>
      <c r="CIY236" s="269"/>
      <c r="CIZ236" s="269"/>
      <c r="CJA236" s="269"/>
      <c r="CJB236" s="269"/>
      <c r="CJC236" s="269"/>
      <c r="CJD236" s="269"/>
      <c r="CJE236" s="269"/>
      <c r="CJF236" s="269"/>
      <c r="CJG236" s="269"/>
      <c r="CJH236" s="269"/>
      <c r="CJI236" s="269"/>
      <c r="CJJ236" s="269"/>
      <c r="CJK236" s="269"/>
      <c r="CJL236" s="269"/>
      <c r="CJM236" s="269"/>
      <c r="CJN236" s="269"/>
      <c r="CJO236" s="269"/>
      <c r="CJP236" s="269"/>
      <c r="CJQ236" s="269"/>
      <c r="CJR236" s="269"/>
      <c r="CJS236" s="269"/>
      <c r="CJT236" s="269"/>
      <c r="CJU236" s="269"/>
      <c r="CJV236" s="269"/>
      <c r="CJW236" s="269"/>
      <c r="CJX236" s="269"/>
      <c r="CJY236" s="269"/>
      <c r="CJZ236" s="269"/>
      <c r="CKA236" s="269"/>
      <c r="CKB236" s="269"/>
      <c r="CKC236" s="269"/>
      <c r="CKD236" s="269"/>
      <c r="CKE236" s="269"/>
      <c r="CKF236" s="269"/>
      <c r="CKG236" s="269"/>
      <c r="CKH236" s="269"/>
      <c r="CKI236" s="269"/>
      <c r="CKJ236" s="269"/>
      <c r="CKK236" s="269"/>
      <c r="CKL236" s="269"/>
      <c r="CKM236" s="269"/>
      <c r="CKN236" s="269"/>
      <c r="CKO236" s="269"/>
      <c r="CKP236" s="269"/>
      <c r="CKQ236" s="269"/>
      <c r="CKR236" s="269"/>
      <c r="CKS236" s="269"/>
      <c r="CKT236" s="269"/>
      <c r="CKU236" s="269"/>
      <c r="CKV236" s="269"/>
      <c r="CKW236" s="269"/>
      <c r="CKX236" s="269"/>
      <c r="CKY236" s="269"/>
      <c r="CKZ236" s="269"/>
      <c r="CLA236" s="269"/>
      <c r="CLB236" s="269"/>
      <c r="CLC236" s="269"/>
      <c r="CLD236" s="269"/>
      <c r="CLE236" s="269"/>
      <c r="CLF236" s="269"/>
      <c r="CLG236" s="269"/>
      <c r="CLH236" s="269"/>
      <c r="CLI236" s="269"/>
      <c r="CLJ236" s="269"/>
      <c r="CLK236" s="269"/>
      <c r="CLL236" s="269"/>
      <c r="CLM236" s="269"/>
      <c r="CLN236" s="269"/>
      <c r="CLO236" s="269"/>
      <c r="CLP236" s="269"/>
      <c r="CLQ236" s="269"/>
      <c r="CLR236" s="269"/>
      <c r="CLS236" s="269"/>
      <c r="CLT236" s="269"/>
      <c r="CLU236" s="269"/>
      <c r="CLV236" s="269"/>
      <c r="CLW236" s="269"/>
      <c r="CLX236" s="269"/>
      <c r="CLY236" s="269"/>
      <c r="CLZ236" s="269"/>
      <c r="CMA236" s="269"/>
      <c r="CMB236" s="269"/>
      <c r="CMC236" s="269"/>
      <c r="CMD236" s="269"/>
      <c r="CME236" s="269"/>
      <c r="CMF236" s="269"/>
      <c r="CMG236" s="269"/>
      <c r="CMH236" s="269"/>
      <c r="CMI236" s="269"/>
      <c r="CMJ236" s="269"/>
      <c r="CMK236" s="269"/>
      <c r="CML236" s="269"/>
      <c r="CMM236" s="269"/>
      <c r="CMN236" s="269"/>
      <c r="CMO236" s="269"/>
      <c r="CMP236" s="269"/>
      <c r="CMQ236" s="269"/>
      <c r="CMR236" s="269"/>
      <c r="CMS236" s="269"/>
      <c r="CMT236" s="269"/>
      <c r="CMU236" s="269"/>
      <c r="CMV236" s="269"/>
      <c r="CMW236" s="269"/>
      <c r="CMX236" s="269"/>
      <c r="CMY236" s="269"/>
      <c r="CMZ236" s="269"/>
      <c r="CNA236" s="269"/>
      <c r="CNB236" s="269"/>
      <c r="CNC236" s="269"/>
      <c r="CND236" s="269"/>
      <c r="CNE236" s="269"/>
      <c r="CNF236" s="269"/>
      <c r="CNG236" s="269"/>
      <c r="CNH236" s="269"/>
      <c r="CNI236" s="269"/>
      <c r="CNJ236" s="269"/>
      <c r="CNK236" s="269"/>
      <c r="CNL236" s="269"/>
      <c r="CNM236" s="269"/>
      <c r="CNN236" s="269"/>
      <c r="CNO236" s="269"/>
      <c r="CNP236" s="269"/>
      <c r="CNQ236" s="269"/>
      <c r="CNR236" s="269"/>
      <c r="CNS236" s="269"/>
      <c r="CNT236" s="269"/>
      <c r="CNU236" s="269"/>
      <c r="CNV236" s="269"/>
      <c r="CNW236" s="269"/>
      <c r="CNX236" s="269"/>
      <c r="CNY236" s="269"/>
      <c r="CNZ236" s="269"/>
      <c r="COA236" s="269"/>
      <c r="COB236" s="269"/>
      <c r="COC236" s="269"/>
      <c r="COD236" s="269"/>
      <c r="COE236" s="269"/>
      <c r="COF236" s="269"/>
      <c r="COG236" s="269"/>
      <c r="COH236" s="269"/>
      <c r="COI236" s="269"/>
      <c r="COJ236" s="269"/>
      <c r="COK236" s="269"/>
      <c r="COL236" s="269"/>
      <c r="COM236" s="269"/>
      <c r="CON236" s="269"/>
      <c r="COO236" s="269"/>
      <c r="COP236" s="269"/>
      <c r="COQ236" s="269"/>
      <c r="COR236" s="269"/>
      <c r="COS236" s="269"/>
      <c r="COT236" s="269"/>
      <c r="COU236" s="269"/>
      <c r="COV236" s="269"/>
      <c r="COW236" s="269"/>
      <c r="COX236" s="269"/>
      <c r="COY236" s="269"/>
      <c r="COZ236" s="269"/>
      <c r="CPA236" s="269"/>
      <c r="CPB236" s="269"/>
      <c r="CPC236" s="269"/>
      <c r="CPD236" s="269"/>
      <c r="CPE236" s="269"/>
      <c r="CPF236" s="269"/>
      <c r="CPG236" s="269"/>
      <c r="CPH236" s="269"/>
      <c r="CPI236" s="269"/>
      <c r="CPJ236" s="269"/>
      <c r="CPK236" s="269"/>
      <c r="CPL236" s="269"/>
      <c r="CPM236" s="269"/>
      <c r="CPN236" s="269"/>
      <c r="CPO236" s="269"/>
      <c r="CPP236" s="269"/>
      <c r="CPQ236" s="269"/>
      <c r="CPR236" s="269"/>
      <c r="CPS236" s="269"/>
      <c r="CPT236" s="269"/>
      <c r="CPU236" s="269"/>
      <c r="CPV236" s="269"/>
      <c r="CPW236" s="269"/>
      <c r="CPX236" s="269"/>
      <c r="CPY236" s="269"/>
      <c r="CPZ236" s="269"/>
      <c r="CQA236" s="269"/>
      <c r="CQB236" s="269"/>
      <c r="CQC236" s="269"/>
      <c r="CQD236" s="269"/>
      <c r="CQE236" s="269"/>
      <c r="CQF236" s="269"/>
      <c r="CQG236" s="269"/>
      <c r="CQH236" s="269"/>
      <c r="CQI236" s="269"/>
      <c r="CQJ236" s="269"/>
      <c r="CQK236" s="269"/>
      <c r="CQL236" s="269"/>
      <c r="CQM236" s="269"/>
      <c r="CQN236" s="269"/>
      <c r="CQO236" s="269"/>
      <c r="CQP236" s="269"/>
      <c r="CQQ236" s="269"/>
      <c r="CQR236" s="269"/>
      <c r="CQS236" s="269"/>
      <c r="CQT236" s="269"/>
      <c r="CQU236" s="269"/>
      <c r="CQV236" s="269"/>
      <c r="CQW236" s="269"/>
      <c r="CQX236" s="269"/>
      <c r="CQY236" s="269"/>
      <c r="CQZ236" s="269"/>
      <c r="CRA236" s="269"/>
      <c r="CRB236" s="269"/>
      <c r="CRC236" s="269"/>
      <c r="CRD236" s="269"/>
      <c r="CRE236" s="269"/>
      <c r="CRF236" s="269"/>
      <c r="CRG236" s="269"/>
      <c r="CRH236" s="269"/>
      <c r="CRI236" s="269"/>
      <c r="CRJ236" s="269"/>
      <c r="CRK236" s="269"/>
      <c r="CRL236" s="269"/>
      <c r="CRM236" s="269"/>
      <c r="CRN236" s="269"/>
      <c r="CRO236" s="269"/>
      <c r="CRP236" s="269"/>
      <c r="CRQ236" s="269"/>
      <c r="CRR236" s="269"/>
      <c r="CRS236" s="269"/>
      <c r="CRT236" s="269"/>
      <c r="CRU236" s="269"/>
      <c r="CRV236" s="269"/>
      <c r="CRW236" s="269"/>
      <c r="CRX236" s="269"/>
      <c r="CRY236" s="269"/>
      <c r="CRZ236" s="269"/>
      <c r="CSA236" s="269"/>
      <c r="CSB236" s="269"/>
      <c r="CSC236" s="269"/>
      <c r="CSD236" s="269"/>
      <c r="CSE236" s="269"/>
      <c r="CSF236" s="269"/>
      <c r="CSG236" s="269"/>
      <c r="CSH236" s="269"/>
      <c r="CSI236" s="269"/>
      <c r="CSJ236" s="269"/>
      <c r="CSK236" s="269"/>
      <c r="CSL236" s="269"/>
      <c r="CSM236" s="269"/>
      <c r="CSN236" s="269"/>
      <c r="CSO236" s="269"/>
      <c r="CSP236" s="269"/>
      <c r="CSQ236" s="269"/>
      <c r="CSR236" s="269"/>
      <c r="CSS236" s="269"/>
      <c r="CST236" s="269"/>
      <c r="CSU236" s="269"/>
      <c r="CSV236" s="269"/>
      <c r="CSW236" s="269"/>
      <c r="CSX236" s="269"/>
      <c r="CSY236" s="269"/>
      <c r="CSZ236" s="269"/>
      <c r="CTA236" s="269"/>
      <c r="CTB236" s="269"/>
      <c r="CTC236" s="269"/>
      <c r="CTD236" s="269"/>
      <c r="CTE236" s="269"/>
      <c r="CTF236" s="269"/>
      <c r="CTG236" s="269"/>
      <c r="CTH236" s="269"/>
      <c r="CTI236" s="269"/>
      <c r="CTJ236" s="269"/>
      <c r="CTK236" s="269"/>
      <c r="CTL236" s="269"/>
      <c r="CTM236" s="269"/>
      <c r="CTN236" s="269"/>
      <c r="CTO236" s="269"/>
      <c r="CTP236" s="269"/>
      <c r="CTQ236" s="269"/>
      <c r="CTR236" s="269"/>
      <c r="CTS236" s="269"/>
      <c r="CTT236" s="269"/>
      <c r="CTU236" s="269"/>
      <c r="CTV236" s="269"/>
      <c r="CTW236" s="269"/>
      <c r="CTX236" s="269"/>
      <c r="CTY236" s="269"/>
      <c r="CTZ236" s="269"/>
      <c r="CUA236" s="269"/>
      <c r="CUB236" s="269"/>
      <c r="CUC236" s="269"/>
      <c r="CUD236" s="269"/>
      <c r="CUE236" s="269"/>
      <c r="CUF236" s="269"/>
      <c r="CUG236" s="269"/>
      <c r="CUH236" s="269"/>
      <c r="CUI236" s="269"/>
      <c r="CUJ236" s="269"/>
      <c r="CUK236" s="269"/>
      <c r="CUL236" s="269"/>
      <c r="CUM236" s="269"/>
      <c r="CUN236" s="269"/>
      <c r="CUO236" s="269"/>
      <c r="CUP236" s="269"/>
      <c r="CUQ236" s="269"/>
      <c r="CUR236" s="269"/>
      <c r="CUS236" s="269"/>
      <c r="CUT236" s="269"/>
      <c r="CUU236" s="269"/>
      <c r="CUV236" s="269"/>
      <c r="CUW236" s="269"/>
      <c r="CUX236" s="269"/>
      <c r="CUY236" s="269"/>
      <c r="CUZ236" s="269"/>
      <c r="CVA236" s="269"/>
      <c r="CVB236" s="269"/>
      <c r="CVC236" s="269"/>
      <c r="CVD236" s="269"/>
      <c r="CVE236" s="269"/>
      <c r="CVF236" s="269"/>
      <c r="CVG236" s="269"/>
      <c r="CVH236" s="269"/>
      <c r="CVI236" s="269"/>
      <c r="CVJ236" s="269"/>
      <c r="CVK236" s="269"/>
      <c r="CVL236" s="269"/>
      <c r="CVM236" s="269"/>
      <c r="CVN236" s="269"/>
      <c r="CVO236" s="269"/>
      <c r="CVP236" s="269"/>
      <c r="CVQ236" s="269"/>
      <c r="CVR236" s="269"/>
      <c r="CVS236" s="269"/>
      <c r="CVT236" s="269"/>
      <c r="CVU236" s="269"/>
      <c r="CVV236" s="269"/>
      <c r="CVW236" s="269"/>
      <c r="CVX236" s="269"/>
      <c r="CVY236" s="269"/>
      <c r="CVZ236" s="269"/>
      <c r="CWA236" s="269"/>
      <c r="CWB236" s="269"/>
      <c r="CWC236" s="269"/>
      <c r="CWD236" s="269"/>
      <c r="CWE236" s="269"/>
      <c r="CWF236" s="269"/>
      <c r="CWG236" s="269"/>
      <c r="CWH236" s="269"/>
      <c r="CWI236" s="269"/>
      <c r="CWJ236" s="269"/>
      <c r="CWK236" s="269"/>
      <c r="CWL236" s="269"/>
      <c r="CWM236" s="269"/>
      <c r="CWN236" s="269"/>
      <c r="CWO236" s="269"/>
      <c r="CWP236" s="269"/>
      <c r="CWQ236" s="269"/>
      <c r="CWR236" s="269"/>
      <c r="CWS236" s="269"/>
      <c r="CWT236" s="269"/>
      <c r="CWU236" s="269"/>
      <c r="CWV236" s="269"/>
      <c r="CWW236" s="269"/>
      <c r="CWX236" s="269"/>
      <c r="CWY236" s="269"/>
      <c r="CWZ236" s="269"/>
      <c r="CXA236" s="269"/>
      <c r="CXB236" s="269"/>
      <c r="CXC236" s="269"/>
      <c r="CXD236" s="269"/>
      <c r="CXE236" s="269"/>
      <c r="CXF236" s="269"/>
      <c r="CXG236" s="269"/>
      <c r="CXH236" s="269"/>
      <c r="CXI236" s="269"/>
      <c r="CXJ236" s="269"/>
      <c r="CXK236" s="269"/>
      <c r="CXL236" s="269"/>
      <c r="CXM236" s="269"/>
      <c r="CXN236" s="269"/>
      <c r="CXO236" s="269"/>
      <c r="CXP236" s="269"/>
      <c r="CXQ236" s="269"/>
      <c r="CXR236" s="269"/>
      <c r="CXS236" s="269"/>
      <c r="CXT236" s="269"/>
      <c r="CXU236" s="269"/>
      <c r="CXV236" s="269"/>
      <c r="CXW236" s="269"/>
      <c r="CXX236" s="269"/>
      <c r="CXY236" s="269"/>
      <c r="CXZ236" s="269"/>
      <c r="CYA236" s="269"/>
      <c r="CYB236" s="269"/>
      <c r="CYC236" s="269"/>
      <c r="CYD236" s="269"/>
      <c r="CYE236" s="269"/>
      <c r="CYF236" s="269"/>
      <c r="CYG236" s="269"/>
      <c r="CYH236" s="269"/>
      <c r="CYI236" s="269"/>
      <c r="CYJ236" s="269"/>
      <c r="CYK236" s="269"/>
      <c r="CYL236" s="269"/>
      <c r="CYM236" s="269"/>
      <c r="CYN236" s="269"/>
      <c r="CYO236" s="269"/>
      <c r="CYP236" s="269"/>
      <c r="CYQ236" s="269"/>
      <c r="CYR236" s="269"/>
      <c r="CYS236" s="269"/>
      <c r="CYT236" s="269"/>
      <c r="CYU236" s="269"/>
      <c r="CYV236" s="269"/>
      <c r="CYW236" s="269"/>
      <c r="CYX236" s="269"/>
      <c r="CYY236" s="269"/>
      <c r="CYZ236" s="269"/>
      <c r="CZA236" s="269"/>
      <c r="CZB236" s="269"/>
      <c r="CZC236" s="269"/>
      <c r="CZD236" s="269"/>
      <c r="CZE236" s="269"/>
      <c r="CZF236" s="269"/>
      <c r="CZG236" s="269"/>
      <c r="CZH236" s="269"/>
      <c r="CZI236" s="269"/>
      <c r="CZJ236" s="269"/>
      <c r="CZK236" s="269"/>
      <c r="CZL236" s="269"/>
      <c r="CZM236" s="269"/>
      <c r="CZN236" s="269"/>
      <c r="CZO236" s="269"/>
      <c r="CZP236" s="269"/>
      <c r="CZQ236" s="269"/>
      <c r="CZR236" s="269"/>
      <c r="CZS236" s="269"/>
      <c r="CZT236" s="269"/>
      <c r="CZU236" s="269"/>
      <c r="CZV236" s="269"/>
      <c r="CZW236" s="269"/>
      <c r="CZX236" s="269"/>
      <c r="CZY236" s="269"/>
      <c r="CZZ236" s="269"/>
      <c r="DAA236" s="269"/>
      <c r="DAB236" s="269"/>
      <c r="DAC236" s="269"/>
      <c r="DAD236" s="269"/>
      <c r="DAE236" s="269"/>
      <c r="DAF236" s="269"/>
      <c r="DAG236" s="269"/>
      <c r="DAH236" s="269"/>
      <c r="DAI236" s="269"/>
      <c r="DAJ236" s="269"/>
      <c r="DAK236" s="269"/>
      <c r="DAL236" s="269"/>
      <c r="DAM236" s="269"/>
      <c r="DAN236" s="269"/>
      <c r="DAO236" s="269"/>
      <c r="DAP236" s="269"/>
      <c r="DAQ236" s="269"/>
      <c r="DAR236" s="269"/>
      <c r="DAS236" s="269"/>
      <c r="DAT236" s="269"/>
      <c r="DAU236" s="269"/>
      <c r="DAV236" s="269"/>
      <c r="DAW236" s="269"/>
      <c r="DAX236" s="269"/>
      <c r="DAY236" s="269"/>
      <c r="DAZ236" s="269"/>
      <c r="DBA236" s="269"/>
      <c r="DBB236" s="269"/>
      <c r="DBC236" s="269"/>
      <c r="DBD236" s="269"/>
      <c r="DBE236" s="269"/>
      <c r="DBF236" s="269"/>
      <c r="DBG236" s="269"/>
      <c r="DBH236" s="269"/>
      <c r="DBI236" s="269"/>
      <c r="DBJ236" s="269"/>
      <c r="DBK236" s="269"/>
      <c r="DBL236" s="269"/>
      <c r="DBM236" s="269"/>
      <c r="DBN236" s="269"/>
      <c r="DBO236" s="269"/>
      <c r="DBP236" s="269"/>
      <c r="DBQ236" s="269"/>
      <c r="DBR236" s="269"/>
      <c r="DBS236" s="269"/>
      <c r="DBT236" s="269"/>
      <c r="DBU236" s="269"/>
      <c r="DBV236" s="269"/>
      <c r="DBW236" s="269"/>
      <c r="DBX236" s="269"/>
      <c r="DBY236" s="269"/>
      <c r="DBZ236" s="269"/>
      <c r="DCA236" s="269"/>
      <c r="DCB236" s="269"/>
      <c r="DCC236" s="269"/>
      <c r="DCD236" s="269"/>
      <c r="DCE236" s="269"/>
      <c r="DCF236" s="269"/>
      <c r="DCG236" s="269"/>
      <c r="DCH236" s="269"/>
      <c r="DCI236" s="269"/>
      <c r="DCJ236" s="269"/>
      <c r="DCK236" s="269"/>
      <c r="DCL236" s="269"/>
      <c r="DCM236" s="269"/>
      <c r="DCN236" s="269"/>
      <c r="DCO236" s="269"/>
      <c r="DCP236" s="269"/>
      <c r="DCQ236" s="269"/>
      <c r="DCR236" s="269"/>
      <c r="DCS236" s="269"/>
      <c r="DCT236" s="269"/>
      <c r="DCU236" s="269"/>
      <c r="DCV236" s="269"/>
      <c r="DCW236" s="269"/>
      <c r="DCX236" s="269"/>
      <c r="DCY236" s="269"/>
      <c r="DCZ236" s="269"/>
      <c r="DDA236" s="269"/>
      <c r="DDB236" s="269"/>
      <c r="DDC236" s="269"/>
      <c r="DDD236" s="269"/>
      <c r="DDE236" s="269"/>
      <c r="DDF236" s="269"/>
      <c r="DDG236" s="269"/>
      <c r="DDH236" s="269"/>
      <c r="DDI236" s="269"/>
      <c r="DDJ236" s="269"/>
      <c r="DDK236" s="269"/>
      <c r="DDL236" s="269"/>
      <c r="DDM236" s="269"/>
      <c r="DDN236" s="269"/>
      <c r="DDO236" s="269"/>
      <c r="DDP236" s="269"/>
      <c r="DDQ236" s="269"/>
      <c r="DDR236" s="269"/>
      <c r="DDS236" s="269"/>
      <c r="DDT236" s="269"/>
      <c r="DDU236" s="269"/>
      <c r="DDV236" s="269"/>
      <c r="DDW236" s="269"/>
      <c r="DDX236" s="269"/>
      <c r="DDY236" s="269"/>
      <c r="DDZ236" s="269"/>
      <c r="DEA236" s="269"/>
      <c r="DEB236" s="269"/>
      <c r="DEC236" s="269"/>
      <c r="DED236" s="269"/>
      <c r="DEE236" s="269"/>
      <c r="DEF236" s="269"/>
      <c r="DEG236" s="269"/>
      <c r="DEH236" s="269"/>
      <c r="DEI236" s="269"/>
      <c r="DEJ236" s="269"/>
      <c r="DEK236" s="269"/>
      <c r="DEL236" s="269"/>
      <c r="DEM236" s="269"/>
      <c r="DEN236" s="269"/>
      <c r="DEO236" s="269"/>
      <c r="DEP236" s="269"/>
      <c r="DEQ236" s="269"/>
      <c r="DER236" s="269"/>
      <c r="DES236" s="269"/>
      <c r="DET236" s="269"/>
      <c r="DEU236" s="269"/>
      <c r="DEV236" s="269"/>
      <c r="DEW236" s="269"/>
      <c r="DEX236" s="269"/>
      <c r="DEY236" s="269"/>
      <c r="DEZ236" s="269"/>
      <c r="DFA236" s="269"/>
      <c r="DFB236" s="269"/>
      <c r="DFC236" s="269"/>
      <c r="DFD236" s="269"/>
      <c r="DFE236" s="269"/>
      <c r="DFF236" s="269"/>
      <c r="DFG236" s="269"/>
      <c r="DFH236" s="269"/>
      <c r="DFI236" s="269"/>
      <c r="DFJ236" s="269"/>
      <c r="DFK236" s="269"/>
      <c r="DFL236" s="269"/>
      <c r="DFM236" s="269"/>
      <c r="DFN236" s="269"/>
      <c r="DFO236" s="269"/>
      <c r="DFP236" s="269"/>
      <c r="DFQ236" s="269"/>
      <c r="DFR236" s="269"/>
      <c r="DFS236" s="269"/>
      <c r="DFT236" s="269"/>
      <c r="DFU236" s="269"/>
      <c r="DFV236" s="269"/>
      <c r="DFW236" s="269"/>
      <c r="DFX236" s="269"/>
      <c r="DFY236" s="269"/>
      <c r="DFZ236" s="269"/>
      <c r="DGA236" s="269"/>
      <c r="DGB236" s="269"/>
      <c r="DGC236" s="269"/>
      <c r="DGD236" s="269"/>
      <c r="DGE236" s="269"/>
      <c r="DGF236" s="269"/>
      <c r="DGG236" s="269"/>
      <c r="DGH236" s="269"/>
      <c r="DGI236" s="269"/>
      <c r="DGJ236" s="269"/>
      <c r="DGK236" s="269"/>
      <c r="DGL236" s="269"/>
      <c r="DGM236" s="269"/>
      <c r="DGN236" s="269"/>
      <c r="DGO236" s="269"/>
      <c r="DGP236" s="269"/>
      <c r="DGQ236" s="269"/>
      <c r="DGR236" s="269"/>
      <c r="DGS236" s="269"/>
      <c r="DGT236" s="269"/>
      <c r="DGU236" s="269"/>
      <c r="DGV236" s="269"/>
      <c r="DGW236" s="269"/>
      <c r="DGX236" s="269"/>
      <c r="DGY236" s="269"/>
      <c r="DGZ236" s="269"/>
      <c r="DHA236" s="269"/>
      <c r="DHB236" s="269"/>
      <c r="DHC236" s="269"/>
      <c r="DHD236" s="269"/>
      <c r="DHE236" s="269"/>
      <c r="DHF236" s="269"/>
      <c r="DHG236" s="269"/>
      <c r="DHH236" s="269"/>
      <c r="DHI236" s="269"/>
      <c r="DHJ236" s="269"/>
      <c r="DHK236" s="269"/>
      <c r="DHL236" s="269"/>
      <c r="DHM236" s="269"/>
      <c r="DHN236" s="269"/>
      <c r="DHO236" s="269"/>
      <c r="DHP236" s="269"/>
      <c r="DHQ236" s="269"/>
      <c r="DHR236" s="269"/>
      <c r="DHS236" s="269"/>
      <c r="DHT236" s="269"/>
      <c r="DHU236" s="269"/>
      <c r="DHV236" s="269"/>
      <c r="DHW236" s="269"/>
      <c r="DHX236" s="269"/>
      <c r="DHY236" s="269"/>
      <c r="DHZ236" s="269"/>
      <c r="DIA236" s="269"/>
      <c r="DIB236" s="269"/>
      <c r="DIC236" s="269"/>
      <c r="DID236" s="269"/>
      <c r="DIE236" s="269"/>
      <c r="DIF236" s="269"/>
      <c r="DIG236" s="269"/>
      <c r="DIH236" s="269"/>
      <c r="DII236" s="269"/>
      <c r="DIJ236" s="269"/>
      <c r="DIK236" s="269"/>
      <c r="DIL236" s="269"/>
      <c r="DIM236" s="269"/>
      <c r="DIN236" s="269"/>
      <c r="DIO236" s="269"/>
      <c r="DIP236" s="269"/>
      <c r="DIQ236" s="269"/>
      <c r="DIR236" s="269"/>
      <c r="DIS236" s="269"/>
      <c r="DIT236" s="269"/>
      <c r="DIU236" s="269"/>
      <c r="DIV236" s="269"/>
      <c r="DIW236" s="269"/>
      <c r="DIX236" s="269"/>
      <c r="DIY236" s="269"/>
      <c r="DIZ236" s="269"/>
      <c r="DJA236" s="269"/>
      <c r="DJB236" s="269"/>
      <c r="DJC236" s="269"/>
      <c r="DJD236" s="269"/>
      <c r="DJE236" s="269"/>
      <c r="DJF236" s="269"/>
      <c r="DJG236" s="269"/>
      <c r="DJH236" s="269"/>
      <c r="DJI236" s="269"/>
      <c r="DJJ236" s="269"/>
      <c r="DJK236" s="269"/>
      <c r="DJL236" s="269"/>
      <c r="DJM236" s="269"/>
      <c r="DJN236" s="269"/>
      <c r="DJO236" s="269"/>
      <c r="DJP236" s="269"/>
      <c r="DJQ236" s="269"/>
      <c r="DJR236" s="269"/>
      <c r="DJS236" s="269"/>
      <c r="DJT236" s="269"/>
      <c r="DJU236" s="269"/>
      <c r="DJV236" s="269"/>
      <c r="DJW236" s="269"/>
      <c r="DJX236" s="269"/>
      <c r="DJY236" s="269"/>
      <c r="DJZ236" s="269"/>
      <c r="DKA236" s="269"/>
      <c r="DKB236" s="269"/>
      <c r="DKC236" s="269"/>
      <c r="DKD236" s="269"/>
      <c r="DKE236" s="269"/>
      <c r="DKF236" s="269"/>
      <c r="DKG236" s="269"/>
      <c r="DKH236" s="269"/>
      <c r="DKI236" s="269"/>
      <c r="DKJ236" s="269"/>
      <c r="DKK236" s="269"/>
      <c r="DKL236" s="269"/>
      <c r="DKM236" s="269"/>
      <c r="DKN236" s="269"/>
      <c r="DKO236" s="269"/>
      <c r="DKP236" s="269"/>
      <c r="DKQ236" s="269"/>
      <c r="DKR236" s="269"/>
      <c r="DKS236" s="269"/>
      <c r="DKT236" s="269"/>
      <c r="DKU236" s="269"/>
      <c r="DKV236" s="269"/>
      <c r="DKW236" s="269"/>
      <c r="DKX236" s="269"/>
      <c r="DKY236" s="269"/>
      <c r="DKZ236" s="269"/>
      <c r="DLA236" s="269"/>
      <c r="DLB236" s="269"/>
      <c r="DLC236" s="269"/>
      <c r="DLD236" s="269"/>
      <c r="DLE236" s="269"/>
      <c r="DLF236" s="269"/>
      <c r="DLG236" s="269"/>
      <c r="DLH236" s="269"/>
      <c r="DLI236" s="269"/>
      <c r="DLJ236" s="269"/>
      <c r="DLK236" s="269"/>
      <c r="DLL236" s="269"/>
      <c r="DLM236" s="269"/>
      <c r="DLN236" s="269"/>
      <c r="DLO236" s="269"/>
      <c r="DLP236" s="269"/>
      <c r="DLQ236" s="269"/>
      <c r="DLR236" s="269"/>
      <c r="DLS236" s="269"/>
      <c r="DLT236" s="269"/>
      <c r="DLU236" s="269"/>
      <c r="DLV236" s="269"/>
      <c r="DLW236" s="269"/>
      <c r="DLX236" s="269"/>
      <c r="DLY236" s="269"/>
      <c r="DLZ236" s="269"/>
      <c r="DMA236" s="269"/>
      <c r="DMB236" s="269"/>
      <c r="DMC236" s="269"/>
      <c r="DMD236" s="269"/>
      <c r="DME236" s="269"/>
      <c r="DMF236" s="269"/>
      <c r="DMG236" s="269"/>
      <c r="DMH236" s="269"/>
      <c r="DMI236" s="269"/>
      <c r="DMJ236" s="269"/>
      <c r="DMK236" s="269"/>
      <c r="DML236" s="269"/>
      <c r="DMM236" s="269"/>
      <c r="DMN236" s="269"/>
      <c r="DMO236" s="269"/>
      <c r="DMP236" s="269"/>
      <c r="DMQ236" s="269"/>
      <c r="DMR236" s="269"/>
      <c r="DMS236" s="269"/>
      <c r="DMT236" s="269"/>
      <c r="DMU236" s="269"/>
      <c r="DMV236" s="269"/>
      <c r="DMW236" s="269"/>
      <c r="DMX236" s="269"/>
      <c r="DMY236" s="269"/>
      <c r="DMZ236" s="269"/>
      <c r="DNA236" s="269"/>
      <c r="DNB236" s="269"/>
      <c r="DNC236" s="269"/>
      <c r="DND236" s="269"/>
      <c r="DNE236" s="269"/>
      <c r="DNF236" s="269"/>
      <c r="DNG236" s="269"/>
      <c r="DNH236" s="269"/>
      <c r="DNI236" s="269"/>
      <c r="DNJ236" s="269"/>
      <c r="DNK236" s="269"/>
      <c r="DNL236" s="269"/>
      <c r="DNM236" s="269"/>
      <c r="DNN236" s="269"/>
      <c r="DNO236" s="269"/>
      <c r="DNP236" s="269"/>
      <c r="DNQ236" s="269"/>
      <c r="DNR236" s="269"/>
      <c r="DNS236" s="269"/>
      <c r="DNT236" s="269"/>
      <c r="DNU236" s="269"/>
      <c r="DNV236" s="269"/>
      <c r="DNW236" s="269"/>
      <c r="DNX236" s="269"/>
      <c r="DNY236" s="269"/>
      <c r="DNZ236" s="269"/>
      <c r="DOA236" s="269"/>
      <c r="DOB236" s="269"/>
      <c r="DOC236" s="269"/>
      <c r="DOD236" s="269"/>
      <c r="DOE236" s="269"/>
      <c r="DOF236" s="269"/>
      <c r="DOG236" s="269"/>
      <c r="DOH236" s="269"/>
      <c r="DOI236" s="269"/>
      <c r="DOJ236" s="269"/>
      <c r="DOK236" s="269"/>
      <c r="DOL236" s="269"/>
      <c r="DOM236" s="269"/>
      <c r="DON236" s="269"/>
      <c r="DOO236" s="269"/>
      <c r="DOP236" s="269"/>
      <c r="DOQ236" s="269"/>
      <c r="DOR236" s="269"/>
      <c r="DOS236" s="269"/>
      <c r="DOT236" s="269"/>
      <c r="DOU236" s="269"/>
      <c r="DOV236" s="269"/>
      <c r="DOW236" s="269"/>
      <c r="DOX236" s="269"/>
      <c r="DOY236" s="269"/>
      <c r="DOZ236" s="269"/>
      <c r="DPA236" s="269"/>
      <c r="DPB236" s="269"/>
      <c r="DPC236" s="269"/>
      <c r="DPD236" s="269"/>
      <c r="DPE236" s="269"/>
      <c r="DPF236" s="269"/>
      <c r="DPG236" s="269"/>
      <c r="DPH236" s="269"/>
      <c r="DPI236" s="269"/>
      <c r="DPJ236" s="269"/>
      <c r="DPK236" s="269"/>
      <c r="DPL236" s="269"/>
      <c r="DPM236" s="269"/>
      <c r="DPN236" s="269"/>
      <c r="DPO236" s="269"/>
      <c r="DPP236" s="269"/>
      <c r="DPQ236" s="269"/>
      <c r="DPR236" s="269"/>
      <c r="DPS236" s="269"/>
      <c r="DPT236" s="269"/>
      <c r="DPU236" s="269"/>
      <c r="DPV236" s="269"/>
      <c r="DPW236" s="269"/>
      <c r="DPX236" s="269"/>
      <c r="DPY236" s="269"/>
      <c r="DPZ236" s="269"/>
      <c r="DQA236" s="269"/>
      <c r="DQB236" s="269"/>
      <c r="DQC236" s="269"/>
      <c r="DQD236" s="269"/>
      <c r="DQE236" s="269"/>
      <c r="DQF236" s="269"/>
      <c r="DQG236" s="269"/>
      <c r="DQH236" s="269"/>
      <c r="DQI236" s="269"/>
      <c r="DQJ236" s="269"/>
      <c r="DQK236" s="269"/>
      <c r="DQL236" s="269"/>
      <c r="DQM236" s="269"/>
      <c r="DQN236" s="269"/>
      <c r="DQO236" s="269"/>
      <c r="DQP236" s="269"/>
      <c r="DQQ236" s="269"/>
      <c r="DQR236" s="269"/>
      <c r="DQS236" s="269"/>
      <c r="DQT236" s="269"/>
      <c r="DQU236" s="269"/>
      <c r="DQV236" s="269"/>
      <c r="DQW236" s="269"/>
      <c r="DQX236" s="269"/>
      <c r="DQY236" s="269"/>
      <c r="DQZ236" s="269"/>
      <c r="DRA236" s="269"/>
      <c r="DRB236" s="269"/>
      <c r="DRC236" s="269"/>
      <c r="DRD236" s="269"/>
      <c r="DRE236" s="269"/>
      <c r="DRF236" s="269"/>
      <c r="DRG236" s="269"/>
      <c r="DRH236" s="269"/>
      <c r="DRI236" s="269"/>
      <c r="DRJ236" s="269"/>
      <c r="DRK236" s="269"/>
      <c r="DRL236" s="269"/>
      <c r="DRM236" s="269"/>
      <c r="DRN236" s="269"/>
      <c r="DRO236" s="269"/>
      <c r="DRP236" s="269"/>
      <c r="DRQ236" s="269"/>
      <c r="DRR236" s="269"/>
      <c r="DRS236" s="269"/>
      <c r="DRT236" s="269"/>
      <c r="DRU236" s="269"/>
      <c r="DRV236" s="269"/>
      <c r="DRW236" s="269"/>
      <c r="DRX236" s="269"/>
      <c r="DRY236" s="269"/>
      <c r="DRZ236" s="269"/>
      <c r="DSA236" s="269"/>
      <c r="DSB236" s="269"/>
      <c r="DSC236" s="269"/>
      <c r="DSD236" s="269"/>
      <c r="DSE236" s="269"/>
      <c r="DSF236" s="269"/>
      <c r="DSG236" s="269"/>
      <c r="DSH236" s="269"/>
      <c r="DSI236" s="269"/>
      <c r="DSJ236" s="269"/>
      <c r="DSK236" s="269"/>
      <c r="DSL236" s="269"/>
      <c r="DSM236" s="269"/>
      <c r="DSN236" s="269"/>
      <c r="DSO236" s="269"/>
      <c r="DSP236" s="269"/>
      <c r="DSQ236" s="269"/>
      <c r="DSR236" s="269"/>
      <c r="DSS236" s="269"/>
      <c r="DST236" s="269"/>
      <c r="DSU236" s="269"/>
      <c r="DSV236" s="269"/>
      <c r="DSW236" s="269"/>
      <c r="DSX236" s="269"/>
      <c r="DSY236" s="269"/>
      <c r="DSZ236" s="269"/>
      <c r="DTA236" s="269"/>
      <c r="DTB236" s="269"/>
      <c r="DTC236" s="269"/>
      <c r="DTD236" s="269"/>
      <c r="DTE236" s="269"/>
      <c r="DTF236" s="269"/>
      <c r="DTG236" s="269"/>
      <c r="DTH236" s="269"/>
      <c r="DTI236" s="269"/>
      <c r="DTJ236" s="269"/>
      <c r="DTK236" s="269"/>
      <c r="DTL236" s="269"/>
      <c r="DTM236" s="269"/>
      <c r="DTN236" s="269"/>
      <c r="DTO236" s="269"/>
      <c r="DTP236" s="269"/>
      <c r="DTQ236" s="269"/>
      <c r="DTR236" s="269"/>
      <c r="DTS236" s="269"/>
      <c r="DTT236" s="269"/>
      <c r="DTU236" s="269"/>
      <c r="DTV236" s="269"/>
      <c r="DTW236" s="269"/>
      <c r="DTX236" s="269"/>
      <c r="DTY236" s="269"/>
      <c r="DTZ236" s="269"/>
      <c r="DUA236" s="269"/>
      <c r="DUB236" s="269"/>
      <c r="DUC236" s="269"/>
      <c r="DUD236" s="269"/>
      <c r="DUE236" s="269"/>
      <c r="DUF236" s="269"/>
      <c r="DUG236" s="269"/>
      <c r="DUH236" s="269"/>
      <c r="DUI236" s="269"/>
      <c r="DUJ236" s="269"/>
      <c r="DUK236" s="269"/>
      <c r="DUL236" s="269"/>
      <c r="DUM236" s="269"/>
      <c r="DUN236" s="269"/>
      <c r="DUO236" s="269"/>
      <c r="DUP236" s="269"/>
      <c r="DUQ236" s="269"/>
      <c r="DUR236" s="269"/>
      <c r="DUS236" s="269"/>
      <c r="DUT236" s="269"/>
      <c r="DUU236" s="269"/>
      <c r="DUV236" s="269"/>
      <c r="DUW236" s="269"/>
      <c r="DUX236" s="269"/>
      <c r="DUY236" s="269"/>
      <c r="DUZ236" s="269"/>
      <c r="DVA236" s="269"/>
      <c r="DVB236" s="269"/>
      <c r="DVC236" s="269"/>
      <c r="DVD236" s="269"/>
      <c r="DVE236" s="269"/>
      <c r="DVF236" s="269"/>
      <c r="DVG236" s="269"/>
      <c r="DVH236" s="269"/>
      <c r="DVI236" s="269"/>
      <c r="DVJ236" s="269"/>
      <c r="DVK236" s="269"/>
      <c r="DVL236" s="269"/>
      <c r="DVM236" s="269"/>
      <c r="DVN236" s="269"/>
      <c r="DVO236" s="269"/>
      <c r="DVP236" s="269"/>
      <c r="DVQ236" s="269"/>
      <c r="DVR236" s="269"/>
      <c r="DVS236" s="269"/>
      <c r="DVT236" s="269"/>
      <c r="DVU236" s="269"/>
      <c r="DVV236" s="269"/>
      <c r="DVW236" s="269"/>
      <c r="DVX236" s="269"/>
      <c r="DVY236" s="269"/>
      <c r="DVZ236" s="269"/>
      <c r="DWA236" s="269"/>
      <c r="DWB236" s="269"/>
      <c r="DWC236" s="269"/>
      <c r="DWD236" s="269"/>
      <c r="DWE236" s="269"/>
      <c r="DWF236" s="269"/>
      <c r="DWG236" s="269"/>
      <c r="DWH236" s="269"/>
      <c r="DWI236" s="269"/>
      <c r="DWJ236" s="269"/>
      <c r="DWK236" s="269"/>
      <c r="DWL236" s="269"/>
      <c r="DWM236" s="269"/>
      <c r="DWN236" s="269"/>
      <c r="DWO236" s="269"/>
      <c r="DWP236" s="269"/>
      <c r="DWQ236" s="269"/>
      <c r="DWR236" s="269"/>
      <c r="DWS236" s="269"/>
      <c r="DWT236" s="269"/>
      <c r="DWU236" s="269"/>
      <c r="DWV236" s="269"/>
      <c r="DWW236" s="269"/>
      <c r="DWX236" s="269"/>
      <c r="DWY236" s="269"/>
      <c r="DWZ236" s="269"/>
      <c r="DXA236" s="269"/>
      <c r="DXB236" s="269"/>
      <c r="DXC236" s="269"/>
      <c r="DXD236" s="269"/>
      <c r="DXE236" s="269"/>
      <c r="DXF236" s="269"/>
      <c r="DXG236" s="269"/>
      <c r="DXH236" s="269"/>
      <c r="DXI236" s="269"/>
      <c r="DXJ236" s="269"/>
      <c r="DXK236" s="269"/>
      <c r="DXL236" s="269"/>
      <c r="DXM236" s="269"/>
      <c r="DXN236" s="269"/>
      <c r="DXO236" s="269"/>
      <c r="DXP236" s="269"/>
      <c r="DXQ236" s="269"/>
      <c r="DXR236" s="269"/>
      <c r="DXS236" s="269"/>
      <c r="DXT236" s="269"/>
      <c r="DXU236" s="269"/>
      <c r="DXV236" s="269"/>
      <c r="DXW236" s="269"/>
      <c r="DXX236" s="269"/>
      <c r="DXY236" s="269"/>
      <c r="DXZ236" s="269"/>
      <c r="DYA236" s="269"/>
      <c r="DYB236" s="269"/>
      <c r="DYC236" s="269"/>
      <c r="DYD236" s="269"/>
      <c r="DYE236" s="269"/>
      <c r="DYF236" s="269"/>
      <c r="DYG236" s="269"/>
      <c r="DYH236" s="269"/>
      <c r="DYI236" s="269"/>
      <c r="DYJ236" s="269"/>
      <c r="DYK236" s="269"/>
      <c r="DYL236" s="269"/>
      <c r="DYM236" s="269"/>
      <c r="DYN236" s="269"/>
      <c r="DYO236" s="269"/>
      <c r="DYP236" s="269"/>
      <c r="DYQ236" s="269"/>
      <c r="DYR236" s="269"/>
      <c r="DYS236" s="269"/>
      <c r="DYT236" s="269"/>
      <c r="DYU236" s="269"/>
      <c r="DYV236" s="269"/>
      <c r="DYW236" s="269"/>
      <c r="DYX236" s="269"/>
      <c r="DYY236" s="269"/>
      <c r="DYZ236" s="269"/>
      <c r="DZA236" s="269"/>
      <c r="DZB236" s="269"/>
      <c r="DZC236" s="269"/>
      <c r="DZD236" s="269"/>
      <c r="DZE236" s="269"/>
      <c r="DZF236" s="269"/>
      <c r="DZG236" s="269"/>
      <c r="DZH236" s="269"/>
      <c r="DZI236" s="269"/>
      <c r="DZJ236" s="269"/>
      <c r="DZK236" s="269"/>
      <c r="DZL236" s="269"/>
      <c r="DZM236" s="269"/>
      <c r="DZN236" s="269"/>
      <c r="DZO236" s="269"/>
      <c r="DZP236" s="269"/>
      <c r="DZQ236" s="269"/>
      <c r="DZR236" s="269"/>
      <c r="DZS236" s="269"/>
      <c r="DZT236" s="269"/>
      <c r="DZU236" s="269"/>
      <c r="DZV236" s="269"/>
      <c r="DZW236" s="269"/>
      <c r="DZX236" s="269"/>
      <c r="DZY236" s="269"/>
      <c r="DZZ236" s="269"/>
      <c r="EAA236" s="269"/>
      <c r="EAB236" s="269"/>
      <c r="EAC236" s="269"/>
      <c r="EAD236" s="269"/>
      <c r="EAE236" s="269"/>
      <c r="EAF236" s="269"/>
      <c r="EAG236" s="269"/>
      <c r="EAH236" s="269"/>
      <c r="EAI236" s="269"/>
      <c r="EAJ236" s="269"/>
      <c r="EAK236" s="269"/>
      <c r="EAL236" s="269"/>
      <c r="EAM236" s="269"/>
      <c r="EAN236" s="269"/>
      <c r="EAO236" s="269"/>
      <c r="EAP236" s="269"/>
      <c r="EAQ236" s="269"/>
      <c r="EAR236" s="269"/>
      <c r="EAS236" s="269"/>
      <c r="EAT236" s="269"/>
      <c r="EAU236" s="269"/>
      <c r="EAV236" s="269"/>
      <c r="EAW236" s="269"/>
      <c r="EAX236" s="269"/>
      <c r="EAY236" s="269"/>
      <c r="EAZ236" s="269"/>
      <c r="EBA236" s="269"/>
      <c r="EBB236" s="269"/>
      <c r="EBC236" s="269"/>
      <c r="EBD236" s="269"/>
      <c r="EBE236" s="269"/>
      <c r="EBF236" s="269"/>
      <c r="EBG236" s="269"/>
      <c r="EBH236" s="269"/>
      <c r="EBI236" s="269"/>
      <c r="EBJ236" s="269"/>
      <c r="EBK236" s="269"/>
      <c r="EBL236" s="269"/>
      <c r="EBM236" s="269"/>
      <c r="EBN236" s="269"/>
      <c r="EBO236" s="269"/>
      <c r="EBP236" s="269"/>
      <c r="EBQ236" s="269"/>
      <c r="EBR236" s="269"/>
      <c r="EBS236" s="269"/>
      <c r="EBT236" s="269"/>
      <c r="EBU236" s="269"/>
      <c r="EBV236" s="269"/>
      <c r="EBW236" s="269"/>
      <c r="EBX236" s="269"/>
      <c r="EBY236" s="269"/>
      <c r="EBZ236" s="269"/>
      <c r="ECA236" s="269"/>
      <c r="ECB236" s="269"/>
      <c r="ECC236" s="269"/>
      <c r="ECD236" s="269"/>
      <c r="ECE236" s="269"/>
      <c r="ECF236" s="269"/>
      <c r="ECG236" s="269"/>
      <c r="ECH236" s="269"/>
      <c r="ECI236" s="269"/>
      <c r="ECJ236" s="269"/>
      <c r="ECK236" s="269"/>
      <c r="ECL236" s="269"/>
      <c r="ECM236" s="269"/>
      <c r="ECN236" s="269"/>
      <c r="ECO236" s="269"/>
      <c r="ECP236" s="269"/>
      <c r="ECQ236" s="269"/>
      <c r="ECR236" s="269"/>
      <c r="ECS236" s="269"/>
      <c r="ECT236" s="269"/>
      <c r="ECU236" s="269"/>
      <c r="ECV236" s="269"/>
      <c r="ECW236" s="269"/>
      <c r="ECX236" s="269"/>
      <c r="ECY236" s="269"/>
      <c r="ECZ236" s="269"/>
      <c r="EDA236" s="269"/>
      <c r="EDB236" s="269"/>
      <c r="EDC236" s="269"/>
      <c r="EDD236" s="269"/>
      <c r="EDE236" s="269"/>
      <c r="EDF236" s="269"/>
      <c r="EDG236" s="269"/>
      <c r="EDH236" s="269"/>
      <c r="EDI236" s="269"/>
      <c r="EDJ236" s="269"/>
      <c r="EDK236" s="269"/>
      <c r="EDL236" s="269"/>
      <c r="EDM236" s="269"/>
      <c r="EDN236" s="269"/>
      <c r="EDO236" s="269"/>
      <c r="EDP236" s="269"/>
      <c r="EDQ236" s="269"/>
      <c r="EDR236" s="269"/>
      <c r="EDS236" s="269"/>
      <c r="EDT236" s="269"/>
      <c r="EDU236" s="269"/>
      <c r="EDV236" s="269"/>
      <c r="EDW236" s="269"/>
      <c r="EDX236" s="269"/>
      <c r="EDY236" s="269"/>
      <c r="EDZ236" s="269"/>
      <c r="EEA236" s="269"/>
      <c r="EEB236" s="269"/>
      <c r="EEC236" s="269"/>
      <c r="EED236" s="269"/>
      <c r="EEE236" s="269"/>
      <c r="EEF236" s="269"/>
      <c r="EEG236" s="269"/>
      <c r="EEH236" s="269"/>
      <c r="EEI236" s="269"/>
      <c r="EEJ236" s="269"/>
      <c r="EEK236" s="269"/>
      <c r="EEL236" s="269"/>
      <c r="EEM236" s="269"/>
      <c r="EEN236" s="269"/>
      <c r="EEO236" s="269"/>
      <c r="EEP236" s="269"/>
      <c r="EEQ236" s="269"/>
      <c r="EER236" s="269"/>
      <c r="EES236" s="269"/>
      <c r="EET236" s="269"/>
      <c r="EEU236" s="269"/>
      <c r="EEV236" s="269"/>
      <c r="EEW236" s="269"/>
      <c r="EEX236" s="269"/>
      <c r="EEY236" s="269"/>
      <c r="EEZ236" s="269"/>
      <c r="EFA236" s="269"/>
      <c r="EFB236" s="269"/>
      <c r="EFC236" s="269"/>
      <c r="EFD236" s="269"/>
      <c r="EFE236" s="269"/>
      <c r="EFF236" s="269"/>
      <c r="EFG236" s="269"/>
      <c r="EFH236" s="269"/>
      <c r="EFI236" s="269"/>
      <c r="EFJ236" s="269"/>
      <c r="EFK236" s="269"/>
      <c r="EFL236" s="269"/>
      <c r="EFM236" s="269"/>
      <c r="EFN236" s="269"/>
      <c r="EFO236" s="269"/>
      <c r="EFP236" s="269"/>
      <c r="EFQ236" s="269"/>
      <c r="EFR236" s="269"/>
      <c r="EFS236" s="269"/>
      <c r="EFT236" s="269"/>
      <c r="EFU236" s="269"/>
      <c r="EFV236" s="269"/>
      <c r="EFW236" s="269"/>
      <c r="EFX236" s="269"/>
      <c r="EFY236" s="269"/>
      <c r="EFZ236" s="269"/>
      <c r="EGA236" s="269"/>
      <c r="EGB236" s="269"/>
      <c r="EGC236" s="269"/>
      <c r="EGD236" s="269"/>
      <c r="EGE236" s="269"/>
      <c r="EGF236" s="269"/>
      <c r="EGG236" s="269"/>
      <c r="EGH236" s="269"/>
      <c r="EGI236" s="269"/>
      <c r="EGJ236" s="269"/>
      <c r="EGK236" s="269"/>
      <c r="EGL236" s="269"/>
      <c r="EGM236" s="269"/>
      <c r="EGN236" s="269"/>
      <c r="EGO236" s="269"/>
      <c r="EGP236" s="269"/>
      <c r="EGQ236" s="269"/>
      <c r="EGR236" s="269"/>
      <c r="EGS236" s="269"/>
      <c r="EGT236" s="269"/>
      <c r="EGU236" s="269"/>
      <c r="EGV236" s="269"/>
      <c r="EGW236" s="269"/>
      <c r="EGX236" s="269"/>
      <c r="EGY236" s="269"/>
      <c r="EGZ236" s="269"/>
      <c r="EHA236" s="269"/>
      <c r="EHB236" s="269"/>
      <c r="EHC236" s="269"/>
      <c r="EHD236" s="269"/>
      <c r="EHE236" s="269"/>
      <c r="EHF236" s="269"/>
      <c r="EHG236" s="269"/>
      <c r="EHH236" s="269"/>
      <c r="EHI236" s="269"/>
      <c r="EHJ236" s="269"/>
      <c r="EHK236" s="269"/>
      <c r="EHL236" s="269"/>
      <c r="EHM236" s="269"/>
      <c r="EHN236" s="269"/>
      <c r="EHO236" s="269"/>
      <c r="EHP236" s="269"/>
      <c r="EHQ236" s="269"/>
      <c r="EHR236" s="269"/>
      <c r="EHS236" s="269"/>
      <c r="EHT236" s="269"/>
      <c r="EHU236" s="269"/>
      <c r="EHV236" s="269"/>
      <c r="EHW236" s="269"/>
      <c r="EHX236" s="269"/>
      <c r="EHY236" s="269"/>
      <c r="EHZ236" s="269"/>
      <c r="EIA236" s="269"/>
      <c r="EIB236" s="269"/>
      <c r="EIC236" s="269"/>
      <c r="EID236" s="269"/>
      <c r="EIE236" s="269"/>
      <c r="EIF236" s="269"/>
      <c r="EIG236" s="269"/>
      <c r="EIH236" s="269"/>
      <c r="EII236" s="269"/>
      <c r="EIJ236" s="269"/>
      <c r="EIK236" s="269"/>
      <c r="EIL236" s="269"/>
      <c r="EIM236" s="269"/>
      <c r="EIN236" s="269"/>
      <c r="EIO236" s="269"/>
      <c r="EIP236" s="269"/>
      <c r="EIQ236" s="269"/>
      <c r="EIR236" s="269"/>
      <c r="EIS236" s="269"/>
      <c r="EIT236" s="269"/>
      <c r="EIU236" s="269"/>
      <c r="EIV236" s="269"/>
      <c r="EIW236" s="269"/>
      <c r="EIX236" s="269"/>
      <c r="EIY236" s="269"/>
      <c r="EIZ236" s="269"/>
      <c r="EJA236" s="269"/>
      <c r="EJB236" s="269"/>
      <c r="EJC236" s="269"/>
      <c r="EJD236" s="269"/>
      <c r="EJE236" s="269"/>
      <c r="EJF236" s="269"/>
      <c r="EJG236" s="269"/>
      <c r="EJH236" s="269"/>
      <c r="EJI236" s="269"/>
      <c r="EJJ236" s="269"/>
      <c r="EJK236" s="269"/>
      <c r="EJL236" s="269"/>
      <c r="EJM236" s="269"/>
      <c r="EJN236" s="269"/>
      <c r="EJO236" s="269"/>
      <c r="EJP236" s="269"/>
      <c r="EJQ236" s="269"/>
      <c r="EJR236" s="269"/>
      <c r="EJS236" s="269"/>
      <c r="EJT236" s="269"/>
      <c r="EJU236" s="269"/>
      <c r="EJV236" s="269"/>
      <c r="EJW236" s="269"/>
      <c r="EJX236" s="269"/>
      <c r="EJY236" s="269"/>
      <c r="EJZ236" s="269"/>
      <c r="EKA236" s="269"/>
      <c r="EKB236" s="269"/>
      <c r="EKC236" s="269"/>
      <c r="EKD236" s="269"/>
      <c r="EKE236" s="269"/>
      <c r="EKF236" s="269"/>
      <c r="EKG236" s="269"/>
      <c r="EKH236" s="269"/>
      <c r="EKI236" s="269"/>
      <c r="EKJ236" s="269"/>
      <c r="EKK236" s="269"/>
      <c r="EKL236" s="269"/>
      <c r="EKM236" s="269"/>
      <c r="EKN236" s="269"/>
      <c r="EKO236" s="269"/>
      <c r="EKP236" s="269"/>
      <c r="EKQ236" s="269"/>
      <c r="EKR236" s="269"/>
      <c r="EKS236" s="269"/>
      <c r="EKT236" s="269"/>
      <c r="EKU236" s="269"/>
      <c r="EKV236" s="269"/>
      <c r="EKW236" s="269"/>
      <c r="EKX236" s="269"/>
      <c r="EKY236" s="269"/>
      <c r="EKZ236" s="269"/>
      <c r="ELA236" s="269"/>
      <c r="ELB236" s="269"/>
      <c r="ELC236" s="269"/>
      <c r="ELD236" s="269"/>
      <c r="ELE236" s="269"/>
      <c r="ELF236" s="269"/>
      <c r="ELG236" s="269"/>
      <c r="ELH236" s="269"/>
      <c r="ELI236" s="269"/>
      <c r="ELJ236" s="269"/>
      <c r="ELK236" s="269"/>
      <c r="ELL236" s="269"/>
      <c r="ELM236" s="269"/>
      <c r="ELN236" s="269"/>
      <c r="ELO236" s="269"/>
      <c r="ELP236" s="269"/>
      <c r="ELQ236" s="269"/>
      <c r="ELR236" s="269"/>
      <c r="ELS236" s="269"/>
      <c r="ELT236" s="269"/>
      <c r="ELU236" s="269"/>
      <c r="ELV236" s="269"/>
      <c r="ELW236" s="269"/>
      <c r="ELX236" s="269"/>
      <c r="ELY236" s="269"/>
      <c r="ELZ236" s="269"/>
      <c r="EMA236" s="269"/>
      <c r="EMB236" s="269"/>
      <c r="EMC236" s="269"/>
      <c r="EMD236" s="269"/>
      <c r="EME236" s="269"/>
      <c r="EMF236" s="269"/>
      <c r="EMG236" s="269"/>
      <c r="EMH236" s="269"/>
      <c r="EMI236" s="269"/>
      <c r="EMJ236" s="269"/>
      <c r="EMK236" s="269"/>
      <c r="EML236" s="269"/>
      <c r="EMM236" s="269"/>
      <c r="EMN236" s="269"/>
      <c r="EMO236" s="269"/>
      <c r="EMP236" s="269"/>
      <c r="EMQ236" s="269"/>
      <c r="EMR236" s="269"/>
      <c r="EMS236" s="269"/>
      <c r="EMT236" s="269"/>
      <c r="EMU236" s="269"/>
      <c r="EMV236" s="269"/>
      <c r="EMW236" s="269"/>
      <c r="EMX236" s="269"/>
      <c r="EMY236" s="269"/>
      <c r="EMZ236" s="269"/>
      <c r="ENA236" s="269"/>
      <c r="ENB236" s="269"/>
      <c r="ENC236" s="269"/>
      <c r="END236" s="269"/>
      <c r="ENE236" s="269"/>
      <c r="ENF236" s="269"/>
      <c r="ENG236" s="269"/>
      <c r="ENH236" s="269"/>
      <c r="ENI236" s="269"/>
      <c r="ENJ236" s="269"/>
      <c r="ENK236" s="269"/>
      <c r="ENL236" s="269"/>
      <c r="ENM236" s="269"/>
      <c r="ENN236" s="269"/>
      <c r="ENO236" s="269"/>
      <c r="ENP236" s="269"/>
      <c r="ENQ236" s="269"/>
      <c r="ENR236" s="269"/>
      <c r="ENS236" s="269"/>
      <c r="ENT236" s="269"/>
      <c r="ENU236" s="269"/>
      <c r="ENV236" s="269"/>
      <c r="ENW236" s="269"/>
      <c r="ENX236" s="269"/>
      <c r="ENY236" s="269"/>
      <c r="ENZ236" s="269"/>
      <c r="EOA236" s="269"/>
      <c r="EOB236" s="269"/>
      <c r="EOC236" s="269"/>
      <c r="EOD236" s="269"/>
      <c r="EOE236" s="269"/>
      <c r="EOF236" s="269"/>
      <c r="EOG236" s="269"/>
      <c r="EOH236" s="269"/>
      <c r="EOI236" s="269"/>
      <c r="EOJ236" s="269"/>
      <c r="EOK236" s="269"/>
      <c r="EOL236" s="269"/>
      <c r="EOM236" s="269"/>
      <c r="EON236" s="269"/>
      <c r="EOO236" s="269"/>
      <c r="EOP236" s="269"/>
      <c r="EOQ236" s="269"/>
      <c r="EOR236" s="269"/>
      <c r="EOS236" s="269"/>
      <c r="EOT236" s="269"/>
      <c r="EOU236" s="269"/>
      <c r="EOV236" s="269"/>
      <c r="EOW236" s="269"/>
      <c r="EOX236" s="269"/>
      <c r="EOY236" s="269"/>
      <c r="EOZ236" s="269"/>
      <c r="EPA236" s="269"/>
      <c r="EPB236" s="269"/>
      <c r="EPC236" s="269"/>
      <c r="EPD236" s="269"/>
      <c r="EPE236" s="269"/>
      <c r="EPF236" s="269"/>
      <c r="EPG236" s="269"/>
      <c r="EPH236" s="269"/>
      <c r="EPI236" s="269"/>
      <c r="EPJ236" s="269"/>
      <c r="EPK236" s="269"/>
      <c r="EPL236" s="269"/>
      <c r="EPM236" s="269"/>
      <c r="EPN236" s="269"/>
      <c r="EPO236" s="269"/>
      <c r="EPP236" s="269"/>
      <c r="EPQ236" s="269"/>
      <c r="EPR236" s="269"/>
      <c r="EPS236" s="269"/>
      <c r="EPT236" s="269"/>
      <c r="EPU236" s="269"/>
      <c r="EPV236" s="269"/>
      <c r="EPW236" s="269"/>
      <c r="EPX236" s="269"/>
      <c r="EPY236" s="269"/>
      <c r="EPZ236" s="269"/>
      <c r="EQA236" s="269"/>
      <c r="EQB236" s="269"/>
      <c r="EQC236" s="269"/>
      <c r="EQD236" s="269"/>
      <c r="EQE236" s="269"/>
      <c r="EQF236" s="269"/>
      <c r="EQG236" s="269"/>
      <c r="EQH236" s="269"/>
      <c r="EQI236" s="269"/>
      <c r="EQJ236" s="269"/>
      <c r="EQK236" s="269"/>
      <c r="EQL236" s="269"/>
      <c r="EQM236" s="269"/>
      <c r="EQN236" s="269"/>
      <c r="EQO236" s="269"/>
      <c r="EQP236" s="269"/>
      <c r="EQQ236" s="269"/>
      <c r="EQR236" s="269"/>
      <c r="EQS236" s="269"/>
      <c r="EQT236" s="269"/>
      <c r="EQU236" s="269"/>
      <c r="EQV236" s="269"/>
      <c r="EQW236" s="269"/>
      <c r="EQX236" s="269"/>
      <c r="EQY236" s="269"/>
      <c r="EQZ236" s="269"/>
      <c r="ERA236" s="269"/>
      <c r="ERB236" s="269"/>
      <c r="ERC236" s="269"/>
      <c r="ERD236" s="269"/>
      <c r="ERE236" s="269"/>
      <c r="ERF236" s="269"/>
      <c r="ERG236" s="269"/>
      <c r="ERH236" s="269"/>
      <c r="ERI236" s="269"/>
      <c r="ERJ236" s="269"/>
      <c r="ERK236" s="269"/>
      <c r="ERL236" s="269"/>
      <c r="ERM236" s="269"/>
      <c r="ERN236" s="269"/>
      <c r="ERO236" s="269"/>
      <c r="ERP236" s="269"/>
      <c r="ERQ236" s="269"/>
      <c r="ERR236" s="269"/>
      <c r="ERS236" s="269"/>
      <c r="ERT236" s="269"/>
      <c r="ERU236" s="269"/>
      <c r="ERV236" s="269"/>
      <c r="ERW236" s="269"/>
      <c r="ERX236" s="269"/>
      <c r="ERY236" s="269"/>
      <c r="ERZ236" s="269"/>
      <c r="ESA236" s="269"/>
      <c r="ESB236" s="269"/>
      <c r="ESC236" s="269"/>
      <c r="ESD236" s="269"/>
      <c r="ESE236" s="269"/>
      <c r="ESF236" s="269"/>
      <c r="ESG236" s="269"/>
      <c r="ESH236" s="269"/>
      <c r="ESI236" s="269"/>
      <c r="ESJ236" s="269"/>
      <c r="ESK236" s="269"/>
      <c r="ESL236" s="269"/>
      <c r="ESM236" s="269"/>
      <c r="ESN236" s="269"/>
      <c r="ESO236" s="269"/>
      <c r="ESP236" s="269"/>
      <c r="ESQ236" s="269"/>
      <c r="ESR236" s="269"/>
      <c r="ESS236" s="269"/>
      <c r="EST236" s="269"/>
      <c r="ESU236" s="269"/>
      <c r="ESV236" s="269"/>
      <c r="ESW236" s="269"/>
      <c r="ESX236" s="269"/>
      <c r="ESY236" s="269"/>
      <c r="ESZ236" s="269"/>
      <c r="ETA236" s="269"/>
      <c r="ETB236" s="269"/>
      <c r="ETC236" s="269"/>
      <c r="ETD236" s="269"/>
      <c r="ETE236" s="269"/>
      <c r="ETF236" s="269"/>
      <c r="ETG236" s="269"/>
      <c r="ETH236" s="269"/>
      <c r="ETI236" s="269"/>
      <c r="ETJ236" s="269"/>
      <c r="ETK236" s="269"/>
      <c r="ETL236" s="269"/>
      <c r="ETM236" s="269"/>
      <c r="ETN236" s="269"/>
      <c r="ETO236" s="269"/>
      <c r="ETP236" s="269"/>
      <c r="ETQ236" s="269"/>
      <c r="ETR236" s="269"/>
      <c r="ETS236" s="269"/>
      <c r="ETT236" s="269"/>
      <c r="ETU236" s="269"/>
      <c r="ETV236" s="269"/>
      <c r="ETW236" s="269"/>
      <c r="ETX236" s="269"/>
      <c r="ETY236" s="269"/>
      <c r="ETZ236" s="269"/>
      <c r="EUA236" s="269"/>
      <c r="EUB236" s="269"/>
      <c r="EUC236" s="269"/>
      <c r="EUD236" s="269"/>
      <c r="EUE236" s="269"/>
      <c r="EUF236" s="269"/>
      <c r="EUG236" s="269"/>
      <c r="EUH236" s="269"/>
      <c r="EUI236" s="269"/>
      <c r="EUJ236" s="269"/>
      <c r="EUK236" s="269"/>
      <c r="EUL236" s="269"/>
      <c r="EUM236" s="269"/>
      <c r="EUN236" s="269"/>
      <c r="EUO236" s="269"/>
      <c r="EUP236" s="269"/>
      <c r="EUQ236" s="269"/>
      <c r="EUR236" s="269"/>
      <c r="EUS236" s="269"/>
      <c r="EUT236" s="269"/>
      <c r="EUU236" s="269"/>
      <c r="EUV236" s="269"/>
      <c r="EUW236" s="269"/>
      <c r="EUX236" s="269"/>
      <c r="EUY236" s="269"/>
      <c r="EUZ236" s="269"/>
      <c r="EVA236" s="269"/>
      <c r="EVB236" s="269"/>
      <c r="EVC236" s="269"/>
      <c r="EVD236" s="269"/>
      <c r="EVE236" s="269"/>
      <c r="EVF236" s="269"/>
      <c r="EVG236" s="269"/>
      <c r="EVH236" s="269"/>
      <c r="EVI236" s="269"/>
      <c r="EVJ236" s="269"/>
      <c r="EVK236" s="269"/>
      <c r="EVL236" s="269"/>
      <c r="EVM236" s="269"/>
      <c r="EVN236" s="269"/>
      <c r="EVO236" s="269"/>
      <c r="EVP236" s="269"/>
      <c r="EVQ236" s="269"/>
      <c r="EVR236" s="269"/>
      <c r="EVS236" s="269"/>
      <c r="EVT236" s="269"/>
      <c r="EVU236" s="269"/>
      <c r="EVV236" s="269"/>
      <c r="EVW236" s="269"/>
      <c r="EVX236" s="269"/>
      <c r="EVY236" s="269"/>
      <c r="EVZ236" s="269"/>
      <c r="EWA236" s="269"/>
      <c r="EWB236" s="269"/>
      <c r="EWC236" s="269"/>
      <c r="EWD236" s="269"/>
      <c r="EWE236" s="269"/>
      <c r="EWF236" s="269"/>
      <c r="EWG236" s="269"/>
      <c r="EWH236" s="269"/>
      <c r="EWI236" s="269"/>
      <c r="EWJ236" s="269"/>
      <c r="EWK236" s="269"/>
      <c r="EWL236" s="269"/>
      <c r="EWM236" s="269"/>
      <c r="EWN236" s="269"/>
      <c r="EWO236" s="269"/>
      <c r="EWP236" s="269"/>
      <c r="EWQ236" s="269"/>
      <c r="EWR236" s="269"/>
      <c r="EWS236" s="269"/>
      <c r="EWT236" s="269"/>
      <c r="EWU236" s="269"/>
      <c r="EWV236" s="269"/>
      <c r="EWW236" s="269"/>
      <c r="EWX236" s="269"/>
      <c r="EWY236" s="269"/>
      <c r="EWZ236" s="269"/>
      <c r="EXA236" s="269"/>
      <c r="EXB236" s="269"/>
      <c r="EXC236" s="269"/>
      <c r="EXD236" s="269"/>
      <c r="EXE236" s="269"/>
      <c r="EXF236" s="269"/>
      <c r="EXG236" s="269"/>
      <c r="EXH236" s="269"/>
      <c r="EXI236" s="269"/>
      <c r="EXJ236" s="269"/>
      <c r="EXK236" s="269"/>
      <c r="EXL236" s="269"/>
      <c r="EXM236" s="269"/>
      <c r="EXN236" s="269"/>
      <c r="EXO236" s="269"/>
      <c r="EXP236" s="269"/>
      <c r="EXQ236" s="269"/>
      <c r="EXR236" s="269"/>
      <c r="EXS236" s="269"/>
      <c r="EXT236" s="269"/>
      <c r="EXU236" s="269"/>
      <c r="EXV236" s="269"/>
      <c r="EXW236" s="269"/>
      <c r="EXX236" s="269"/>
      <c r="EXY236" s="269"/>
      <c r="EXZ236" s="269"/>
      <c r="EYA236" s="269"/>
      <c r="EYB236" s="269"/>
      <c r="EYC236" s="269"/>
      <c r="EYD236" s="269"/>
      <c r="EYE236" s="269"/>
      <c r="EYF236" s="269"/>
      <c r="EYG236" s="269"/>
      <c r="EYH236" s="269"/>
      <c r="EYI236" s="269"/>
      <c r="EYJ236" s="269"/>
      <c r="EYK236" s="269"/>
      <c r="EYL236" s="269"/>
      <c r="EYM236" s="269"/>
      <c r="EYN236" s="269"/>
      <c r="EYO236" s="269"/>
      <c r="EYP236" s="269"/>
      <c r="EYQ236" s="269"/>
      <c r="EYR236" s="269"/>
      <c r="EYS236" s="269"/>
      <c r="EYT236" s="269"/>
      <c r="EYU236" s="269"/>
      <c r="EYV236" s="269"/>
      <c r="EYW236" s="269"/>
      <c r="EYX236" s="269"/>
      <c r="EYY236" s="269"/>
      <c r="EYZ236" s="269"/>
      <c r="EZA236" s="269"/>
      <c r="EZB236" s="269"/>
      <c r="EZC236" s="269"/>
      <c r="EZD236" s="269"/>
      <c r="EZE236" s="269"/>
      <c r="EZF236" s="269"/>
      <c r="EZG236" s="269"/>
      <c r="EZH236" s="269"/>
      <c r="EZI236" s="269"/>
      <c r="EZJ236" s="269"/>
      <c r="EZK236" s="269"/>
      <c r="EZL236" s="269"/>
      <c r="EZM236" s="269"/>
      <c r="EZN236" s="269"/>
      <c r="EZO236" s="269"/>
      <c r="EZP236" s="269"/>
      <c r="EZQ236" s="269"/>
      <c r="EZR236" s="269"/>
      <c r="EZS236" s="269"/>
      <c r="EZT236" s="269"/>
      <c r="EZU236" s="269"/>
      <c r="EZV236" s="269"/>
      <c r="EZW236" s="269"/>
      <c r="EZX236" s="269"/>
      <c r="EZY236" s="269"/>
      <c r="EZZ236" s="269"/>
      <c r="FAA236" s="269"/>
      <c r="FAB236" s="269"/>
      <c r="FAC236" s="269"/>
      <c r="FAD236" s="269"/>
      <c r="FAE236" s="269"/>
      <c r="FAF236" s="269"/>
      <c r="FAG236" s="269"/>
      <c r="FAH236" s="269"/>
      <c r="FAI236" s="269"/>
      <c r="FAJ236" s="269"/>
      <c r="FAK236" s="269"/>
      <c r="FAL236" s="269"/>
      <c r="FAM236" s="269"/>
      <c r="FAN236" s="269"/>
      <c r="FAO236" s="269"/>
      <c r="FAP236" s="269"/>
      <c r="FAQ236" s="269"/>
      <c r="FAR236" s="269"/>
      <c r="FAS236" s="269"/>
      <c r="FAT236" s="269"/>
      <c r="FAU236" s="269"/>
      <c r="FAV236" s="269"/>
      <c r="FAW236" s="269"/>
      <c r="FAX236" s="269"/>
      <c r="FAY236" s="269"/>
      <c r="FAZ236" s="269"/>
      <c r="FBA236" s="269"/>
      <c r="FBB236" s="269"/>
      <c r="FBC236" s="269"/>
      <c r="FBD236" s="269"/>
      <c r="FBE236" s="269"/>
      <c r="FBF236" s="269"/>
      <c r="FBG236" s="269"/>
      <c r="FBH236" s="269"/>
      <c r="FBI236" s="269"/>
      <c r="FBJ236" s="269"/>
      <c r="FBK236" s="269"/>
      <c r="FBL236" s="269"/>
      <c r="FBM236" s="269"/>
      <c r="FBN236" s="269"/>
      <c r="FBO236" s="269"/>
      <c r="FBP236" s="269"/>
      <c r="FBQ236" s="269"/>
      <c r="FBR236" s="269"/>
      <c r="FBS236" s="269"/>
      <c r="FBT236" s="269"/>
      <c r="FBU236" s="269"/>
      <c r="FBV236" s="269"/>
      <c r="FBW236" s="269"/>
      <c r="FBX236" s="269"/>
      <c r="FBY236" s="269"/>
      <c r="FBZ236" s="269"/>
      <c r="FCA236" s="269"/>
      <c r="FCB236" s="269"/>
      <c r="FCC236" s="269"/>
      <c r="FCD236" s="269"/>
      <c r="FCE236" s="269"/>
      <c r="FCF236" s="269"/>
      <c r="FCG236" s="269"/>
      <c r="FCH236" s="269"/>
      <c r="FCI236" s="269"/>
      <c r="FCJ236" s="269"/>
      <c r="FCK236" s="269"/>
      <c r="FCL236" s="269"/>
      <c r="FCM236" s="269"/>
      <c r="FCN236" s="269"/>
      <c r="FCO236" s="269"/>
      <c r="FCP236" s="269"/>
      <c r="FCQ236" s="269"/>
      <c r="FCR236" s="269"/>
      <c r="FCS236" s="269"/>
      <c r="FCT236" s="269"/>
      <c r="FCU236" s="269"/>
      <c r="FCV236" s="269"/>
      <c r="FCW236" s="269"/>
      <c r="FCX236" s="269"/>
      <c r="FCY236" s="269"/>
      <c r="FCZ236" s="269"/>
      <c r="FDA236" s="269"/>
      <c r="FDB236" s="269"/>
      <c r="FDC236" s="269"/>
      <c r="FDD236" s="269"/>
      <c r="FDE236" s="269"/>
      <c r="FDF236" s="269"/>
      <c r="FDG236" s="269"/>
      <c r="FDH236" s="269"/>
      <c r="FDI236" s="269"/>
      <c r="FDJ236" s="269"/>
      <c r="FDK236" s="269"/>
      <c r="FDL236" s="269"/>
      <c r="FDM236" s="269"/>
      <c r="FDN236" s="269"/>
      <c r="FDO236" s="269"/>
      <c r="FDP236" s="269"/>
      <c r="FDQ236" s="269"/>
      <c r="FDR236" s="269"/>
      <c r="FDS236" s="269"/>
      <c r="FDT236" s="269"/>
      <c r="FDU236" s="269"/>
      <c r="FDV236" s="269"/>
      <c r="FDW236" s="269"/>
      <c r="FDX236" s="269"/>
      <c r="FDY236" s="269"/>
      <c r="FDZ236" s="269"/>
      <c r="FEA236" s="269"/>
      <c r="FEB236" s="269"/>
      <c r="FEC236" s="269"/>
      <c r="FED236" s="269"/>
      <c r="FEE236" s="269"/>
      <c r="FEF236" s="269"/>
      <c r="FEG236" s="269"/>
      <c r="FEH236" s="269"/>
      <c r="FEI236" s="269"/>
      <c r="FEJ236" s="269"/>
      <c r="FEK236" s="269"/>
      <c r="FEL236" s="269"/>
      <c r="FEM236" s="269"/>
      <c r="FEN236" s="269"/>
      <c r="FEO236" s="269"/>
      <c r="FEP236" s="269"/>
      <c r="FEQ236" s="269"/>
      <c r="FER236" s="269"/>
      <c r="FES236" s="269"/>
      <c r="FET236" s="269"/>
      <c r="FEU236" s="269"/>
      <c r="FEV236" s="269"/>
      <c r="FEW236" s="269"/>
      <c r="FEX236" s="269"/>
      <c r="FEY236" s="269"/>
      <c r="FEZ236" s="269"/>
      <c r="FFA236" s="269"/>
      <c r="FFB236" s="269"/>
      <c r="FFC236" s="269"/>
      <c r="FFD236" s="269"/>
      <c r="FFE236" s="269"/>
      <c r="FFF236" s="269"/>
      <c r="FFG236" s="269"/>
      <c r="FFH236" s="269"/>
      <c r="FFI236" s="269"/>
      <c r="FFJ236" s="269"/>
      <c r="FFK236" s="269"/>
      <c r="FFL236" s="269"/>
      <c r="FFM236" s="269"/>
      <c r="FFN236" s="269"/>
      <c r="FFO236" s="269"/>
      <c r="FFP236" s="269"/>
      <c r="FFQ236" s="269"/>
      <c r="FFR236" s="269"/>
      <c r="FFS236" s="269"/>
      <c r="FFT236" s="269"/>
      <c r="FFU236" s="269"/>
      <c r="FFV236" s="269"/>
      <c r="FFW236" s="269"/>
      <c r="FFX236" s="269"/>
      <c r="FFY236" s="269"/>
      <c r="FFZ236" s="269"/>
      <c r="FGA236" s="269"/>
      <c r="FGB236" s="269"/>
      <c r="FGC236" s="269"/>
      <c r="FGD236" s="269"/>
      <c r="FGE236" s="269"/>
      <c r="FGF236" s="269"/>
      <c r="FGG236" s="269"/>
      <c r="FGH236" s="269"/>
      <c r="FGI236" s="269"/>
      <c r="FGJ236" s="269"/>
      <c r="FGK236" s="269"/>
      <c r="FGL236" s="269"/>
      <c r="FGM236" s="269"/>
      <c r="FGN236" s="269"/>
      <c r="FGO236" s="269"/>
      <c r="FGP236" s="269"/>
      <c r="FGQ236" s="269"/>
      <c r="FGR236" s="269"/>
      <c r="FGS236" s="269"/>
      <c r="FGT236" s="269"/>
      <c r="FGU236" s="269"/>
      <c r="FGV236" s="269"/>
      <c r="FGW236" s="269"/>
      <c r="FGX236" s="269"/>
      <c r="FGY236" s="269"/>
      <c r="FGZ236" s="269"/>
      <c r="FHA236" s="269"/>
      <c r="FHB236" s="269"/>
      <c r="FHC236" s="269"/>
      <c r="FHD236" s="269"/>
      <c r="FHE236" s="269"/>
      <c r="FHF236" s="269"/>
      <c r="FHG236" s="269"/>
      <c r="FHH236" s="269"/>
      <c r="FHI236" s="269"/>
      <c r="FHJ236" s="269"/>
      <c r="FHK236" s="269"/>
      <c r="FHL236" s="269"/>
      <c r="FHM236" s="269"/>
      <c r="FHN236" s="269"/>
      <c r="FHO236" s="269"/>
      <c r="FHP236" s="269"/>
      <c r="FHQ236" s="269"/>
      <c r="FHR236" s="269"/>
      <c r="FHS236" s="269"/>
      <c r="FHT236" s="269"/>
      <c r="FHU236" s="269"/>
      <c r="FHV236" s="269"/>
      <c r="FHW236" s="269"/>
      <c r="FHX236" s="269"/>
      <c r="FHY236" s="269"/>
      <c r="FHZ236" s="269"/>
      <c r="FIA236" s="269"/>
      <c r="FIB236" s="269"/>
      <c r="FIC236" s="269"/>
      <c r="FID236" s="269"/>
      <c r="FIE236" s="269"/>
      <c r="FIF236" s="269"/>
      <c r="FIG236" s="269"/>
      <c r="FIH236" s="269"/>
      <c r="FII236" s="269"/>
      <c r="FIJ236" s="269"/>
      <c r="FIK236" s="269"/>
      <c r="FIL236" s="269"/>
      <c r="FIM236" s="269"/>
      <c r="FIN236" s="269"/>
      <c r="FIO236" s="269"/>
      <c r="FIP236" s="269"/>
      <c r="FIQ236" s="269"/>
      <c r="FIR236" s="269"/>
      <c r="FIS236" s="269"/>
      <c r="FIT236" s="269"/>
      <c r="FIU236" s="269"/>
      <c r="FIV236" s="269"/>
      <c r="FIW236" s="269"/>
      <c r="FIX236" s="269"/>
      <c r="FIY236" s="269"/>
      <c r="FIZ236" s="269"/>
      <c r="FJA236" s="269"/>
      <c r="FJB236" s="269"/>
      <c r="FJC236" s="269"/>
      <c r="FJD236" s="269"/>
      <c r="FJE236" s="269"/>
      <c r="FJF236" s="269"/>
      <c r="FJG236" s="269"/>
      <c r="FJH236" s="269"/>
      <c r="FJI236" s="269"/>
      <c r="FJJ236" s="269"/>
      <c r="FJK236" s="269"/>
      <c r="FJL236" s="269"/>
      <c r="FJM236" s="269"/>
      <c r="FJN236" s="269"/>
      <c r="FJO236" s="269"/>
      <c r="FJP236" s="269"/>
      <c r="FJQ236" s="269"/>
      <c r="FJR236" s="269"/>
      <c r="FJS236" s="269"/>
      <c r="FJT236" s="269"/>
      <c r="FJU236" s="269"/>
      <c r="FJV236" s="269"/>
      <c r="FJW236" s="269"/>
      <c r="FJX236" s="269"/>
      <c r="FJY236" s="269"/>
      <c r="FJZ236" s="269"/>
      <c r="FKA236" s="269"/>
      <c r="FKB236" s="269"/>
      <c r="FKC236" s="269"/>
      <c r="FKD236" s="269"/>
      <c r="FKE236" s="269"/>
      <c r="FKF236" s="269"/>
      <c r="FKG236" s="269"/>
      <c r="FKH236" s="269"/>
      <c r="FKI236" s="269"/>
      <c r="FKJ236" s="269"/>
      <c r="FKK236" s="269"/>
      <c r="FKL236" s="269"/>
      <c r="FKM236" s="269"/>
      <c r="FKN236" s="269"/>
      <c r="FKO236" s="269"/>
      <c r="FKP236" s="269"/>
      <c r="FKQ236" s="269"/>
      <c r="FKR236" s="269"/>
      <c r="FKS236" s="269"/>
      <c r="FKT236" s="269"/>
      <c r="FKU236" s="269"/>
      <c r="FKV236" s="269"/>
      <c r="FKW236" s="269"/>
      <c r="FKX236" s="269"/>
      <c r="FKY236" s="269"/>
      <c r="FKZ236" s="269"/>
      <c r="FLA236" s="269"/>
      <c r="FLB236" s="269"/>
      <c r="FLC236" s="269"/>
      <c r="FLD236" s="269"/>
      <c r="FLE236" s="269"/>
      <c r="FLF236" s="269"/>
      <c r="FLG236" s="269"/>
      <c r="FLH236" s="269"/>
      <c r="FLI236" s="269"/>
      <c r="FLJ236" s="269"/>
      <c r="FLK236" s="269"/>
      <c r="FLL236" s="269"/>
      <c r="FLM236" s="269"/>
      <c r="FLN236" s="269"/>
      <c r="FLO236" s="269"/>
      <c r="FLP236" s="269"/>
      <c r="FLQ236" s="269"/>
      <c r="FLR236" s="269"/>
      <c r="FLS236" s="269"/>
      <c r="FLT236" s="269"/>
      <c r="FLU236" s="269"/>
      <c r="FLV236" s="269"/>
      <c r="FLW236" s="269"/>
      <c r="FLX236" s="269"/>
      <c r="FLY236" s="269"/>
      <c r="FLZ236" s="269"/>
      <c r="FMA236" s="269"/>
      <c r="FMB236" s="269"/>
      <c r="FMC236" s="269"/>
      <c r="FMD236" s="269"/>
      <c r="FME236" s="269"/>
      <c r="FMF236" s="269"/>
      <c r="FMG236" s="269"/>
      <c r="FMH236" s="269"/>
      <c r="FMI236" s="269"/>
      <c r="FMJ236" s="269"/>
      <c r="FMK236" s="269"/>
      <c r="FML236" s="269"/>
      <c r="FMM236" s="269"/>
      <c r="FMN236" s="269"/>
      <c r="FMO236" s="269"/>
      <c r="FMP236" s="269"/>
      <c r="FMQ236" s="269"/>
      <c r="FMR236" s="269"/>
      <c r="FMS236" s="269"/>
      <c r="FMT236" s="269"/>
      <c r="FMU236" s="269"/>
      <c r="FMV236" s="269"/>
      <c r="FMW236" s="269"/>
      <c r="FMX236" s="269"/>
      <c r="FMY236" s="269"/>
      <c r="FMZ236" s="269"/>
      <c r="FNA236" s="269"/>
      <c r="FNB236" s="269"/>
      <c r="FNC236" s="269"/>
      <c r="FND236" s="269"/>
      <c r="FNE236" s="269"/>
      <c r="FNF236" s="269"/>
      <c r="FNG236" s="269"/>
      <c r="FNH236" s="269"/>
      <c r="FNI236" s="269"/>
      <c r="FNJ236" s="269"/>
      <c r="FNK236" s="269"/>
      <c r="FNL236" s="269"/>
      <c r="FNM236" s="269"/>
      <c r="FNN236" s="269"/>
      <c r="FNO236" s="269"/>
      <c r="FNP236" s="269"/>
      <c r="FNQ236" s="269"/>
      <c r="FNR236" s="269"/>
      <c r="FNS236" s="269"/>
      <c r="FNT236" s="269"/>
      <c r="FNU236" s="269"/>
      <c r="FNV236" s="269"/>
      <c r="FNW236" s="269"/>
      <c r="FNX236" s="269"/>
      <c r="FNY236" s="269"/>
      <c r="FNZ236" s="269"/>
      <c r="FOA236" s="269"/>
      <c r="FOB236" s="269"/>
      <c r="FOC236" s="269"/>
      <c r="FOD236" s="269"/>
      <c r="FOE236" s="269"/>
      <c r="FOF236" s="269"/>
      <c r="FOG236" s="269"/>
      <c r="FOH236" s="269"/>
      <c r="FOI236" s="269"/>
      <c r="FOJ236" s="269"/>
      <c r="FOK236" s="269"/>
      <c r="FOL236" s="269"/>
      <c r="FOM236" s="269"/>
      <c r="FON236" s="269"/>
      <c r="FOO236" s="269"/>
      <c r="FOP236" s="269"/>
      <c r="FOQ236" s="269"/>
      <c r="FOR236" s="269"/>
      <c r="FOS236" s="269"/>
      <c r="FOT236" s="269"/>
      <c r="FOU236" s="269"/>
      <c r="FOV236" s="269"/>
      <c r="FOW236" s="269"/>
      <c r="FOX236" s="269"/>
      <c r="FOY236" s="269"/>
      <c r="FOZ236" s="269"/>
      <c r="FPA236" s="269"/>
      <c r="FPB236" s="269"/>
      <c r="FPC236" s="269"/>
      <c r="FPD236" s="269"/>
      <c r="FPE236" s="269"/>
      <c r="FPF236" s="269"/>
      <c r="FPG236" s="269"/>
      <c r="FPH236" s="269"/>
      <c r="FPI236" s="269"/>
      <c r="FPJ236" s="269"/>
      <c r="FPK236" s="269"/>
      <c r="FPL236" s="269"/>
      <c r="FPM236" s="269"/>
      <c r="FPN236" s="269"/>
      <c r="FPO236" s="269"/>
      <c r="FPP236" s="269"/>
      <c r="FPQ236" s="269"/>
      <c r="FPR236" s="269"/>
      <c r="FPS236" s="269"/>
      <c r="FPT236" s="269"/>
      <c r="FPU236" s="269"/>
      <c r="FPV236" s="269"/>
      <c r="FPW236" s="269"/>
      <c r="FPX236" s="269"/>
      <c r="FPY236" s="269"/>
      <c r="FPZ236" s="269"/>
      <c r="FQA236" s="269"/>
      <c r="FQB236" s="269"/>
      <c r="FQC236" s="269"/>
      <c r="FQD236" s="269"/>
      <c r="FQE236" s="269"/>
      <c r="FQF236" s="269"/>
      <c r="FQG236" s="269"/>
      <c r="FQH236" s="269"/>
      <c r="FQI236" s="269"/>
      <c r="FQJ236" s="269"/>
      <c r="FQK236" s="269"/>
      <c r="FQL236" s="269"/>
      <c r="FQM236" s="269"/>
      <c r="FQN236" s="269"/>
      <c r="FQO236" s="269"/>
      <c r="FQP236" s="269"/>
      <c r="FQQ236" s="269"/>
      <c r="FQR236" s="269"/>
      <c r="FQS236" s="269"/>
      <c r="FQT236" s="269"/>
      <c r="FQU236" s="269"/>
      <c r="FQV236" s="269"/>
      <c r="FQW236" s="269"/>
      <c r="FQX236" s="269"/>
      <c r="FQY236" s="269"/>
      <c r="FQZ236" s="269"/>
      <c r="FRA236" s="269"/>
      <c r="FRB236" s="269"/>
      <c r="FRC236" s="269"/>
      <c r="FRD236" s="269"/>
      <c r="FRE236" s="269"/>
      <c r="FRF236" s="269"/>
      <c r="FRG236" s="269"/>
      <c r="FRH236" s="269"/>
      <c r="FRI236" s="269"/>
      <c r="FRJ236" s="269"/>
      <c r="FRK236" s="269"/>
      <c r="FRL236" s="269"/>
      <c r="FRM236" s="269"/>
      <c r="FRN236" s="269"/>
      <c r="FRO236" s="269"/>
      <c r="FRP236" s="269"/>
      <c r="FRQ236" s="269"/>
      <c r="FRR236" s="269"/>
      <c r="FRS236" s="269"/>
      <c r="FRT236" s="269"/>
      <c r="FRU236" s="269"/>
      <c r="FRV236" s="269"/>
      <c r="FRW236" s="269"/>
      <c r="FRX236" s="269"/>
      <c r="FRY236" s="269"/>
      <c r="FRZ236" s="269"/>
      <c r="FSA236" s="269"/>
      <c r="FSB236" s="269"/>
      <c r="FSC236" s="269"/>
      <c r="FSD236" s="269"/>
      <c r="FSE236" s="269"/>
      <c r="FSF236" s="269"/>
      <c r="FSG236" s="269"/>
      <c r="FSH236" s="269"/>
      <c r="FSI236" s="269"/>
      <c r="FSJ236" s="269"/>
      <c r="FSK236" s="269"/>
      <c r="FSL236" s="269"/>
      <c r="FSM236" s="269"/>
      <c r="FSN236" s="269"/>
      <c r="FSO236" s="269"/>
      <c r="FSP236" s="269"/>
      <c r="FSQ236" s="269"/>
      <c r="FSR236" s="269"/>
      <c r="FSS236" s="269"/>
      <c r="FST236" s="269"/>
      <c r="FSU236" s="269"/>
      <c r="FSV236" s="269"/>
      <c r="FSW236" s="269"/>
      <c r="FSX236" s="269"/>
      <c r="FSY236" s="269"/>
      <c r="FSZ236" s="269"/>
      <c r="FTA236" s="269"/>
      <c r="FTB236" s="269"/>
      <c r="FTC236" s="269"/>
      <c r="FTD236" s="269"/>
      <c r="FTE236" s="269"/>
      <c r="FTF236" s="269"/>
      <c r="FTG236" s="269"/>
      <c r="FTH236" s="269"/>
      <c r="FTI236" s="269"/>
      <c r="FTJ236" s="269"/>
      <c r="FTK236" s="269"/>
      <c r="FTL236" s="269"/>
      <c r="FTM236" s="269"/>
      <c r="FTN236" s="269"/>
      <c r="FTO236" s="269"/>
      <c r="FTP236" s="269"/>
      <c r="FTQ236" s="269"/>
      <c r="FTR236" s="269"/>
      <c r="FTS236" s="269"/>
      <c r="FTT236" s="269"/>
      <c r="FTU236" s="269"/>
      <c r="FTV236" s="269"/>
      <c r="FTW236" s="269"/>
      <c r="FTX236" s="269"/>
      <c r="FTY236" s="269"/>
      <c r="FTZ236" s="269"/>
      <c r="FUA236" s="269"/>
      <c r="FUB236" s="269"/>
      <c r="FUC236" s="269"/>
      <c r="FUD236" s="269"/>
      <c r="FUE236" s="269"/>
      <c r="FUF236" s="269"/>
      <c r="FUG236" s="269"/>
      <c r="FUH236" s="269"/>
      <c r="FUI236" s="269"/>
      <c r="FUJ236" s="269"/>
      <c r="FUK236" s="269"/>
      <c r="FUL236" s="269"/>
      <c r="FUM236" s="269"/>
      <c r="FUN236" s="269"/>
      <c r="FUO236" s="269"/>
      <c r="FUP236" s="269"/>
      <c r="FUQ236" s="269"/>
      <c r="FUR236" s="269"/>
      <c r="FUS236" s="269"/>
      <c r="FUT236" s="269"/>
      <c r="FUU236" s="269"/>
      <c r="FUV236" s="269"/>
      <c r="FUW236" s="269"/>
      <c r="FUX236" s="269"/>
      <c r="FUY236" s="269"/>
      <c r="FUZ236" s="269"/>
      <c r="FVA236" s="269"/>
      <c r="FVB236" s="269"/>
      <c r="FVC236" s="269"/>
      <c r="FVD236" s="269"/>
      <c r="FVE236" s="269"/>
      <c r="FVF236" s="269"/>
      <c r="FVG236" s="269"/>
      <c r="FVH236" s="269"/>
      <c r="FVI236" s="269"/>
      <c r="FVJ236" s="269"/>
      <c r="FVK236" s="269"/>
      <c r="FVL236" s="269"/>
      <c r="FVM236" s="269"/>
      <c r="FVN236" s="269"/>
      <c r="FVO236" s="269"/>
      <c r="FVP236" s="269"/>
      <c r="FVQ236" s="269"/>
      <c r="FVR236" s="269"/>
      <c r="FVS236" s="269"/>
      <c r="FVT236" s="269"/>
      <c r="FVU236" s="269"/>
      <c r="FVV236" s="269"/>
      <c r="FVW236" s="269"/>
      <c r="FVX236" s="269"/>
      <c r="FVY236" s="269"/>
      <c r="FVZ236" s="269"/>
      <c r="FWA236" s="269"/>
      <c r="FWB236" s="269"/>
      <c r="FWC236" s="269"/>
      <c r="FWD236" s="269"/>
      <c r="FWE236" s="269"/>
      <c r="FWF236" s="269"/>
      <c r="FWG236" s="269"/>
      <c r="FWH236" s="269"/>
      <c r="FWI236" s="269"/>
      <c r="FWJ236" s="269"/>
      <c r="FWK236" s="269"/>
      <c r="FWL236" s="269"/>
      <c r="FWM236" s="269"/>
      <c r="FWN236" s="269"/>
      <c r="FWO236" s="269"/>
      <c r="FWP236" s="269"/>
      <c r="FWQ236" s="269"/>
      <c r="FWR236" s="269"/>
      <c r="FWS236" s="269"/>
      <c r="FWT236" s="269"/>
      <c r="FWU236" s="269"/>
      <c r="FWV236" s="269"/>
      <c r="FWW236" s="269"/>
      <c r="FWX236" s="269"/>
      <c r="FWY236" s="269"/>
      <c r="FWZ236" s="269"/>
      <c r="FXA236" s="269"/>
      <c r="FXB236" s="269"/>
      <c r="FXC236" s="269"/>
      <c r="FXD236" s="269"/>
      <c r="FXE236" s="269"/>
      <c r="FXF236" s="269"/>
      <c r="FXG236" s="269"/>
      <c r="FXH236" s="269"/>
      <c r="FXI236" s="269"/>
      <c r="FXJ236" s="269"/>
      <c r="FXK236" s="269"/>
      <c r="FXL236" s="269"/>
      <c r="FXM236" s="269"/>
      <c r="FXN236" s="269"/>
      <c r="FXO236" s="269"/>
      <c r="FXP236" s="269"/>
      <c r="FXQ236" s="269"/>
      <c r="FXR236" s="269"/>
      <c r="FXS236" s="269"/>
      <c r="FXT236" s="269"/>
      <c r="FXU236" s="269"/>
      <c r="FXV236" s="269"/>
      <c r="FXW236" s="269"/>
      <c r="FXX236" s="269"/>
      <c r="FXY236" s="269"/>
      <c r="FXZ236" s="269"/>
      <c r="FYA236" s="269"/>
      <c r="FYB236" s="269"/>
      <c r="FYC236" s="269"/>
      <c r="FYD236" s="269"/>
      <c r="FYE236" s="269"/>
      <c r="FYF236" s="269"/>
      <c r="FYG236" s="269"/>
      <c r="FYH236" s="269"/>
      <c r="FYI236" s="269"/>
      <c r="FYJ236" s="269"/>
      <c r="FYK236" s="269"/>
      <c r="FYL236" s="269"/>
      <c r="FYM236" s="269"/>
      <c r="FYN236" s="269"/>
      <c r="FYO236" s="269"/>
      <c r="FYP236" s="269"/>
      <c r="FYQ236" s="269"/>
      <c r="FYR236" s="269"/>
      <c r="FYS236" s="269"/>
      <c r="FYT236" s="269"/>
      <c r="FYU236" s="269"/>
      <c r="FYV236" s="269"/>
      <c r="FYW236" s="269"/>
      <c r="FYX236" s="269"/>
      <c r="FYY236" s="269"/>
      <c r="FYZ236" s="269"/>
      <c r="FZA236" s="269"/>
      <c r="FZB236" s="269"/>
      <c r="FZC236" s="269"/>
      <c r="FZD236" s="269"/>
      <c r="FZE236" s="269"/>
      <c r="FZF236" s="269"/>
      <c r="FZG236" s="269"/>
      <c r="FZH236" s="269"/>
      <c r="FZI236" s="269"/>
      <c r="FZJ236" s="269"/>
      <c r="FZK236" s="269"/>
      <c r="FZL236" s="269"/>
      <c r="FZM236" s="269"/>
      <c r="FZN236" s="269"/>
      <c r="FZO236" s="269"/>
      <c r="FZP236" s="269"/>
      <c r="FZQ236" s="269"/>
      <c r="FZR236" s="269"/>
      <c r="FZS236" s="269"/>
      <c r="FZT236" s="269"/>
      <c r="FZU236" s="269"/>
      <c r="FZV236" s="269"/>
      <c r="FZW236" s="269"/>
      <c r="FZX236" s="269"/>
      <c r="FZY236" s="269"/>
      <c r="FZZ236" s="269"/>
      <c r="GAA236" s="269"/>
      <c r="GAB236" s="269"/>
      <c r="GAC236" s="269"/>
      <c r="GAD236" s="269"/>
      <c r="GAE236" s="269"/>
      <c r="GAF236" s="269"/>
      <c r="GAG236" s="269"/>
      <c r="GAH236" s="269"/>
      <c r="GAI236" s="269"/>
      <c r="GAJ236" s="269"/>
      <c r="GAK236" s="269"/>
      <c r="GAL236" s="269"/>
      <c r="GAM236" s="269"/>
      <c r="GAN236" s="269"/>
      <c r="GAO236" s="269"/>
      <c r="GAP236" s="269"/>
      <c r="GAQ236" s="269"/>
      <c r="GAR236" s="269"/>
      <c r="GAS236" s="269"/>
      <c r="GAT236" s="269"/>
      <c r="GAU236" s="269"/>
      <c r="GAV236" s="269"/>
      <c r="GAW236" s="269"/>
      <c r="GAX236" s="269"/>
      <c r="GAY236" s="269"/>
      <c r="GAZ236" s="269"/>
      <c r="GBA236" s="269"/>
      <c r="GBB236" s="269"/>
      <c r="GBC236" s="269"/>
      <c r="GBD236" s="269"/>
      <c r="GBE236" s="269"/>
      <c r="GBF236" s="269"/>
      <c r="GBG236" s="269"/>
      <c r="GBH236" s="269"/>
      <c r="GBI236" s="269"/>
      <c r="GBJ236" s="269"/>
      <c r="GBK236" s="269"/>
      <c r="GBL236" s="269"/>
      <c r="GBM236" s="269"/>
      <c r="GBN236" s="269"/>
      <c r="GBO236" s="269"/>
      <c r="GBP236" s="269"/>
      <c r="GBQ236" s="269"/>
      <c r="GBR236" s="269"/>
      <c r="GBS236" s="269"/>
      <c r="GBT236" s="269"/>
      <c r="GBU236" s="269"/>
      <c r="GBV236" s="269"/>
      <c r="GBW236" s="269"/>
      <c r="GBX236" s="269"/>
      <c r="GBY236" s="269"/>
      <c r="GBZ236" s="269"/>
      <c r="GCA236" s="269"/>
      <c r="GCB236" s="269"/>
      <c r="GCC236" s="269"/>
      <c r="GCD236" s="269"/>
      <c r="GCE236" s="269"/>
      <c r="GCF236" s="269"/>
      <c r="GCG236" s="269"/>
      <c r="GCH236" s="269"/>
      <c r="GCI236" s="269"/>
      <c r="GCJ236" s="269"/>
      <c r="GCK236" s="269"/>
      <c r="GCL236" s="269"/>
      <c r="GCM236" s="269"/>
      <c r="GCN236" s="269"/>
      <c r="GCO236" s="269"/>
      <c r="GCP236" s="269"/>
      <c r="GCQ236" s="269"/>
      <c r="GCR236" s="269"/>
      <c r="GCS236" s="269"/>
      <c r="GCT236" s="269"/>
      <c r="GCU236" s="269"/>
      <c r="GCV236" s="269"/>
      <c r="GCW236" s="269"/>
      <c r="GCX236" s="269"/>
      <c r="GCY236" s="269"/>
      <c r="GCZ236" s="269"/>
      <c r="GDA236" s="269"/>
      <c r="GDB236" s="269"/>
      <c r="GDC236" s="269"/>
      <c r="GDD236" s="269"/>
      <c r="GDE236" s="269"/>
      <c r="GDF236" s="269"/>
      <c r="GDG236" s="269"/>
      <c r="GDH236" s="269"/>
      <c r="GDI236" s="269"/>
      <c r="GDJ236" s="269"/>
      <c r="GDK236" s="269"/>
      <c r="GDL236" s="269"/>
      <c r="GDM236" s="269"/>
      <c r="GDN236" s="269"/>
      <c r="GDO236" s="269"/>
      <c r="GDP236" s="269"/>
      <c r="GDQ236" s="269"/>
      <c r="GDR236" s="269"/>
      <c r="GDS236" s="269"/>
      <c r="GDT236" s="269"/>
      <c r="GDU236" s="269"/>
      <c r="GDV236" s="269"/>
      <c r="GDW236" s="269"/>
      <c r="GDX236" s="269"/>
      <c r="GDY236" s="269"/>
      <c r="GDZ236" s="269"/>
      <c r="GEA236" s="269"/>
      <c r="GEB236" s="269"/>
      <c r="GEC236" s="269"/>
      <c r="GED236" s="269"/>
      <c r="GEE236" s="269"/>
      <c r="GEF236" s="269"/>
      <c r="GEG236" s="269"/>
      <c r="GEH236" s="269"/>
      <c r="GEI236" s="269"/>
      <c r="GEJ236" s="269"/>
      <c r="GEK236" s="269"/>
      <c r="GEL236" s="269"/>
      <c r="GEM236" s="269"/>
      <c r="GEN236" s="269"/>
      <c r="GEO236" s="269"/>
      <c r="GEP236" s="269"/>
      <c r="GEQ236" s="269"/>
      <c r="GER236" s="269"/>
      <c r="GES236" s="269"/>
      <c r="GET236" s="269"/>
      <c r="GEU236" s="269"/>
      <c r="GEV236" s="269"/>
      <c r="GEW236" s="269"/>
      <c r="GEX236" s="269"/>
      <c r="GEY236" s="269"/>
      <c r="GEZ236" s="269"/>
      <c r="GFA236" s="269"/>
      <c r="GFB236" s="269"/>
      <c r="GFC236" s="269"/>
      <c r="GFD236" s="269"/>
      <c r="GFE236" s="269"/>
      <c r="GFF236" s="269"/>
      <c r="GFG236" s="269"/>
      <c r="GFH236" s="269"/>
      <c r="GFI236" s="269"/>
      <c r="GFJ236" s="269"/>
      <c r="GFK236" s="269"/>
      <c r="GFL236" s="269"/>
      <c r="GFM236" s="269"/>
      <c r="GFN236" s="269"/>
      <c r="GFO236" s="269"/>
      <c r="GFP236" s="269"/>
      <c r="GFQ236" s="269"/>
      <c r="GFR236" s="269"/>
      <c r="GFS236" s="269"/>
      <c r="GFT236" s="269"/>
      <c r="GFU236" s="269"/>
      <c r="GFV236" s="269"/>
      <c r="GFW236" s="269"/>
      <c r="GFX236" s="269"/>
      <c r="GFY236" s="269"/>
      <c r="GFZ236" s="269"/>
      <c r="GGA236" s="269"/>
      <c r="GGB236" s="269"/>
      <c r="GGC236" s="269"/>
      <c r="GGD236" s="269"/>
      <c r="GGE236" s="269"/>
      <c r="GGF236" s="269"/>
      <c r="GGG236" s="269"/>
      <c r="GGH236" s="269"/>
      <c r="GGI236" s="269"/>
      <c r="GGJ236" s="269"/>
      <c r="GGK236" s="269"/>
      <c r="GGL236" s="269"/>
      <c r="GGM236" s="269"/>
      <c r="GGN236" s="269"/>
      <c r="GGO236" s="269"/>
      <c r="GGP236" s="269"/>
      <c r="GGQ236" s="269"/>
      <c r="GGR236" s="269"/>
      <c r="GGS236" s="269"/>
      <c r="GGT236" s="269"/>
      <c r="GGU236" s="269"/>
      <c r="GGV236" s="269"/>
      <c r="GGW236" s="269"/>
      <c r="GGX236" s="269"/>
      <c r="GGY236" s="269"/>
      <c r="GGZ236" s="269"/>
      <c r="GHA236" s="269"/>
      <c r="GHB236" s="269"/>
      <c r="GHC236" s="269"/>
      <c r="GHD236" s="269"/>
      <c r="GHE236" s="269"/>
      <c r="GHF236" s="269"/>
      <c r="GHG236" s="269"/>
      <c r="GHH236" s="269"/>
      <c r="GHI236" s="269"/>
      <c r="GHJ236" s="269"/>
      <c r="GHK236" s="269"/>
      <c r="GHL236" s="269"/>
      <c r="GHM236" s="269"/>
      <c r="GHN236" s="269"/>
      <c r="GHO236" s="269"/>
      <c r="GHP236" s="269"/>
      <c r="GHQ236" s="269"/>
      <c r="GHR236" s="269"/>
      <c r="GHS236" s="269"/>
      <c r="GHT236" s="269"/>
      <c r="GHU236" s="269"/>
      <c r="GHV236" s="269"/>
      <c r="GHW236" s="269"/>
      <c r="GHX236" s="269"/>
      <c r="GHY236" s="269"/>
      <c r="GHZ236" s="269"/>
      <c r="GIA236" s="269"/>
      <c r="GIB236" s="269"/>
      <c r="GIC236" s="269"/>
      <c r="GID236" s="269"/>
      <c r="GIE236" s="269"/>
      <c r="GIF236" s="269"/>
      <c r="GIG236" s="269"/>
      <c r="GIH236" s="269"/>
      <c r="GII236" s="269"/>
      <c r="GIJ236" s="269"/>
      <c r="GIK236" s="269"/>
      <c r="GIL236" s="269"/>
      <c r="GIM236" s="269"/>
      <c r="GIN236" s="269"/>
      <c r="GIO236" s="269"/>
      <c r="GIP236" s="269"/>
      <c r="GIQ236" s="269"/>
      <c r="GIR236" s="269"/>
      <c r="GIS236" s="269"/>
      <c r="GIT236" s="269"/>
      <c r="GIU236" s="269"/>
      <c r="GIV236" s="269"/>
      <c r="GIW236" s="269"/>
      <c r="GIX236" s="269"/>
      <c r="GIY236" s="269"/>
      <c r="GIZ236" s="269"/>
      <c r="GJA236" s="269"/>
      <c r="GJB236" s="269"/>
      <c r="GJC236" s="269"/>
      <c r="GJD236" s="269"/>
      <c r="GJE236" s="269"/>
      <c r="GJF236" s="269"/>
      <c r="GJG236" s="269"/>
      <c r="GJH236" s="269"/>
      <c r="GJI236" s="269"/>
      <c r="GJJ236" s="269"/>
      <c r="GJK236" s="269"/>
      <c r="GJL236" s="269"/>
      <c r="GJM236" s="269"/>
      <c r="GJN236" s="269"/>
      <c r="GJO236" s="269"/>
      <c r="GJP236" s="269"/>
      <c r="GJQ236" s="269"/>
      <c r="GJR236" s="269"/>
      <c r="GJS236" s="269"/>
      <c r="GJT236" s="269"/>
      <c r="GJU236" s="269"/>
      <c r="GJV236" s="269"/>
      <c r="GJW236" s="269"/>
      <c r="GJX236" s="269"/>
      <c r="GJY236" s="269"/>
      <c r="GJZ236" s="269"/>
      <c r="GKA236" s="269"/>
      <c r="GKB236" s="269"/>
      <c r="GKC236" s="269"/>
      <c r="GKD236" s="269"/>
      <c r="GKE236" s="269"/>
      <c r="GKF236" s="269"/>
      <c r="GKG236" s="269"/>
      <c r="GKH236" s="269"/>
      <c r="GKI236" s="269"/>
      <c r="GKJ236" s="269"/>
      <c r="GKK236" s="269"/>
      <c r="GKL236" s="269"/>
      <c r="GKM236" s="269"/>
      <c r="GKN236" s="269"/>
      <c r="GKO236" s="269"/>
      <c r="GKP236" s="269"/>
      <c r="GKQ236" s="269"/>
      <c r="GKR236" s="269"/>
      <c r="GKS236" s="269"/>
      <c r="GKT236" s="269"/>
      <c r="GKU236" s="269"/>
      <c r="GKV236" s="269"/>
      <c r="GKW236" s="269"/>
      <c r="GKX236" s="269"/>
      <c r="GKY236" s="269"/>
      <c r="GKZ236" s="269"/>
      <c r="GLA236" s="269"/>
      <c r="GLB236" s="269"/>
      <c r="GLC236" s="269"/>
      <c r="GLD236" s="269"/>
      <c r="GLE236" s="269"/>
      <c r="GLF236" s="269"/>
      <c r="GLG236" s="269"/>
      <c r="GLH236" s="269"/>
      <c r="GLI236" s="269"/>
      <c r="GLJ236" s="269"/>
      <c r="GLK236" s="269"/>
      <c r="GLL236" s="269"/>
      <c r="GLM236" s="269"/>
      <c r="GLN236" s="269"/>
      <c r="GLO236" s="269"/>
      <c r="GLP236" s="269"/>
      <c r="GLQ236" s="269"/>
      <c r="GLR236" s="269"/>
      <c r="GLS236" s="269"/>
      <c r="GLT236" s="269"/>
      <c r="GLU236" s="269"/>
      <c r="GLV236" s="269"/>
      <c r="GLW236" s="269"/>
      <c r="GLX236" s="269"/>
      <c r="GLY236" s="269"/>
      <c r="GLZ236" s="269"/>
      <c r="GMA236" s="269"/>
      <c r="GMB236" s="269"/>
      <c r="GMC236" s="269"/>
      <c r="GMD236" s="269"/>
      <c r="GME236" s="269"/>
      <c r="GMF236" s="269"/>
      <c r="GMG236" s="269"/>
      <c r="GMH236" s="269"/>
      <c r="GMI236" s="269"/>
      <c r="GMJ236" s="269"/>
      <c r="GMK236" s="269"/>
      <c r="GML236" s="269"/>
      <c r="GMM236" s="269"/>
      <c r="GMN236" s="269"/>
      <c r="GMO236" s="269"/>
      <c r="GMP236" s="269"/>
      <c r="GMQ236" s="269"/>
      <c r="GMR236" s="269"/>
      <c r="GMS236" s="269"/>
      <c r="GMT236" s="269"/>
      <c r="GMU236" s="269"/>
      <c r="GMV236" s="269"/>
      <c r="GMW236" s="269"/>
      <c r="GMX236" s="269"/>
      <c r="GMY236" s="269"/>
      <c r="GMZ236" s="269"/>
      <c r="GNA236" s="269"/>
      <c r="GNB236" s="269"/>
      <c r="GNC236" s="269"/>
      <c r="GND236" s="269"/>
      <c r="GNE236" s="269"/>
      <c r="GNF236" s="269"/>
      <c r="GNG236" s="269"/>
      <c r="GNH236" s="269"/>
      <c r="GNI236" s="269"/>
      <c r="GNJ236" s="269"/>
      <c r="GNK236" s="269"/>
      <c r="GNL236" s="269"/>
      <c r="GNM236" s="269"/>
      <c r="GNN236" s="269"/>
      <c r="GNO236" s="269"/>
      <c r="GNP236" s="269"/>
      <c r="GNQ236" s="269"/>
      <c r="GNR236" s="269"/>
      <c r="GNS236" s="269"/>
      <c r="GNT236" s="269"/>
      <c r="GNU236" s="269"/>
      <c r="GNV236" s="269"/>
      <c r="GNW236" s="269"/>
      <c r="GNX236" s="269"/>
      <c r="GNY236" s="269"/>
      <c r="GNZ236" s="269"/>
      <c r="GOA236" s="269"/>
      <c r="GOB236" s="269"/>
      <c r="GOC236" s="269"/>
      <c r="GOD236" s="269"/>
      <c r="GOE236" s="269"/>
      <c r="GOF236" s="269"/>
      <c r="GOG236" s="269"/>
      <c r="GOH236" s="269"/>
      <c r="GOI236" s="269"/>
      <c r="GOJ236" s="269"/>
      <c r="GOK236" s="269"/>
      <c r="GOL236" s="269"/>
      <c r="GOM236" s="269"/>
      <c r="GON236" s="269"/>
      <c r="GOO236" s="269"/>
      <c r="GOP236" s="269"/>
      <c r="GOQ236" s="269"/>
      <c r="GOR236" s="269"/>
      <c r="GOS236" s="269"/>
      <c r="GOT236" s="269"/>
      <c r="GOU236" s="269"/>
      <c r="GOV236" s="269"/>
      <c r="GOW236" s="269"/>
      <c r="GOX236" s="269"/>
      <c r="GOY236" s="269"/>
      <c r="GOZ236" s="269"/>
      <c r="GPA236" s="269"/>
      <c r="GPB236" s="269"/>
      <c r="GPC236" s="269"/>
      <c r="GPD236" s="269"/>
      <c r="GPE236" s="269"/>
      <c r="GPF236" s="269"/>
      <c r="GPG236" s="269"/>
      <c r="GPH236" s="269"/>
      <c r="GPI236" s="269"/>
      <c r="GPJ236" s="269"/>
      <c r="GPK236" s="269"/>
      <c r="GPL236" s="269"/>
      <c r="GPM236" s="269"/>
      <c r="GPN236" s="269"/>
      <c r="GPO236" s="269"/>
      <c r="GPP236" s="269"/>
      <c r="GPQ236" s="269"/>
      <c r="GPR236" s="269"/>
      <c r="GPS236" s="269"/>
      <c r="GPT236" s="269"/>
      <c r="GPU236" s="269"/>
      <c r="GPV236" s="269"/>
      <c r="GPW236" s="269"/>
      <c r="GPX236" s="269"/>
      <c r="GPY236" s="269"/>
      <c r="GPZ236" s="269"/>
      <c r="GQA236" s="269"/>
      <c r="GQB236" s="269"/>
      <c r="GQC236" s="269"/>
      <c r="GQD236" s="269"/>
      <c r="GQE236" s="269"/>
      <c r="GQF236" s="269"/>
      <c r="GQG236" s="269"/>
      <c r="GQH236" s="269"/>
      <c r="GQI236" s="269"/>
      <c r="GQJ236" s="269"/>
      <c r="GQK236" s="269"/>
      <c r="GQL236" s="269"/>
      <c r="GQM236" s="269"/>
      <c r="GQN236" s="269"/>
      <c r="GQO236" s="269"/>
      <c r="GQP236" s="269"/>
      <c r="GQQ236" s="269"/>
      <c r="GQR236" s="269"/>
      <c r="GQS236" s="269"/>
      <c r="GQT236" s="269"/>
      <c r="GQU236" s="269"/>
      <c r="GQV236" s="269"/>
      <c r="GQW236" s="269"/>
      <c r="GQX236" s="269"/>
      <c r="GQY236" s="269"/>
      <c r="GQZ236" s="269"/>
      <c r="GRA236" s="269"/>
      <c r="GRB236" s="269"/>
      <c r="GRC236" s="269"/>
      <c r="GRD236" s="269"/>
      <c r="GRE236" s="269"/>
      <c r="GRF236" s="269"/>
      <c r="GRG236" s="269"/>
      <c r="GRH236" s="269"/>
      <c r="GRI236" s="269"/>
      <c r="GRJ236" s="269"/>
      <c r="GRK236" s="269"/>
      <c r="GRL236" s="269"/>
      <c r="GRM236" s="269"/>
      <c r="GRN236" s="269"/>
      <c r="GRO236" s="269"/>
      <c r="GRP236" s="269"/>
      <c r="GRQ236" s="269"/>
      <c r="GRR236" s="269"/>
      <c r="GRS236" s="269"/>
      <c r="GRT236" s="269"/>
      <c r="GRU236" s="269"/>
      <c r="GRV236" s="269"/>
      <c r="GRW236" s="269"/>
      <c r="GRX236" s="269"/>
      <c r="GRY236" s="269"/>
      <c r="GRZ236" s="269"/>
      <c r="GSA236" s="269"/>
      <c r="GSB236" s="269"/>
      <c r="GSC236" s="269"/>
      <c r="GSD236" s="269"/>
      <c r="GSE236" s="269"/>
      <c r="GSF236" s="269"/>
      <c r="GSG236" s="269"/>
      <c r="GSH236" s="269"/>
      <c r="GSI236" s="269"/>
      <c r="GSJ236" s="269"/>
      <c r="GSK236" s="269"/>
      <c r="GSL236" s="269"/>
      <c r="GSM236" s="269"/>
      <c r="GSN236" s="269"/>
      <c r="GSO236" s="269"/>
      <c r="GSP236" s="269"/>
      <c r="GSQ236" s="269"/>
      <c r="GSR236" s="269"/>
      <c r="GSS236" s="269"/>
      <c r="GST236" s="269"/>
      <c r="GSU236" s="269"/>
      <c r="GSV236" s="269"/>
      <c r="GSW236" s="269"/>
      <c r="GSX236" s="269"/>
      <c r="GSY236" s="269"/>
      <c r="GSZ236" s="269"/>
      <c r="GTA236" s="269"/>
      <c r="GTB236" s="269"/>
      <c r="GTC236" s="269"/>
      <c r="GTD236" s="269"/>
      <c r="GTE236" s="269"/>
      <c r="GTF236" s="269"/>
      <c r="GTG236" s="269"/>
      <c r="GTH236" s="269"/>
      <c r="GTI236" s="269"/>
      <c r="GTJ236" s="269"/>
      <c r="GTK236" s="269"/>
      <c r="GTL236" s="269"/>
      <c r="GTM236" s="269"/>
      <c r="GTN236" s="269"/>
      <c r="GTO236" s="269"/>
      <c r="GTP236" s="269"/>
      <c r="GTQ236" s="269"/>
      <c r="GTR236" s="269"/>
      <c r="GTS236" s="269"/>
      <c r="GTT236" s="269"/>
      <c r="GTU236" s="269"/>
      <c r="GTV236" s="269"/>
      <c r="GTW236" s="269"/>
      <c r="GTX236" s="269"/>
      <c r="GTY236" s="269"/>
      <c r="GTZ236" s="269"/>
      <c r="GUA236" s="269"/>
      <c r="GUB236" s="269"/>
      <c r="GUC236" s="269"/>
      <c r="GUD236" s="269"/>
      <c r="GUE236" s="269"/>
      <c r="GUF236" s="269"/>
      <c r="GUG236" s="269"/>
      <c r="GUH236" s="269"/>
      <c r="GUI236" s="269"/>
      <c r="GUJ236" s="269"/>
      <c r="GUK236" s="269"/>
      <c r="GUL236" s="269"/>
      <c r="GUM236" s="269"/>
      <c r="GUN236" s="269"/>
      <c r="GUO236" s="269"/>
      <c r="GUP236" s="269"/>
      <c r="GUQ236" s="269"/>
      <c r="GUR236" s="269"/>
      <c r="GUS236" s="269"/>
      <c r="GUT236" s="269"/>
      <c r="GUU236" s="269"/>
      <c r="GUV236" s="269"/>
      <c r="GUW236" s="269"/>
      <c r="GUX236" s="269"/>
      <c r="GUY236" s="269"/>
      <c r="GUZ236" s="269"/>
      <c r="GVA236" s="269"/>
      <c r="GVB236" s="269"/>
      <c r="GVC236" s="269"/>
      <c r="GVD236" s="269"/>
      <c r="GVE236" s="269"/>
      <c r="GVF236" s="269"/>
      <c r="GVG236" s="269"/>
      <c r="GVH236" s="269"/>
      <c r="GVI236" s="269"/>
      <c r="GVJ236" s="269"/>
      <c r="GVK236" s="269"/>
      <c r="GVL236" s="269"/>
      <c r="GVM236" s="269"/>
      <c r="GVN236" s="269"/>
      <c r="GVO236" s="269"/>
      <c r="GVP236" s="269"/>
      <c r="GVQ236" s="269"/>
      <c r="GVR236" s="269"/>
      <c r="GVS236" s="269"/>
      <c r="GVT236" s="269"/>
      <c r="GVU236" s="269"/>
      <c r="GVV236" s="269"/>
      <c r="GVW236" s="269"/>
      <c r="GVX236" s="269"/>
      <c r="GVY236" s="269"/>
      <c r="GVZ236" s="269"/>
      <c r="GWA236" s="269"/>
      <c r="GWB236" s="269"/>
      <c r="GWC236" s="269"/>
      <c r="GWD236" s="269"/>
      <c r="GWE236" s="269"/>
      <c r="GWF236" s="269"/>
      <c r="GWG236" s="269"/>
      <c r="GWH236" s="269"/>
      <c r="GWI236" s="269"/>
      <c r="GWJ236" s="269"/>
      <c r="GWK236" s="269"/>
      <c r="GWL236" s="269"/>
      <c r="GWM236" s="269"/>
      <c r="GWN236" s="269"/>
      <c r="GWO236" s="269"/>
      <c r="GWP236" s="269"/>
      <c r="GWQ236" s="269"/>
      <c r="GWR236" s="269"/>
      <c r="GWS236" s="269"/>
      <c r="GWT236" s="269"/>
      <c r="GWU236" s="269"/>
      <c r="GWV236" s="269"/>
      <c r="GWW236" s="269"/>
      <c r="GWX236" s="269"/>
      <c r="GWY236" s="269"/>
      <c r="GWZ236" s="269"/>
      <c r="GXA236" s="269"/>
      <c r="GXB236" s="269"/>
      <c r="GXC236" s="269"/>
      <c r="GXD236" s="269"/>
      <c r="GXE236" s="269"/>
      <c r="GXF236" s="269"/>
      <c r="GXG236" s="269"/>
      <c r="GXH236" s="269"/>
      <c r="GXI236" s="269"/>
      <c r="GXJ236" s="269"/>
      <c r="GXK236" s="269"/>
      <c r="GXL236" s="269"/>
      <c r="GXM236" s="269"/>
      <c r="GXN236" s="269"/>
      <c r="GXO236" s="269"/>
      <c r="GXP236" s="269"/>
      <c r="GXQ236" s="269"/>
      <c r="GXR236" s="269"/>
      <c r="GXS236" s="269"/>
      <c r="GXT236" s="269"/>
      <c r="GXU236" s="269"/>
      <c r="GXV236" s="269"/>
      <c r="GXW236" s="269"/>
      <c r="GXX236" s="269"/>
      <c r="GXY236" s="269"/>
      <c r="GXZ236" s="269"/>
      <c r="GYA236" s="269"/>
      <c r="GYB236" s="269"/>
      <c r="GYC236" s="269"/>
      <c r="GYD236" s="269"/>
      <c r="GYE236" s="269"/>
      <c r="GYF236" s="269"/>
      <c r="GYG236" s="269"/>
      <c r="GYH236" s="269"/>
      <c r="GYI236" s="269"/>
      <c r="GYJ236" s="269"/>
      <c r="GYK236" s="269"/>
      <c r="GYL236" s="269"/>
      <c r="GYM236" s="269"/>
      <c r="GYN236" s="269"/>
      <c r="GYO236" s="269"/>
      <c r="GYP236" s="269"/>
      <c r="GYQ236" s="269"/>
      <c r="GYR236" s="269"/>
      <c r="GYS236" s="269"/>
      <c r="GYT236" s="269"/>
      <c r="GYU236" s="269"/>
      <c r="GYV236" s="269"/>
      <c r="GYW236" s="269"/>
      <c r="GYX236" s="269"/>
      <c r="GYY236" s="269"/>
      <c r="GYZ236" s="269"/>
      <c r="GZA236" s="269"/>
      <c r="GZB236" s="269"/>
      <c r="GZC236" s="269"/>
      <c r="GZD236" s="269"/>
      <c r="GZE236" s="269"/>
      <c r="GZF236" s="269"/>
      <c r="GZG236" s="269"/>
      <c r="GZH236" s="269"/>
      <c r="GZI236" s="269"/>
      <c r="GZJ236" s="269"/>
      <c r="GZK236" s="269"/>
      <c r="GZL236" s="269"/>
      <c r="GZM236" s="269"/>
      <c r="GZN236" s="269"/>
      <c r="GZO236" s="269"/>
      <c r="GZP236" s="269"/>
      <c r="GZQ236" s="269"/>
      <c r="GZR236" s="269"/>
      <c r="GZS236" s="269"/>
      <c r="GZT236" s="269"/>
      <c r="GZU236" s="269"/>
      <c r="GZV236" s="269"/>
      <c r="GZW236" s="269"/>
      <c r="GZX236" s="269"/>
      <c r="GZY236" s="269"/>
      <c r="GZZ236" s="269"/>
      <c r="HAA236" s="269"/>
      <c r="HAB236" s="269"/>
      <c r="HAC236" s="269"/>
      <c r="HAD236" s="269"/>
      <c r="HAE236" s="269"/>
      <c r="HAF236" s="269"/>
      <c r="HAG236" s="269"/>
      <c r="HAH236" s="269"/>
      <c r="HAI236" s="269"/>
      <c r="HAJ236" s="269"/>
      <c r="HAK236" s="269"/>
      <c r="HAL236" s="269"/>
      <c r="HAM236" s="269"/>
      <c r="HAN236" s="269"/>
      <c r="HAO236" s="269"/>
      <c r="HAP236" s="269"/>
      <c r="HAQ236" s="269"/>
      <c r="HAR236" s="269"/>
      <c r="HAS236" s="269"/>
      <c r="HAT236" s="269"/>
      <c r="HAU236" s="269"/>
      <c r="HAV236" s="269"/>
      <c r="HAW236" s="269"/>
      <c r="HAX236" s="269"/>
      <c r="HAY236" s="269"/>
      <c r="HAZ236" s="269"/>
      <c r="HBA236" s="269"/>
      <c r="HBB236" s="269"/>
      <c r="HBC236" s="269"/>
      <c r="HBD236" s="269"/>
      <c r="HBE236" s="269"/>
      <c r="HBF236" s="269"/>
      <c r="HBG236" s="269"/>
      <c r="HBH236" s="269"/>
      <c r="HBI236" s="269"/>
      <c r="HBJ236" s="269"/>
      <c r="HBK236" s="269"/>
      <c r="HBL236" s="269"/>
      <c r="HBM236" s="269"/>
      <c r="HBN236" s="269"/>
      <c r="HBO236" s="269"/>
      <c r="HBP236" s="269"/>
      <c r="HBQ236" s="269"/>
      <c r="HBR236" s="269"/>
      <c r="HBS236" s="269"/>
      <c r="HBT236" s="269"/>
      <c r="HBU236" s="269"/>
      <c r="HBV236" s="269"/>
      <c r="HBW236" s="269"/>
      <c r="HBX236" s="269"/>
      <c r="HBY236" s="269"/>
      <c r="HBZ236" s="269"/>
      <c r="HCA236" s="269"/>
      <c r="HCB236" s="269"/>
      <c r="HCC236" s="269"/>
      <c r="HCD236" s="269"/>
      <c r="HCE236" s="269"/>
      <c r="HCF236" s="269"/>
      <c r="HCG236" s="269"/>
      <c r="HCH236" s="269"/>
      <c r="HCI236" s="269"/>
      <c r="HCJ236" s="269"/>
      <c r="HCK236" s="269"/>
      <c r="HCL236" s="269"/>
      <c r="HCM236" s="269"/>
      <c r="HCN236" s="269"/>
      <c r="HCO236" s="269"/>
      <c r="HCP236" s="269"/>
      <c r="HCQ236" s="269"/>
      <c r="HCR236" s="269"/>
      <c r="HCS236" s="269"/>
      <c r="HCT236" s="269"/>
      <c r="HCU236" s="269"/>
      <c r="HCV236" s="269"/>
      <c r="HCW236" s="269"/>
      <c r="HCX236" s="269"/>
      <c r="HCY236" s="269"/>
      <c r="HCZ236" s="269"/>
      <c r="HDA236" s="269"/>
      <c r="HDB236" s="269"/>
      <c r="HDC236" s="269"/>
      <c r="HDD236" s="269"/>
      <c r="HDE236" s="269"/>
      <c r="HDF236" s="269"/>
      <c r="HDG236" s="269"/>
      <c r="HDH236" s="269"/>
      <c r="HDI236" s="269"/>
      <c r="HDJ236" s="269"/>
      <c r="HDK236" s="269"/>
      <c r="HDL236" s="269"/>
      <c r="HDM236" s="269"/>
      <c r="HDN236" s="269"/>
      <c r="HDO236" s="269"/>
      <c r="HDP236" s="269"/>
      <c r="HDQ236" s="269"/>
      <c r="HDR236" s="269"/>
      <c r="HDS236" s="269"/>
      <c r="HDT236" s="269"/>
      <c r="HDU236" s="269"/>
      <c r="HDV236" s="269"/>
      <c r="HDW236" s="269"/>
      <c r="HDX236" s="269"/>
      <c r="HDY236" s="269"/>
      <c r="HDZ236" s="269"/>
      <c r="HEA236" s="269"/>
      <c r="HEB236" s="269"/>
      <c r="HEC236" s="269"/>
      <c r="HED236" s="269"/>
      <c r="HEE236" s="269"/>
      <c r="HEF236" s="269"/>
      <c r="HEG236" s="269"/>
      <c r="HEH236" s="269"/>
      <c r="HEI236" s="269"/>
      <c r="HEJ236" s="269"/>
      <c r="HEK236" s="269"/>
      <c r="HEL236" s="269"/>
      <c r="HEM236" s="269"/>
      <c r="HEN236" s="269"/>
      <c r="HEO236" s="269"/>
      <c r="HEP236" s="269"/>
      <c r="HEQ236" s="269"/>
      <c r="HER236" s="269"/>
      <c r="HES236" s="269"/>
      <c r="HET236" s="269"/>
      <c r="HEU236" s="269"/>
      <c r="HEV236" s="269"/>
      <c r="HEW236" s="269"/>
      <c r="HEX236" s="269"/>
      <c r="HEY236" s="269"/>
      <c r="HEZ236" s="269"/>
      <c r="HFA236" s="269"/>
      <c r="HFB236" s="269"/>
      <c r="HFC236" s="269"/>
      <c r="HFD236" s="269"/>
      <c r="HFE236" s="269"/>
      <c r="HFF236" s="269"/>
      <c r="HFG236" s="269"/>
      <c r="HFH236" s="269"/>
      <c r="HFI236" s="269"/>
      <c r="HFJ236" s="269"/>
      <c r="HFK236" s="269"/>
      <c r="HFL236" s="269"/>
      <c r="HFM236" s="269"/>
      <c r="HFN236" s="269"/>
      <c r="HFO236" s="269"/>
      <c r="HFP236" s="269"/>
      <c r="HFQ236" s="269"/>
      <c r="HFR236" s="269"/>
      <c r="HFS236" s="269"/>
      <c r="HFT236" s="269"/>
      <c r="HFU236" s="269"/>
      <c r="HFV236" s="269"/>
      <c r="HFW236" s="269"/>
      <c r="HFX236" s="269"/>
      <c r="HFY236" s="269"/>
      <c r="HFZ236" s="269"/>
      <c r="HGA236" s="269"/>
      <c r="HGB236" s="269"/>
      <c r="HGC236" s="269"/>
      <c r="HGD236" s="269"/>
      <c r="HGE236" s="269"/>
      <c r="HGF236" s="269"/>
      <c r="HGG236" s="269"/>
      <c r="HGH236" s="269"/>
      <c r="HGI236" s="269"/>
      <c r="HGJ236" s="269"/>
      <c r="HGK236" s="269"/>
      <c r="HGL236" s="269"/>
      <c r="HGM236" s="269"/>
      <c r="HGN236" s="269"/>
      <c r="HGO236" s="269"/>
      <c r="HGP236" s="269"/>
      <c r="HGQ236" s="269"/>
      <c r="HGR236" s="269"/>
      <c r="HGS236" s="269"/>
      <c r="HGT236" s="269"/>
      <c r="HGU236" s="269"/>
      <c r="HGV236" s="269"/>
      <c r="HGW236" s="269"/>
      <c r="HGX236" s="269"/>
      <c r="HGY236" s="269"/>
      <c r="HGZ236" s="269"/>
      <c r="HHA236" s="269"/>
      <c r="HHB236" s="269"/>
      <c r="HHC236" s="269"/>
      <c r="HHD236" s="269"/>
      <c r="HHE236" s="269"/>
      <c r="HHF236" s="269"/>
      <c r="HHG236" s="269"/>
      <c r="HHH236" s="269"/>
      <c r="HHI236" s="269"/>
      <c r="HHJ236" s="269"/>
      <c r="HHK236" s="269"/>
      <c r="HHL236" s="269"/>
      <c r="HHM236" s="269"/>
      <c r="HHN236" s="269"/>
      <c r="HHO236" s="269"/>
      <c r="HHP236" s="269"/>
      <c r="HHQ236" s="269"/>
      <c r="HHR236" s="269"/>
      <c r="HHS236" s="269"/>
      <c r="HHT236" s="269"/>
      <c r="HHU236" s="269"/>
      <c r="HHV236" s="269"/>
      <c r="HHW236" s="269"/>
      <c r="HHX236" s="269"/>
      <c r="HHY236" s="269"/>
      <c r="HHZ236" s="269"/>
      <c r="HIA236" s="269"/>
      <c r="HIB236" s="269"/>
      <c r="HIC236" s="269"/>
      <c r="HID236" s="269"/>
      <c r="HIE236" s="269"/>
      <c r="HIF236" s="269"/>
      <c r="HIG236" s="269"/>
      <c r="HIH236" s="269"/>
      <c r="HII236" s="269"/>
      <c r="HIJ236" s="269"/>
      <c r="HIK236" s="269"/>
      <c r="HIL236" s="269"/>
      <c r="HIM236" s="269"/>
      <c r="HIN236" s="269"/>
      <c r="HIO236" s="269"/>
      <c r="HIP236" s="269"/>
      <c r="HIQ236" s="269"/>
      <c r="HIR236" s="269"/>
      <c r="HIS236" s="269"/>
      <c r="HIT236" s="269"/>
      <c r="HIU236" s="269"/>
      <c r="HIV236" s="269"/>
      <c r="HIW236" s="269"/>
      <c r="HIX236" s="269"/>
      <c r="HIY236" s="269"/>
      <c r="HIZ236" s="269"/>
      <c r="HJA236" s="269"/>
      <c r="HJB236" s="269"/>
      <c r="HJC236" s="269"/>
      <c r="HJD236" s="269"/>
      <c r="HJE236" s="269"/>
      <c r="HJF236" s="269"/>
      <c r="HJG236" s="269"/>
      <c r="HJH236" s="269"/>
      <c r="HJI236" s="269"/>
      <c r="HJJ236" s="269"/>
      <c r="HJK236" s="269"/>
      <c r="HJL236" s="269"/>
      <c r="HJM236" s="269"/>
      <c r="HJN236" s="269"/>
      <c r="HJO236" s="269"/>
      <c r="HJP236" s="269"/>
      <c r="HJQ236" s="269"/>
      <c r="HJR236" s="269"/>
      <c r="HJS236" s="269"/>
      <c r="HJT236" s="269"/>
      <c r="HJU236" s="269"/>
      <c r="HJV236" s="269"/>
      <c r="HJW236" s="269"/>
      <c r="HJX236" s="269"/>
      <c r="HJY236" s="269"/>
      <c r="HJZ236" s="269"/>
      <c r="HKA236" s="269"/>
      <c r="HKB236" s="269"/>
      <c r="HKC236" s="269"/>
      <c r="HKD236" s="269"/>
      <c r="HKE236" s="269"/>
      <c r="HKF236" s="269"/>
      <c r="HKG236" s="269"/>
      <c r="HKH236" s="269"/>
      <c r="HKI236" s="269"/>
      <c r="HKJ236" s="269"/>
      <c r="HKK236" s="269"/>
      <c r="HKL236" s="269"/>
      <c r="HKM236" s="269"/>
      <c r="HKN236" s="269"/>
      <c r="HKO236" s="269"/>
      <c r="HKP236" s="269"/>
      <c r="HKQ236" s="269"/>
      <c r="HKR236" s="269"/>
      <c r="HKS236" s="269"/>
      <c r="HKT236" s="269"/>
      <c r="HKU236" s="269"/>
      <c r="HKV236" s="269"/>
      <c r="HKW236" s="269"/>
      <c r="HKX236" s="269"/>
      <c r="HKY236" s="269"/>
      <c r="HKZ236" s="269"/>
      <c r="HLA236" s="269"/>
      <c r="HLB236" s="269"/>
      <c r="HLC236" s="269"/>
      <c r="HLD236" s="269"/>
      <c r="HLE236" s="269"/>
      <c r="HLF236" s="269"/>
      <c r="HLG236" s="269"/>
      <c r="HLH236" s="269"/>
      <c r="HLI236" s="269"/>
      <c r="HLJ236" s="269"/>
      <c r="HLK236" s="269"/>
      <c r="HLL236" s="269"/>
      <c r="HLM236" s="269"/>
      <c r="HLN236" s="269"/>
      <c r="HLO236" s="269"/>
      <c r="HLP236" s="269"/>
      <c r="HLQ236" s="269"/>
      <c r="HLR236" s="269"/>
      <c r="HLS236" s="269"/>
      <c r="HLT236" s="269"/>
      <c r="HLU236" s="269"/>
      <c r="HLV236" s="269"/>
      <c r="HLW236" s="269"/>
      <c r="HLX236" s="269"/>
      <c r="HLY236" s="269"/>
      <c r="HLZ236" s="269"/>
      <c r="HMA236" s="269"/>
      <c r="HMB236" s="269"/>
      <c r="HMC236" s="269"/>
      <c r="HMD236" s="269"/>
      <c r="HME236" s="269"/>
      <c r="HMF236" s="269"/>
      <c r="HMG236" s="269"/>
      <c r="HMH236" s="269"/>
      <c r="HMI236" s="269"/>
      <c r="HMJ236" s="269"/>
      <c r="HMK236" s="269"/>
      <c r="HML236" s="269"/>
      <c r="HMM236" s="269"/>
      <c r="HMN236" s="269"/>
      <c r="HMO236" s="269"/>
      <c r="HMP236" s="269"/>
      <c r="HMQ236" s="269"/>
      <c r="HMR236" s="269"/>
      <c r="HMS236" s="269"/>
      <c r="HMT236" s="269"/>
      <c r="HMU236" s="269"/>
      <c r="HMV236" s="269"/>
      <c r="HMW236" s="269"/>
      <c r="HMX236" s="269"/>
      <c r="HMY236" s="269"/>
      <c r="HMZ236" s="269"/>
      <c r="HNA236" s="269"/>
      <c r="HNB236" s="269"/>
      <c r="HNC236" s="269"/>
      <c r="HND236" s="269"/>
      <c r="HNE236" s="269"/>
      <c r="HNF236" s="269"/>
      <c r="HNG236" s="269"/>
      <c r="HNH236" s="269"/>
      <c r="HNI236" s="269"/>
      <c r="HNJ236" s="269"/>
      <c r="HNK236" s="269"/>
      <c r="HNL236" s="269"/>
      <c r="HNM236" s="269"/>
      <c r="HNN236" s="269"/>
      <c r="HNO236" s="269"/>
      <c r="HNP236" s="269"/>
      <c r="HNQ236" s="269"/>
      <c r="HNR236" s="269"/>
      <c r="HNS236" s="269"/>
      <c r="HNT236" s="269"/>
      <c r="HNU236" s="269"/>
      <c r="HNV236" s="269"/>
      <c r="HNW236" s="269"/>
      <c r="HNX236" s="269"/>
      <c r="HNY236" s="269"/>
      <c r="HNZ236" s="269"/>
      <c r="HOA236" s="269"/>
      <c r="HOB236" s="269"/>
      <c r="HOC236" s="269"/>
      <c r="HOD236" s="269"/>
      <c r="HOE236" s="269"/>
      <c r="HOF236" s="269"/>
      <c r="HOG236" s="269"/>
      <c r="HOH236" s="269"/>
      <c r="HOI236" s="269"/>
      <c r="HOJ236" s="269"/>
      <c r="HOK236" s="269"/>
      <c r="HOL236" s="269"/>
      <c r="HOM236" s="269"/>
      <c r="HON236" s="269"/>
      <c r="HOO236" s="269"/>
      <c r="HOP236" s="269"/>
      <c r="HOQ236" s="269"/>
      <c r="HOR236" s="269"/>
      <c r="HOS236" s="269"/>
      <c r="HOT236" s="269"/>
      <c r="HOU236" s="269"/>
      <c r="HOV236" s="269"/>
      <c r="HOW236" s="269"/>
      <c r="HOX236" s="269"/>
      <c r="HOY236" s="269"/>
      <c r="HOZ236" s="269"/>
      <c r="HPA236" s="269"/>
      <c r="HPB236" s="269"/>
      <c r="HPC236" s="269"/>
      <c r="HPD236" s="269"/>
      <c r="HPE236" s="269"/>
      <c r="HPF236" s="269"/>
      <c r="HPG236" s="269"/>
      <c r="HPH236" s="269"/>
      <c r="HPI236" s="269"/>
      <c r="HPJ236" s="269"/>
      <c r="HPK236" s="269"/>
      <c r="HPL236" s="269"/>
      <c r="HPM236" s="269"/>
      <c r="HPN236" s="269"/>
      <c r="HPO236" s="269"/>
      <c r="HPP236" s="269"/>
      <c r="HPQ236" s="269"/>
      <c r="HPR236" s="269"/>
      <c r="HPS236" s="269"/>
      <c r="HPT236" s="269"/>
      <c r="HPU236" s="269"/>
      <c r="HPV236" s="269"/>
      <c r="HPW236" s="269"/>
      <c r="HPX236" s="269"/>
      <c r="HPY236" s="269"/>
      <c r="HPZ236" s="269"/>
      <c r="HQA236" s="269"/>
      <c r="HQB236" s="269"/>
      <c r="HQC236" s="269"/>
      <c r="HQD236" s="269"/>
      <c r="HQE236" s="269"/>
      <c r="HQF236" s="269"/>
      <c r="HQG236" s="269"/>
      <c r="HQH236" s="269"/>
      <c r="HQI236" s="269"/>
      <c r="HQJ236" s="269"/>
      <c r="HQK236" s="269"/>
      <c r="HQL236" s="269"/>
      <c r="HQM236" s="269"/>
      <c r="HQN236" s="269"/>
      <c r="HQO236" s="269"/>
      <c r="HQP236" s="269"/>
      <c r="HQQ236" s="269"/>
      <c r="HQR236" s="269"/>
      <c r="HQS236" s="269"/>
      <c r="HQT236" s="269"/>
      <c r="HQU236" s="269"/>
      <c r="HQV236" s="269"/>
      <c r="HQW236" s="269"/>
      <c r="HQX236" s="269"/>
      <c r="HQY236" s="269"/>
      <c r="HQZ236" s="269"/>
      <c r="HRA236" s="269"/>
      <c r="HRB236" s="269"/>
      <c r="HRC236" s="269"/>
      <c r="HRD236" s="269"/>
      <c r="HRE236" s="269"/>
      <c r="HRF236" s="269"/>
      <c r="HRG236" s="269"/>
      <c r="HRH236" s="269"/>
      <c r="HRI236" s="269"/>
      <c r="HRJ236" s="269"/>
      <c r="HRK236" s="269"/>
      <c r="HRL236" s="269"/>
      <c r="HRM236" s="269"/>
      <c r="HRN236" s="269"/>
      <c r="HRO236" s="269"/>
      <c r="HRP236" s="269"/>
      <c r="HRQ236" s="269"/>
      <c r="HRR236" s="269"/>
      <c r="HRS236" s="269"/>
      <c r="HRT236" s="269"/>
      <c r="HRU236" s="269"/>
      <c r="HRV236" s="269"/>
      <c r="HRW236" s="269"/>
      <c r="HRX236" s="269"/>
      <c r="HRY236" s="269"/>
      <c r="HRZ236" s="269"/>
      <c r="HSA236" s="269"/>
      <c r="HSB236" s="269"/>
      <c r="HSC236" s="269"/>
      <c r="HSD236" s="269"/>
      <c r="HSE236" s="269"/>
      <c r="HSF236" s="269"/>
      <c r="HSG236" s="269"/>
      <c r="HSH236" s="269"/>
      <c r="HSI236" s="269"/>
      <c r="HSJ236" s="269"/>
      <c r="HSK236" s="269"/>
      <c r="HSL236" s="269"/>
      <c r="HSM236" s="269"/>
      <c r="HSN236" s="269"/>
      <c r="HSO236" s="269"/>
      <c r="HSP236" s="269"/>
      <c r="HSQ236" s="269"/>
      <c r="HSR236" s="269"/>
      <c r="HSS236" s="269"/>
      <c r="HST236" s="269"/>
      <c r="HSU236" s="269"/>
      <c r="HSV236" s="269"/>
      <c r="HSW236" s="269"/>
      <c r="HSX236" s="269"/>
      <c r="HSY236" s="269"/>
      <c r="HSZ236" s="269"/>
      <c r="HTA236" s="269"/>
      <c r="HTB236" s="269"/>
      <c r="HTC236" s="269"/>
      <c r="HTD236" s="269"/>
      <c r="HTE236" s="269"/>
      <c r="HTF236" s="269"/>
      <c r="HTG236" s="269"/>
      <c r="HTH236" s="269"/>
      <c r="HTI236" s="269"/>
      <c r="HTJ236" s="269"/>
      <c r="HTK236" s="269"/>
      <c r="HTL236" s="269"/>
      <c r="HTM236" s="269"/>
      <c r="HTN236" s="269"/>
      <c r="HTO236" s="269"/>
      <c r="HTP236" s="269"/>
      <c r="HTQ236" s="269"/>
      <c r="HTR236" s="269"/>
      <c r="HTS236" s="269"/>
      <c r="HTT236" s="269"/>
      <c r="HTU236" s="269"/>
      <c r="HTV236" s="269"/>
      <c r="HTW236" s="269"/>
      <c r="HTX236" s="269"/>
      <c r="HTY236" s="269"/>
      <c r="HTZ236" s="269"/>
      <c r="HUA236" s="269"/>
      <c r="HUB236" s="269"/>
      <c r="HUC236" s="269"/>
      <c r="HUD236" s="269"/>
      <c r="HUE236" s="269"/>
      <c r="HUF236" s="269"/>
      <c r="HUG236" s="269"/>
      <c r="HUH236" s="269"/>
      <c r="HUI236" s="269"/>
      <c r="HUJ236" s="269"/>
      <c r="HUK236" s="269"/>
      <c r="HUL236" s="269"/>
      <c r="HUM236" s="269"/>
      <c r="HUN236" s="269"/>
      <c r="HUO236" s="269"/>
      <c r="HUP236" s="269"/>
      <c r="HUQ236" s="269"/>
      <c r="HUR236" s="269"/>
      <c r="HUS236" s="269"/>
      <c r="HUT236" s="269"/>
      <c r="HUU236" s="269"/>
      <c r="HUV236" s="269"/>
      <c r="HUW236" s="269"/>
      <c r="HUX236" s="269"/>
      <c r="HUY236" s="269"/>
      <c r="HUZ236" s="269"/>
      <c r="HVA236" s="269"/>
      <c r="HVB236" s="269"/>
      <c r="HVC236" s="269"/>
      <c r="HVD236" s="269"/>
      <c r="HVE236" s="269"/>
      <c r="HVF236" s="269"/>
      <c r="HVG236" s="269"/>
      <c r="HVH236" s="269"/>
      <c r="HVI236" s="269"/>
      <c r="HVJ236" s="269"/>
      <c r="HVK236" s="269"/>
      <c r="HVL236" s="269"/>
      <c r="HVM236" s="269"/>
      <c r="HVN236" s="269"/>
      <c r="HVO236" s="269"/>
      <c r="HVP236" s="269"/>
      <c r="HVQ236" s="269"/>
      <c r="HVR236" s="269"/>
      <c r="HVS236" s="269"/>
      <c r="HVT236" s="269"/>
      <c r="HVU236" s="269"/>
      <c r="HVV236" s="269"/>
      <c r="HVW236" s="269"/>
      <c r="HVX236" s="269"/>
      <c r="HVY236" s="269"/>
      <c r="HVZ236" s="269"/>
      <c r="HWA236" s="269"/>
      <c r="HWB236" s="269"/>
      <c r="HWC236" s="269"/>
      <c r="HWD236" s="269"/>
      <c r="HWE236" s="269"/>
      <c r="HWF236" s="269"/>
      <c r="HWG236" s="269"/>
      <c r="HWH236" s="269"/>
      <c r="HWI236" s="269"/>
      <c r="HWJ236" s="269"/>
      <c r="HWK236" s="269"/>
      <c r="HWL236" s="269"/>
      <c r="HWM236" s="269"/>
      <c r="HWN236" s="269"/>
      <c r="HWO236" s="269"/>
      <c r="HWP236" s="269"/>
      <c r="HWQ236" s="269"/>
      <c r="HWR236" s="269"/>
      <c r="HWS236" s="269"/>
      <c r="HWT236" s="269"/>
      <c r="HWU236" s="269"/>
      <c r="HWV236" s="269"/>
      <c r="HWW236" s="269"/>
      <c r="HWX236" s="269"/>
      <c r="HWY236" s="269"/>
      <c r="HWZ236" s="269"/>
      <c r="HXA236" s="269"/>
      <c r="HXB236" s="269"/>
      <c r="HXC236" s="269"/>
      <c r="HXD236" s="269"/>
      <c r="HXE236" s="269"/>
      <c r="HXF236" s="269"/>
      <c r="HXG236" s="269"/>
      <c r="HXH236" s="269"/>
      <c r="HXI236" s="269"/>
      <c r="HXJ236" s="269"/>
      <c r="HXK236" s="269"/>
      <c r="HXL236" s="269"/>
      <c r="HXM236" s="269"/>
      <c r="HXN236" s="269"/>
      <c r="HXO236" s="269"/>
      <c r="HXP236" s="269"/>
      <c r="HXQ236" s="269"/>
      <c r="HXR236" s="269"/>
      <c r="HXS236" s="269"/>
      <c r="HXT236" s="269"/>
      <c r="HXU236" s="269"/>
      <c r="HXV236" s="269"/>
      <c r="HXW236" s="269"/>
      <c r="HXX236" s="269"/>
      <c r="HXY236" s="269"/>
      <c r="HXZ236" s="269"/>
      <c r="HYA236" s="269"/>
      <c r="HYB236" s="269"/>
      <c r="HYC236" s="269"/>
      <c r="HYD236" s="269"/>
      <c r="HYE236" s="269"/>
      <c r="HYF236" s="269"/>
      <c r="HYG236" s="269"/>
      <c r="HYH236" s="269"/>
      <c r="HYI236" s="269"/>
      <c r="HYJ236" s="269"/>
      <c r="HYK236" s="269"/>
      <c r="HYL236" s="269"/>
      <c r="HYM236" s="269"/>
      <c r="HYN236" s="269"/>
      <c r="HYO236" s="269"/>
      <c r="HYP236" s="269"/>
      <c r="HYQ236" s="269"/>
      <c r="HYR236" s="269"/>
      <c r="HYS236" s="269"/>
      <c r="HYT236" s="269"/>
      <c r="HYU236" s="269"/>
      <c r="HYV236" s="269"/>
      <c r="HYW236" s="269"/>
      <c r="HYX236" s="269"/>
      <c r="HYY236" s="269"/>
      <c r="HYZ236" s="269"/>
      <c r="HZA236" s="269"/>
      <c r="HZB236" s="269"/>
      <c r="HZC236" s="269"/>
      <c r="HZD236" s="269"/>
      <c r="HZE236" s="269"/>
      <c r="HZF236" s="269"/>
      <c r="HZG236" s="269"/>
      <c r="HZH236" s="269"/>
      <c r="HZI236" s="269"/>
      <c r="HZJ236" s="269"/>
      <c r="HZK236" s="269"/>
      <c r="HZL236" s="269"/>
      <c r="HZM236" s="269"/>
      <c r="HZN236" s="269"/>
      <c r="HZO236" s="269"/>
      <c r="HZP236" s="269"/>
      <c r="HZQ236" s="269"/>
      <c r="HZR236" s="269"/>
      <c r="HZS236" s="269"/>
      <c r="HZT236" s="269"/>
      <c r="HZU236" s="269"/>
      <c r="HZV236" s="269"/>
      <c r="HZW236" s="269"/>
      <c r="HZX236" s="269"/>
      <c r="HZY236" s="269"/>
      <c r="HZZ236" s="269"/>
      <c r="IAA236" s="269"/>
      <c r="IAB236" s="269"/>
      <c r="IAC236" s="269"/>
      <c r="IAD236" s="269"/>
      <c r="IAE236" s="269"/>
      <c r="IAF236" s="269"/>
      <c r="IAG236" s="269"/>
      <c r="IAH236" s="269"/>
      <c r="IAI236" s="269"/>
      <c r="IAJ236" s="269"/>
      <c r="IAK236" s="269"/>
      <c r="IAL236" s="269"/>
      <c r="IAM236" s="269"/>
      <c r="IAN236" s="269"/>
      <c r="IAO236" s="269"/>
      <c r="IAP236" s="269"/>
      <c r="IAQ236" s="269"/>
      <c r="IAR236" s="269"/>
      <c r="IAS236" s="269"/>
      <c r="IAT236" s="269"/>
      <c r="IAU236" s="269"/>
      <c r="IAV236" s="269"/>
      <c r="IAW236" s="269"/>
      <c r="IAX236" s="269"/>
      <c r="IAY236" s="269"/>
      <c r="IAZ236" s="269"/>
      <c r="IBA236" s="269"/>
      <c r="IBB236" s="269"/>
      <c r="IBC236" s="269"/>
      <c r="IBD236" s="269"/>
      <c r="IBE236" s="269"/>
      <c r="IBF236" s="269"/>
      <c r="IBG236" s="269"/>
      <c r="IBH236" s="269"/>
      <c r="IBI236" s="269"/>
      <c r="IBJ236" s="269"/>
      <c r="IBK236" s="269"/>
      <c r="IBL236" s="269"/>
      <c r="IBM236" s="269"/>
      <c r="IBN236" s="269"/>
      <c r="IBO236" s="269"/>
      <c r="IBP236" s="269"/>
      <c r="IBQ236" s="269"/>
      <c r="IBR236" s="269"/>
      <c r="IBS236" s="269"/>
      <c r="IBT236" s="269"/>
      <c r="IBU236" s="269"/>
      <c r="IBV236" s="269"/>
      <c r="IBW236" s="269"/>
      <c r="IBX236" s="269"/>
      <c r="IBY236" s="269"/>
      <c r="IBZ236" s="269"/>
      <c r="ICA236" s="269"/>
      <c r="ICB236" s="269"/>
      <c r="ICC236" s="269"/>
      <c r="ICD236" s="269"/>
      <c r="ICE236" s="269"/>
      <c r="ICF236" s="269"/>
      <c r="ICG236" s="269"/>
      <c r="ICH236" s="269"/>
      <c r="ICI236" s="269"/>
      <c r="ICJ236" s="269"/>
      <c r="ICK236" s="269"/>
      <c r="ICL236" s="269"/>
      <c r="ICM236" s="269"/>
      <c r="ICN236" s="269"/>
      <c r="ICO236" s="269"/>
      <c r="ICP236" s="269"/>
      <c r="ICQ236" s="269"/>
      <c r="ICR236" s="269"/>
      <c r="ICS236" s="269"/>
      <c r="ICT236" s="269"/>
      <c r="ICU236" s="269"/>
      <c r="ICV236" s="269"/>
      <c r="ICW236" s="269"/>
      <c r="ICX236" s="269"/>
      <c r="ICY236" s="269"/>
      <c r="ICZ236" s="269"/>
      <c r="IDA236" s="269"/>
      <c r="IDB236" s="269"/>
      <c r="IDC236" s="269"/>
      <c r="IDD236" s="269"/>
      <c r="IDE236" s="269"/>
      <c r="IDF236" s="269"/>
      <c r="IDG236" s="269"/>
      <c r="IDH236" s="269"/>
      <c r="IDI236" s="269"/>
      <c r="IDJ236" s="269"/>
      <c r="IDK236" s="269"/>
      <c r="IDL236" s="269"/>
      <c r="IDM236" s="269"/>
      <c r="IDN236" s="269"/>
      <c r="IDO236" s="269"/>
      <c r="IDP236" s="269"/>
      <c r="IDQ236" s="269"/>
      <c r="IDR236" s="269"/>
      <c r="IDS236" s="269"/>
      <c r="IDT236" s="269"/>
      <c r="IDU236" s="269"/>
      <c r="IDV236" s="269"/>
      <c r="IDW236" s="269"/>
      <c r="IDX236" s="269"/>
      <c r="IDY236" s="269"/>
      <c r="IDZ236" s="269"/>
      <c r="IEA236" s="269"/>
      <c r="IEB236" s="269"/>
      <c r="IEC236" s="269"/>
      <c r="IED236" s="269"/>
      <c r="IEE236" s="269"/>
      <c r="IEF236" s="269"/>
      <c r="IEG236" s="269"/>
      <c r="IEH236" s="269"/>
      <c r="IEI236" s="269"/>
      <c r="IEJ236" s="269"/>
      <c r="IEK236" s="269"/>
      <c r="IEL236" s="269"/>
      <c r="IEM236" s="269"/>
      <c r="IEN236" s="269"/>
      <c r="IEO236" s="269"/>
      <c r="IEP236" s="269"/>
      <c r="IEQ236" s="269"/>
      <c r="IER236" s="269"/>
      <c r="IES236" s="269"/>
      <c r="IET236" s="269"/>
      <c r="IEU236" s="269"/>
      <c r="IEV236" s="269"/>
      <c r="IEW236" s="269"/>
      <c r="IEX236" s="269"/>
      <c r="IEY236" s="269"/>
      <c r="IEZ236" s="269"/>
      <c r="IFA236" s="269"/>
      <c r="IFB236" s="269"/>
      <c r="IFC236" s="269"/>
      <c r="IFD236" s="269"/>
      <c r="IFE236" s="269"/>
      <c r="IFF236" s="269"/>
      <c r="IFG236" s="269"/>
      <c r="IFH236" s="269"/>
      <c r="IFI236" s="269"/>
      <c r="IFJ236" s="269"/>
      <c r="IFK236" s="269"/>
      <c r="IFL236" s="269"/>
      <c r="IFM236" s="269"/>
      <c r="IFN236" s="269"/>
      <c r="IFO236" s="269"/>
      <c r="IFP236" s="269"/>
      <c r="IFQ236" s="269"/>
      <c r="IFR236" s="269"/>
      <c r="IFS236" s="269"/>
      <c r="IFT236" s="269"/>
      <c r="IFU236" s="269"/>
      <c r="IFV236" s="269"/>
      <c r="IFW236" s="269"/>
      <c r="IFX236" s="269"/>
      <c r="IFY236" s="269"/>
      <c r="IFZ236" s="269"/>
      <c r="IGA236" s="269"/>
      <c r="IGB236" s="269"/>
      <c r="IGC236" s="269"/>
      <c r="IGD236" s="269"/>
      <c r="IGE236" s="269"/>
      <c r="IGF236" s="269"/>
      <c r="IGG236" s="269"/>
      <c r="IGH236" s="269"/>
      <c r="IGI236" s="269"/>
      <c r="IGJ236" s="269"/>
      <c r="IGK236" s="269"/>
      <c r="IGL236" s="269"/>
      <c r="IGM236" s="269"/>
      <c r="IGN236" s="269"/>
      <c r="IGO236" s="269"/>
      <c r="IGP236" s="269"/>
      <c r="IGQ236" s="269"/>
      <c r="IGR236" s="269"/>
      <c r="IGS236" s="269"/>
      <c r="IGT236" s="269"/>
      <c r="IGU236" s="269"/>
      <c r="IGV236" s="269"/>
      <c r="IGW236" s="269"/>
      <c r="IGX236" s="269"/>
      <c r="IGY236" s="269"/>
      <c r="IGZ236" s="269"/>
      <c r="IHA236" s="269"/>
      <c r="IHB236" s="269"/>
      <c r="IHC236" s="269"/>
      <c r="IHD236" s="269"/>
      <c r="IHE236" s="269"/>
      <c r="IHF236" s="269"/>
      <c r="IHG236" s="269"/>
      <c r="IHH236" s="269"/>
      <c r="IHI236" s="269"/>
      <c r="IHJ236" s="269"/>
      <c r="IHK236" s="269"/>
      <c r="IHL236" s="269"/>
      <c r="IHM236" s="269"/>
      <c r="IHN236" s="269"/>
      <c r="IHO236" s="269"/>
      <c r="IHP236" s="269"/>
      <c r="IHQ236" s="269"/>
      <c r="IHR236" s="269"/>
      <c r="IHS236" s="269"/>
      <c r="IHT236" s="269"/>
      <c r="IHU236" s="269"/>
      <c r="IHV236" s="269"/>
      <c r="IHW236" s="269"/>
      <c r="IHX236" s="269"/>
      <c r="IHY236" s="269"/>
      <c r="IHZ236" s="269"/>
      <c r="IIA236" s="269"/>
      <c r="IIB236" s="269"/>
      <c r="IIC236" s="269"/>
      <c r="IID236" s="269"/>
      <c r="IIE236" s="269"/>
      <c r="IIF236" s="269"/>
      <c r="IIG236" s="269"/>
      <c r="IIH236" s="269"/>
      <c r="III236" s="269"/>
      <c r="IIJ236" s="269"/>
      <c r="IIK236" s="269"/>
      <c r="IIL236" s="269"/>
      <c r="IIM236" s="269"/>
      <c r="IIN236" s="269"/>
      <c r="IIO236" s="269"/>
      <c r="IIP236" s="269"/>
      <c r="IIQ236" s="269"/>
      <c r="IIR236" s="269"/>
      <c r="IIS236" s="269"/>
      <c r="IIT236" s="269"/>
      <c r="IIU236" s="269"/>
      <c r="IIV236" s="269"/>
      <c r="IIW236" s="269"/>
      <c r="IIX236" s="269"/>
      <c r="IIY236" s="269"/>
      <c r="IIZ236" s="269"/>
      <c r="IJA236" s="269"/>
      <c r="IJB236" s="269"/>
      <c r="IJC236" s="269"/>
      <c r="IJD236" s="269"/>
      <c r="IJE236" s="269"/>
      <c r="IJF236" s="269"/>
      <c r="IJG236" s="269"/>
      <c r="IJH236" s="269"/>
      <c r="IJI236" s="269"/>
      <c r="IJJ236" s="269"/>
      <c r="IJK236" s="269"/>
      <c r="IJL236" s="269"/>
      <c r="IJM236" s="269"/>
      <c r="IJN236" s="269"/>
      <c r="IJO236" s="269"/>
      <c r="IJP236" s="269"/>
      <c r="IJQ236" s="269"/>
      <c r="IJR236" s="269"/>
      <c r="IJS236" s="269"/>
      <c r="IJT236" s="269"/>
      <c r="IJU236" s="269"/>
      <c r="IJV236" s="269"/>
      <c r="IJW236" s="269"/>
      <c r="IJX236" s="269"/>
      <c r="IJY236" s="269"/>
      <c r="IJZ236" s="269"/>
      <c r="IKA236" s="269"/>
      <c r="IKB236" s="269"/>
      <c r="IKC236" s="269"/>
      <c r="IKD236" s="269"/>
      <c r="IKE236" s="269"/>
      <c r="IKF236" s="269"/>
      <c r="IKG236" s="269"/>
      <c r="IKH236" s="269"/>
      <c r="IKI236" s="269"/>
      <c r="IKJ236" s="269"/>
      <c r="IKK236" s="269"/>
      <c r="IKL236" s="269"/>
      <c r="IKM236" s="269"/>
      <c r="IKN236" s="269"/>
      <c r="IKO236" s="269"/>
      <c r="IKP236" s="269"/>
      <c r="IKQ236" s="269"/>
      <c r="IKR236" s="269"/>
      <c r="IKS236" s="269"/>
      <c r="IKT236" s="269"/>
      <c r="IKU236" s="269"/>
      <c r="IKV236" s="269"/>
      <c r="IKW236" s="269"/>
      <c r="IKX236" s="269"/>
      <c r="IKY236" s="269"/>
      <c r="IKZ236" s="269"/>
      <c r="ILA236" s="269"/>
      <c r="ILB236" s="269"/>
      <c r="ILC236" s="269"/>
      <c r="ILD236" s="269"/>
      <c r="ILE236" s="269"/>
      <c r="ILF236" s="269"/>
      <c r="ILG236" s="269"/>
      <c r="ILH236" s="269"/>
      <c r="ILI236" s="269"/>
      <c r="ILJ236" s="269"/>
      <c r="ILK236" s="269"/>
      <c r="ILL236" s="269"/>
      <c r="ILM236" s="269"/>
      <c r="ILN236" s="269"/>
      <c r="ILO236" s="269"/>
      <c r="ILP236" s="269"/>
      <c r="ILQ236" s="269"/>
      <c r="ILR236" s="269"/>
      <c r="ILS236" s="269"/>
      <c r="ILT236" s="269"/>
      <c r="ILU236" s="269"/>
      <c r="ILV236" s="269"/>
      <c r="ILW236" s="269"/>
      <c r="ILX236" s="269"/>
      <c r="ILY236" s="269"/>
      <c r="ILZ236" s="269"/>
      <c r="IMA236" s="269"/>
      <c r="IMB236" s="269"/>
      <c r="IMC236" s="269"/>
      <c r="IMD236" s="269"/>
      <c r="IME236" s="269"/>
      <c r="IMF236" s="269"/>
      <c r="IMG236" s="269"/>
      <c r="IMH236" s="269"/>
      <c r="IMI236" s="269"/>
      <c r="IMJ236" s="269"/>
      <c r="IMK236" s="269"/>
      <c r="IML236" s="269"/>
      <c r="IMM236" s="269"/>
      <c r="IMN236" s="269"/>
      <c r="IMO236" s="269"/>
      <c r="IMP236" s="269"/>
      <c r="IMQ236" s="269"/>
      <c r="IMR236" s="269"/>
      <c r="IMS236" s="269"/>
      <c r="IMT236" s="269"/>
      <c r="IMU236" s="269"/>
      <c r="IMV236" s="269"/>
      <c r="IMW236" s="269"/>
      <c r="IMX236" s="269"/>
      <c r="IMY236" s="269"/>
      <c r="IMZ236" s="269"/>
      <c r="INA236" s="269"/>
      <c r="INB236" s="269"/>
      <c r="INC236" s="269"/>
      <c r="IND236" s="269"/>
      <c r="INE236" s="269"/>
      <c r="INF236" s="269"/>
      <c r="ING236" s="269"/>
      <c r="INH236" s="269"/>
      <c r="INI236" s="269"/>
      <c r="INJ236" s="269"/>
      <c r="INK236" s="269"/>
      <c r="INL236" s="269"/>
      <c r="INM236" s="269"/>
      <c r="INN236" s="269"/>
      <c r="INO236" s="269"/>
      <c r="INP236" s="269"/>
      <c r="INQ236" s="269"/>
      <c r="INR236" s="269"/>
      <c r="INS236" s="269"/>
      <c r="INT236" s="269"/>
      <c r="INU236" s="269"/>
      <c r="INV236" s="269"/>
      <c r="INW236" s="269"/>
      <c r="INX236" s="269"/>
      <c r="INY236" s="269"/>
      <c r="INZ236" s="269"/>
      <c r="IOA236" s="269"/>
      <c r="IOB236" s="269"/>
      <c r="IOC236" s="269"/>
      <c r="IOD236" s="269"/>
      <c r="IOE236" s="269"/>
      <c r="IOF236" s="269"/>
      <c r="IOG236" s="269"/>
      <c r="IOH236" s="269"/>
      <c r="IOI236" s="269"/>
      <c r="IOJ236" s="269"/>
      <c r="IOK236" s="269"/>
      <c r="IOL236" s="269"/>
      <c r="IOM236" s="269"/>
      <c r="ION236" s="269"/>
      <c r="IOO236" s="269"/>
      <c r="IOP236" s="269"/>
      <c r="IOQ236" s="269"/>
      <c r="IOR236" s="269"/>
      <c r="IOS236" s="269"/>
      <c r="IOT236" s="269"/>
      <c r="IOU236" s="269"/>
      <c r="IOV236" s="269"/>
      <c r="IOW236" s="269"/>
      <c r="IOX236" s="269"/>
      <c r="IOY236" s="269"/>
      <c r="IOZ236" s="269"/>
      <c r="IPA236" s="269"/>
      <c r="IPB236" s="269"/>
      <c r="IPC236" s="269"/>
      <c r="IPD236" s="269"/>
      <c r="IPE236" s="269"/>
      <c r="IPF236" s="269"/>
      <c r="IPG236" s="269"/>
      <c r="IPH236" s="269"/>
      <c r="IPI236" s="269"/>
      <c r="IPJ236" s="269"/>
      <c r="IPK236" s="269"/>
      <c r="IPL236" s="269"/>
      <c r="IPM236" s="269"/>
      <c r="IPN236" s="269"/>
      <c r="IPO236" s="269"/>
      <c r="IPP236" s="269"/>
      <c r="IPQ236" s="269"/>
      <c r="IPR236" s="269"/>
      <c r="IPS236" s="269"/>
      <c r="IPT236" s="269"/>
      <c r="IPU236" s="269"/>
      <c r="IPV236" s="269"/>
      <c r="IPW236" s="269"/>
      <c r="IPX236" s="269"/>
      <c r="IPY236" s="269"/>
      <c r="IPZ236" s="269"/>
      <c r="IQA236" s="269"/>
      <c r="IQB236" s="269"/>
      <c r="IQC236" s="269"/>
      <c r="IQD236" s="269"/>
      <c r="IQE236" s="269"/>
      <c r="IQF236" s="269"/>
      <c r="IQG236" s="269"/>
      <c r="IQH236" s="269"/>
      <c r="IQI236" s="269"/>
      <c r="IQJ236" s="269"/>
      <c r="IQK236" s="269"/>
      <c r="IQL236" s="269"/>
      <c r="IQM236" s="269"/>
      <c r="IQN236" s="269"/>
      <c r="IQO236" s="269"/>
      <c r="IQP236" s="269"/>
      <c r="IQQ236" s="269"/>
      <c r="IQR236" s="269"/>
      <c r="IQS236" s="269"/>
      <c r="IQT236" s="269"/>
      <c r="IQU236" s="269"/>
      <c r="IQV236" s="269"/>
      <c r="IQW236" s="269"/>
      <c r="IQX236" s="269"/>
      <c r="IQY236" s="269"/>
      <c r="IQZ236" s="269"/>
      <c r="IRA236" s="269"/>
      <c r="IRB236" s="269"/>
      <c r="IRC236" s="269"/>
      <c r="IRD236" s="269"/>
      <c r="IRE236" s="269"/>
      <c r="IRF236" s="269"/>
      <c r="IRG236" s="269"/>
      <c r="IRH236" s="269"/>
      <c r="IRI236" s="269"/>
      <c r="IRJ236" s="269"/>
      <c r="IRK236" s="269"/>
      <c r="IRL236" s="269"/>
      <c r="IRM236" s="269"/>
      <c r="IRN236" s="269"/>
      <c r="IRO236" s="269"/>
      <c r="IRP236" s="269"/>
      <c r="IRQ236" s="269"/>
      <c r="IRR236" s="269"/>
      <c r="IRS236" s="269"/>
      <c r="IRT236" s="269"/>
      <c r="IRU236" s="269"/>
      <c r="IRV236" s="269"/>
      <c r="IRW236" s="269"/>
      <c r="IRX236" s="269"/>
      <c r="IRY236" s="269"/>
      <c r="IRZ236" s="269"/>
      <c r="ISA236" s="269"/>
      <c r="ISB236" s="269"/>
      <c r="ISC236" s="269"/>
      <c r="ISD236" s="269"/>
      <c r="ISE236" s="269"/>
      <c r="ISF236" s="269"/>
      <c r="ISG236" s="269"/>
      <c r="ISH236" s="269"/>
      <c r="ISI236" s="269"/>
      <c r="ISJ236" s="269"/>
      <c r="ISK236" s="269"/>
      <c r="ISL236" s="269"/>
      <c r="ISM236" s="269"/>
      <c r="ISN236" s="269"/>
      <c r="ISO236" s="269"/>
      <c r="ISP236" s="269"/>
      <c r="ISQ236" s="269"/>
      <c r="ISR236" s="269"/>
      <c r="ISS236" s="269"/>
      <c r="IST236" s="269"/>
      <c r="ISU236" s="269"/>
      <c r="ISV236" s="269"/>
      <c r="ISW236" s="269"/>
      <c r="ISX236" s="269"/>
      <c r="ISY236" s="269"/>
      <c r="ISZ236" s="269"/>
      <c r="ITA236" s="269"/>
      <c r="ITB236" s="269"/>
      <c r="ITC236" s="269"/>
      <c r="ITD236" s="269"/>
      <c r="ITE236" s="269"/>
      <c r="ITF236" s="269"/>
      <c r="ITG236" s="269"/>
      <c r="ITH236" s="269"/>
      <c r="ITI236" s="269"/>
      <c r="ITJ236" s="269"/>
      <c r="ITK236" s="269"/>
      <c r="ITL236" s="269"/>
      <c r="ITM236" s="269"/>
      <c r="ITN236" s="269"/>
      <c r="ITO236" s="269"/>
      <c r="ITP236" s="269"/>
      <c r="ITQ236" s="269"/>
      <c r="ITR236" s="269"/>
      <c r="ITS236" s="269"/>
      <c r="ITT236" s="269"/>
      <c r="ITU236" s="269"/>
      <c r="ITV236" s="269"/>
      <c r="ITW236" s="269"/>
      <c r="ITX236" s="269"/>
      <c r="ITY236" s="269"/>
      <c r="ITZ236" s="269"/>
      <c r="IUA236" s="269"/>
      <c r="IUB236" s="269"/>
      <c r="IUC236" s="269"/>
      <c r="IUD236" s="269"/>
      <c r="IUE236" s="269"/>
      <c r="IUF236" s="269"/>
      <c r="IUG236" s="269"/>
      <c r="IUH236" s="269"/>
      <c r="IUI236" s="269"/>
      <c r="IUJ236" s="269"/>
      <c r="IUK236" s="269"/>
      <c r="IUL236" s="269"/>
      <c r="IUM236" s="269"/>
      <c r="IUN236" s="269"/>
      <c r="IUO236" s="269"/>
      <c r="IUP236" s="269"/>
      <c r="IUQ236" s="269"/>
      <c r="IUR236" s="269"/>
      <c r="IUS236" s="269"/>
      <c r="IUT236" s="269"/>
      <c r="IUU236" s="269"/>
      <c r="IUV236" s="269"/>
      <c r="IUW236" s="269"/>
      <c r="IUX236" s="269"/>
      <c r="IUY236" s="269"/>
      <c r="IUZ236" s="269"/>
      <c r="IVA236" s="269"/>
      <c r="IVB236" s="269"/>
      <c r="IVC236" s="269"/>
      <c r="IVD236" s="269"/>
      <c r="IVE236" s="269"/>
      <c r="IVF236" s="269"/>
      <c r="IVG236" s="269"/>
      <c r="IVH236" s="269"/>
      <c r="IVI236" s="269"/>
      <c r="IVJ236" s="269"/>
      <c r="IVK236" s="269"/>
      <c r="IVL236" s="269"/>
      <c r="IVM236" s="269"/>
      <c r="IVN236" s="269"/>
      <c r="IVO236" s="269"/>
      <c r="IVP236" s="269"/>
      <c r="IVQ236" s="269"/>
      <c r="IVR236" s="269"/>
      <c r="IVS236" s="269"/>
      <c r="IVT236" s="269"/>
      <c r="IVU236" s="269"/>
      <c r="IVV236" s="269"/>
      <c r="IVW236" s="269"/>
      <c r="IVX236" s="269"/>
      <c r="IVY236" s="269"/>
      <c r="IVZ236" s="269"/>
      <c r="IWA236" s="269"/>
      <c r="IWB236" s="269"/>
      <c r="IWC236" s="269"/>
      <c r="IWD236" s="269"/>
      <c r="IWE236" s="269"/>
      <c r="IWF236" s="269"/>
      <c r="IWG236" s="269"/>
      <c r="IWH236" s="269"/>
      <c r="IWI236" s="269"/>
      <c r="IWJ236" s="269"/>
      <c r="IWK236" s="269"/>
      <c r="IWL236" s="269"/>
      <c r="IWM236" s="269"/>
      <c r="IWN236" s="269"/>
      <c r="IWO236" s="269"/>
      <c r="IWP236" s="269"/>
      <c r="IWQ236" s="269"/>
      <c r="IWR236" s="269"/>
      <c r="IWS236" s="269"/>
      <c r="IWT236" s="269"/>
      <c r="IWU236" s="269"/>
      <c r="IWV236" s="269"/>
      <c r="IWW236" s="269"/>
      <c r="IWX236" s="269"/>
      <c r="IWY236" s="269"/>
      <c r="IWZ236" s="269"/>
      <c r="IXA236" s="269"/>
      <c r="IXB236" s="269"/>
      <c r="IXC236" s="269"/>
      <c r="IXD236" s="269"/>
      <c r="IXE236" s="269"/>
      <c r="IXF236" s="269"/>
      <c r="IXG236" s="269"/>
      <c r="IXH236" s="269"/>
      <c r="IXI236" s="269"/>
      <c r="IXJ236" s="269"/>
      <c r="IXK236" s="269"/>
      <c r="IXL236" s="269"/>
      <c r="IXM236" s="269"/>
      <c r="IXN236" s="269"/>
      <c r="IXO236" s="269"/>
      <c r="IXP236" s="269"/>
      <c r="IXQ236" s="269"/>
      <c r="IXR236" s="269"/>
      <c r="IXS236" s="269"/>
      <c r="IXT236" s="269"/>
      <c r="IXU236" s="269"/>
      <c r="IXV236" s="269"/>
      <c r="IXW236" s="269"/>
      <c r="IXX236" s="269"/>
      <c r="IXY236" s="269"/>
      <c r="IXZ236" s="269"/>
      <c r="IYA236" s="269"/>
      <c r="IYB236" s="269"/>
      <c r="IYC236" s="269"/>
      <c r="IYD236" s="269"/>
      <c r="IYE236" s="269"/>
      <c r="IYF236" s="269"/>
      <c r="IYG236" s="269"/>
      <c r="IYH236" s="269"/>
      <c r="IYI236" s="269"/>
      <c r="IYJ236" s="269"/>
      <c r="IYK236" s="269"/>
      <c r="IYL236" s="269"/>
      <c r="IYM236" s="269"/>
      <c r="IYN236" s="269"/>
      <c r="IYO236" s="269"/>
      <c r="IYP236" s="269"/>
      <c r="IYQ236" s="269"/>
      <c r="IYR236" s="269"/>
      <c r="IYS236" s="269"/>
      <c r="IYT236" s="269"/>
      <c r="IYU236" s="269"/>
      <c r="IYV236" s="269"/>
      <c r="IYW236" s="269"/>
      <c r="IYX236" s="269"/>
      <c r="IYY236" s="269"/>
      <c r="IYZ236" s="269"/>
      <c r="IZA236" s="269"/>
      <c r="IZB236" s="269"/>
      <c r="IZC236" s="269"/>
      <c r="IZD236" s="269"/>
      <c r="IZE236" s="269"/>
      <c r="IZF236" s="269"/>
      <c r="IZG236" s="269"/>
      <c r="IZH236" s="269"/>
      <c r="IZI236" s="269"/>
      <c r="IZJ236" s="269"/>
      <c r="IZK236" s="269"/>
      <c r="IZL236" s="269"/>
      <c r="IZM236" s="269"/>
      <c r="IZN236" s="269"/>
      <c r="IZO236" s="269"/>
      <c r="IZP236" s="269"/>
      <c r="IZQ236" s="269"/>
      <c r="IZR236" s="269"/>
      <c r="IZS236" s="269"/>
      <c r="IZT236" s="269"/>
      <c r="IZU236" s="269"/>
      <c r="IZV236" s="269"/>
      <c r="IZW236" s="269"/>
      <c r="IZX236" s="269"/>
      <c r="IZY236" s="269"/>
      <c r="IZZ236" s="269"/>
      <c r="JAA236" s="269"/>
      <c r="JAB236" s="269"/>
      <c r="JAC236" s="269"/>
      <c r="JAD236" s="269"/>
      <c r="JAE236" s="269"/>
      <c r="JAF236" s="269"/>
      <c r="JAG236" s="269"/>
      <c r="JAH236" s="269"/>
      <c r="JAI236" s="269"/>
      <c r="JAJ236" s="269"/>
      <c r="JAK236" s="269"/>
      <c r="JAL236" s="269"/>
      <c r="JAM236" s="269"/>
      <c r="JAN236" s="269"/>
      <c r="JAO236" s="269"/>
      <c r="JAP236" s="269"/>
      <c r="JAQ236" s="269"/>
      <c r="JAR236" s="269"/>
      <c r="JAS236" s="269"/>
      <c r="JAT236" s="269"/>
      <c r="JAU236" s="269"/>
      <c r="JAV236" s="269"/>
      <c r="JAW236" s="269"/>
      <c r="JAX236" s="269"/>
      <c r="JAY236" s="269"/>
      <c r="JAZ236" s="269"/>
      <c r="JBA236" s="269"/>
      <c r="JBB236" s="269"/>
      <c r="JBC236" s="269"/>
      <c r="JBD236" s="269"/>
      <c r="JBE236" s="269"/>
      <c r="JBF236" s="269"/>
      <c r="JBG236" s="269"/>
      <c r="JBH236" s="269"/>
      <c r="JBI236" s="269"/>
      <c r="JBJ236" s="269"/>
      <c r="JBK236" s="269"/>
      <c r="JBL236" s="269"/>
      <c r="JBM236" s="269"/>
      <c r="JBN236" s="269"/>
      <c r="JBO236" s="269"/>
      <c r="JBP236" s="269"/>
      <c r="JBQ236" s="269"/>
      <c r="JBR236" s="269"/>
      <c r="JBS236" s="269"/>
      <c r="JBT236" s="269"/>
      <c r="JBU236" s="269"/>
      <c r="JBV236" s="269"/>
      <c r="JBW236" s="269"/>
      <c r="JBX236" s="269"/>
      <c r="JBY236" s="269"/>
      <c r="JBZ236" s="269"/>
      <c r="JCA236" s="269"/>
      <c r="JCB236" s="269"/>
      <c r="JCC236" s="269"/>
      <c r="JCD236" s="269"/>
      <c r="JCE236" s="269"/>
      <c r="JCF236" s="269"/>
      <c r="JCG236" s="269"/>
      <c r="JCH236" s="269"/>
      <c r="JCI236" s="269"/>
      <c r="JCJ236" s="269"/>
      <c r="JCK236" s="269"/>
      <c r="JCL236" s="269"/>
      <c r="JCM236" s="269"/>
      <c r="JCN236" s="269"/>
      <c r="JCO236" s="269"/>
      <c r="JCP236" s="269"/>
      <c r="JCQ236" s="269"/>
      <c r="JCR236" s="269"/>
      <c r="JCS236" s="269"/>
      <c r="JCT236" s="269"/>
      <c r="JCU236" s="269"/>
      <c r="JCV236" s="269"/>
      <c r="JCW236" s="269"/>
      <c r="JCX236" s="269"/>
      <c r="JCY236" s="269"/>
      <c r="JCZ236" s="269"/>
      <c r="JDA236" s="269"/>
      <c r="JDB236" s="269"/>
      <c r="JDC236" s="269"/>
      <c r="JDD236" s="269"/>
      <c r="JDE236" s="269"/>
      <c r="JDF236" s="269"/>
      <c r="JDG236" s="269"/>
      <c r="JDH236" s="269"/>
      <c r="JDI236" s="269"/>
      <c r="JDJ236" s="269"/>
      <c r="JDK236" s="269"/>
      <c r="JDL236" s="269"/>
      <c r="JDM236" s="269"/>
      <c r="JDN236" s="269"/>
      <c r="JDO236" s="269"/>
      <c r="JDP236" s="269"/>
      <c r="JDQ236" s="269"/>
      <c r="JDR236" s="269"/>
      <c r="JDS236" s="269"/>
      <c r="JDT236" s="269"/>
      <c r="JDU236" s="269"/>
      <c r="JDV236" s="269"/>
      <c r="JDW236" s="269"/>
      <c r="JDX236" s="269"/>
      <c r="JDY236" s="269"/>
      <c r="JDZ236" s="269"/>
      <c r="JEA236" s="269"/>
      <c r="JEB236" s="269"/>
      <c r="JEC236" s="269"/>
      <c r="JED236" s="269"/>
      <c r="JEE236" s="269"/>
      <c r="JEF236" s="269"/>
      <c r="JEG236" s="269"/>
      <c r="JEH236" s="269"/>
      <c r="JEI236" s="269"/>
      <c r="JEJ236" s="269"/>
      <c r="JEK236" s="269"/>
      <c r="JEL236" s="269"/>
      <c r="JEM236" s="269"/>
      <c r="JEN236" s="269"/>
      <c r="JEO236" s="269"/>
      <c r="JEP236" s="269"/>
      <c r="JEQ236" s="269"/>
      <c r="JER236" s="269"/>
      <c r="JES236" s="269"/>
      <c r="JET236" s="269"/>
      <c r="JEU236" s="269"/>
      <c r="JEV236" s="269"/>
      <c r="JEW236" s="269"/>
      <c r="JEX236" s="269"/>
      <c r="JEY236" s="269"/>
      <c r="JEZ236" s="269"/>
      <c r="JFA236" s="269"/>
      <c r="JFB236" s="269"/>
      <c r="JFC236" s="269"/>
      <c r="JFD236" s="269"/>
      <c r="JFE236" s="269"/>
      <c r="JFF236" s="269"/>
      <c r="JFG236" s="269"/>
      <c r="JFH236" s="269"/>
      <c r="JFI236" s="269"/>
      <c r="JFJ236" s="269"/>
      <c r="JFK236" s="269"/>
      <c r="JFL236" s="269"/>
      <c r="JFM236" s="269"/>
      <c r="JFN236" s="269"/>
      <c r="JFO236" s="269"/>
      <c r="JFP236" s="269"/>
      <c r="JFQ236" s="269"/>
      <c r="JFR236" s="269"/>
      <c r="JFS236" s="269"/>
      <c r="JFT236" s="269"/>
      <c r="JFU236" s="269"/>
      <c r="JFV236" s="269"/>
      <c r="JFW236" s="269"/>
      <c r="JFX236" s="269"/>
      <c r="JFY236" s="269"/>
      <c r="JFZ236" s="269"/>
      <c r="JGA236" s="269"/>
      <c r="JGB236" s="269"/>
      <c r="JGC236" s="269"/>
      <c r="JGD236" s="269"/>
      <c r="JGE236" s="269"/>
      <c r="JGF236" s="269"/>
      <c r="JGG236" s="269"/>
      <c r="JGH236" s="269"/>
      <c r="JGI236" s="269"/>
      <c r="JGJ236" s="269"/>
      <c r="JGK236" s="269"/>
      <c r="JGL236" s="269"/>
      <c r="JGM236" s="269"/>
      <c r="JGN236" s="269"/>
      <c r="JGO236" s="269"/>
      <c r="JGP236" s="269"/>
      <c r="JGQ236" s="269"/>
      <c r="JGR236" s="269"/>
      <c r="JGS236" s="269"/>
      <c r="JGT236" s="269"/>
      <c r="JGU236" s="269"/>
      <c r="JGV236" s="269"/>
      <c r="JGW236" s="269"/>
      <c r="JGX236" s="269"/>
      <c r="JGY236" s="269"/>
      <c r="JGZ236" s="269"/>
      <c r="JHA236" s="269"/>
      <c r="JHB236" s="269"/>
      <c r="JHC236" s="269"/>
      <c r="JHD236" s="269"/>
      <c r="JHE236" s="269"/>
      <c r="JHF236" s="269"/>
      <c r="JHG236" s="269"/>
      <c r="JHH236" s="269"/>
      <c r="JHI236" s="269"/>
      <c r="JHJ236" s="269"/>
      <c r="JHK236" s="269"/>
      <c r="JHL236" s="269"/>
      <c r="JHM236" s="269"/>
      <c r="JHN236" s="269"/>
      <c r="JHO236" s="269"/>
      <c r="JHP236" s="269"/>
      <c r="JHQ236" s="269"/>
      <c r="JHR236" s="269"/>
      <c r="JHS236" s="269"/>
      <c r="JHT236" s="269"/>
      <c r="JHU236" s="269"/>
      <c r="JHV236" s="269"/>
      <c r="JHW236" s="269"/>
      <c r="JHX236" s="269"/>
      <c r="JHY236" s="269"/>
      <c r="JHZ236" s="269"/>
      <c r="JIA236" s="269"/>
      <c r="JIB236" s="269"/>
      <c r="JIC236" s="269"/>
      <c r="JID236" s="269"/>
      <c r="JIE236" s="269"/>
      <c r="JIF236" s="269"/>
      <c r="JIG236" s="269"/>
      <c r="JIH236" s="269"/>
      <c r="JII236" s="269"/>
      <c r="JIJ236" s="269"/>
      <c r="JIK236" s="269"/>
      <c r="JIL236" s="269"/>
      <c r="JIM236" s="269"/>
      <c r="JIN236" s="269"/>
      <c r="JIO236" s="269"/>
      <c r="JIP236" s="269"/>
      <c r="JIQ236" s="269"/>
      <c r="JIR236" s="269"/>
      <c r="JIS236" s="269"/>
      <c r="JIT236" s="269"/>
      <c r="JIU236" s="269"/>
      <c r="JIV236" s="269"/>
      <c r="JIW236" s="269"/>
      <c r="JIX236" s="269"/>
      <c r="JIY236" s="269"/>
      <c r="JIZ236" s="269"/>
      <c r="JJA236" s="269"/>
      <c r="JJB236" s="269"/>
      <c r="JJC236" s="269"/>
      <c r="JJD236" s="269"/>
      <c r="JJE236" s="269"/>
      <c r="JJF236" s="269"/>
      <c r="JJG236" s="269"/>
      <c r="JJH236" s="269"/>
      <c r="JJI236" s="269"/>
      <c r="JJJ236" s="269"/>
      <c r="JJK236" s="269"/>
      <c r="JJL236" s="269"/>
      <c r="JJM236" s="269"/>
      <c r="JJN236" s="269"/>
      <c r="JJO236" s="269"/>
      <c r="JJP236" s="269"/>
      <c r="JJQ236" s="269"/>
      <c r="JJR236" s="269"/>
      <c r="JJS236" s="269"/>
      <c r="JJT236" s="269"/>
      <c r="JJU236" s="269"/>
      <c r="JJV236" s="269"/>
      <c r="JJW236" s="269"/>
      <c r="JJX236" s="269"/>
      <c r="JJY236" s="269"/>
      <c r="JJZ236" s="269"/>
      <c r="JKA236" s="269"/>
      <c r="JKB236" s="269"/>
      <c r="JKC236" s="269"/>
      <c r="JKD236" s="269"/>
      <c r="JKE236" s="269"/>
      <c r="JKF236" s="269"/>
      <c r="JKG236" s="269"/>
      <c r="JKH236" s="269"/>
      <c r="JKI236" s="269"/>
      <c r="JKJ236" s="269"/>
      <c r="JKK236" s="269"/>
      <c r="JKL236" s="269"/>
      <c r="JKM236" s="269"/>
      <c r="JKN236" s="269"/>
      <c r="JKO236" s="269"/>
      <c r="JKP236" s="269"/>
      <c r="JKQ236" s="269"/>
      <c r="JKR236" s="269"/>
      <c r="JKS236" s="269"/>
      <c r="JKT236" s="269"/>
      <c r="JKU236" s="269"/>
      <c r="JKV236" s="269"/>
      <c r="JKW236" s="269"/>
      <c r="JKX236" s="269"/>
      <c r="JKY236" s="269"/>
      <c r="JKZ236" s="269"/>
      <c r="JLA236" s="269"/>
      <c r="JLB236" s="269"/>
      <c r="JLC236" s="269"/>
      <c r="JLD236" s="269"/>
      <c r="JLE236" s="269"/>
      <c r="JLF236" s="269"/>
      <c r="JLG236" s="269"/>
      <c r="JLH236" s="269"/>
      <c r="JLI236" s="269"/>
      <c r="JLJ236" s="269"/>
      <c r="JLK236" s="269"/>
      <c r="JLL236" s="269"/>
      <c r="JLM236" s="269"/>
      <c r="JLN236" s="269"/>
      <c r="JLO236" s="269"/>
      <c r="JLP236" s="269"/>
      <c r="JLQ236" s="269"/>
      <c r="JLR236" s="269"/>
      <c r="JLS236" s="269"/>
      <c r="JLT236" s="269"/>
      <c r="JLU236" s="269"/>
      <c r="JLV236" s="269"/>
      <c r="JLW236" s="269"/>
      <c r="JLX236" s="269"/>
      <c r="JLY236" s="269"/>
      <c r="JLZ236" s="269"/>
      <c r="JMA236" s="269"/>
      <c r="JMB236" s="269"/>
      <c r="JMC236" s="269"/>
      <c r="JMD236" s="269"/>
      <c r="JME236" s="269"/>
      <c r="JMF236" s="269"/>
      <c r="JMG236" s="269"/>
      <c r="JMH236" s="269"/>
      <c r="JMI236" s="269"/>
      <c r="JMJ236" s="269"/>
      <c r="JMK236" s="269"/>
      <c r="JML236" s="269"/>
      <c r="JMM236" s="269"/>
      <c r="JMN236" s="269"/>
      <c r="JMO236" s="269"/>
      <c r="JMP236" s="269"/>
      <c r="JMQ236" s="269"/>
      <c r="JMR236" s="269"/>
      <c r="JMS236" s="269"/>
      <c r="JMT236" s="269"/>
      <c r="JMU236" s="269"/>
      <c r="JMV236" s="269"/>
      <c r="JMW236" s="269"/>
      <c r="JMX236" s="269"/>
      <c r="JMY236" s="269"/>
      <c r="JMZ236" s="269"/>
      <c r="JNA236" s="269"/>
      <c r="JNB236" s="269"/>
      <c r="JNC236" s="269"/>
      <c r="JND236" s="269"/>
      <c r="JNE236" s="269"/>
      <c r="JNF236" s="269"/>
      <c r="JNG236" s="269"/>
      <c r="JNH236" s="269"/>
      <c r="JNI236" s="269"/>
      <c r="JNJ236" s="269"/>
      <c r="JNK236" s="269"/>
      <c r="JNL236" s="269"/>
      <c r="JNM236" s="269"/>
      <c r="JNN236" s="269"/>
      <c r="JNO236" s="269"/>
      <c r="JNP236" s="269"/>
      <c r="JNQ236" s="269"/>
      <c r="JNR236" s="269"/>
      <c r="JNS236" s="269"/>
      <c r="JNT236" s="269"/>
      <c r="JNU236" s="269"/>
      <c r="JNV236" s="269"/>
      <c r="JNW236" s="269"/>
      <c r="JNX236" s="269"/>
      <c r="JNY236" s="269"/>
      <c r="JNZ236" s="269"/>
      <c r="JOA236" s="269"/>
      <c r="JOB236" s="269"/>
      <c r="JOC236" s="269"/>
      <c r="JOD236" s="269"/>
      <c r="JOE236" s="269"/>
      <c r="JOF236" s="269"/>
      <c r="JOG236" s="269"/>
      <c r="JOH236" s="269"/>
      <c r="JOI236" s="269"/>
      <c r="JOJ236" s="269"/>
      <c r="JOK236" s="269"/>
      <c r="JOL236" s="269"/>
      <c r="JOM236" s="269"/>
      <c r="JON236" s="269"/>
      <c r="JOO236" s="269"/>
      <c r="JOP236" s="269"/>
      <c r="JOQ236" s="269"/>
      <c r="JOR236" s="269"/>
      <c r="JOS236" s="269"/>
      <c r="JOT236" s="269"/>
      <c r="JOU236" s="269"/>
      <c r="JOV236" s="269"/>
      <c r="JOW236" s="269"/>
      <c r="JOX236" s="269"/>
      <c r="JOY236" s="269"/>
      <c r="JOZ236" s="269"/>
      <c r="JPA236" s="269"/>
      <c r="JPB236" s="269"/>
      <c r="JPC236" s="269"/>
      <c r="JPD236" s="269"/>
      <c r="JPE236" s="269"/>
      <c r="JPF236" s="269"/>
      <c r="JPG236" s="269"/>
      <c r="JPH236" s="269"/>
      <c r="JPI236" s="269"/>
      <c r="JPJ236" s="269"/>
      <c r="JPK236" s="269"/>
      <c r="JPL236" s="269"/>
      <c r="JPM236" s="269"/>
      <c r="JPN236" s="269"/>
      <c r="JPO236" s="269"/>
      <c r="JPP236" s="269"/>
      <c r="JPQ236" s="269"/>
      <c r="JPR236" s="269"/>
      <c r="JPS236" s="269"/>
      <c r="JPT236" s="269"/>
      <c r="JPU236" s="269"/>
      <c r="JPV236" s="269"/>
      <c r="JPW236" s="269"/>
      <c r="JPX236" s="269"/>
      <c r="JPY236" s="269"/>
      <c r="JPZ236" s="269"/>
      <c r="JQA236" s="269"/>
      <c r="JQB236" s="269"/>
      <c r="JQC236" s="269"/>
      <c r="JQD236" s="269"/>
      <c r="JQE236" s="269"/>
      <c r="JQF236" s="269"/>
      <c r="JQG236" s="269"/>
      <c r="JQH236" s="269"/>
      <c r="JQI236" s="269"/>
      <c r="JQJ236" s="269"/>
      <c r="JQK236" s="269"/>
      <c r="JQL236" s="269"/>
      <c r="JQM236" s="269"/>
      <c r="JQN236" s="269"/>
      <c r="JQO236" s="269"/>
      <c r="JQP236" s="269"/>
      <c r="JQQ236" s="269"/>
      <c r="JQR236" s="269"/>
      <c r="JQS236" s="269"/>
      <c r="JQT236" s="269"/>
      <c r="JQU236" s="269"/>
      <c r="JQV236" s="269"/>
      <c r="JQW236" s="269"/>
      <c r="JQX236" s="269"/>
      <c r="JQY236" s="269"/>
      <c r="JQZ236" s="269"/>
      <c r="JRA236" s="269"/>
      <c r="JRB236" s="269"/>
      <c r="JRC236" s="269"/>
      <c r="JRD236" s="269"/>
      <c r="JRE236" s="269"/>
      <c r="JRF236" s="269"/>
      <c r="JRG236" s="269"/>
      <c r="JRH236" s="269"/>
      <c r="JRI236" s="269"/>
      <c r="JRJ236" s="269"/>
      <c r="JRK236" s="269"/>
      <c r="JRL236" s="269"/>
      <c r="JRM236" s="269"/>
      <c r="JRN236" s="269"/>
      <c r="JRO236" s="269"/>
      <c r="JRP236" s="269"/>
      <c r="JRQ236" s="269"/>
      <c r="JRR236" s="269"/>
      <c r="JRS236" s="269"/>
      <c r="JRT236" s="269"/>
      <c r="JRU236" s="269"/>
      <c r="JRV236" s="269"/>
      <c r="JRW236" s="269"/>
      <c r="JRX236" s="269"/>
      <c r="JRY236" s="269"/>
      <c r="JRZ236" s="269"/>
      <c r="JSA236" s="269"/>
      <c r="JSB236" s="269"/>
      <c r="JSC236" s="269"/>
      <c r="JSD236" s="269"/>
      <c r="JSE236" s="269"/>
      <c r="JSF236" s="269"/>
      <c r="JSG236" s="269"/>
      <c r="JSH236" s="269"/>
      <c r="JSI236" s="269"/>
      <c r="JSJ236" s="269"/>
      <c r="JSK236" s="269"/>
      <c r="JSL236" s="269"/>
      <c r="JSM236" s="269"/>
      <c r="JSN236" s="269"/>
      <c r="JSO236" s="269"/>
      <c r="JSP236" s="269"/>
      <c r="JSQ236" s="269"/>
      <c r="JSR236" s="269"/>
      <c r="JSS236" s="269"/>
      <c r="JST236" s="269"/>
      <c r="JSU236" s="269"/>
      <c r="JSV236" s="269"/>
      <c r="JSW236" s="269"/>
      <c r="JSX236" s="269"/>
      <c r="JSY236" s="269"/>
      <c r="JSZ236" s="269"/>
      <c r="JTA236" s="269"/>
      <c r="JTB236" s="269"/>
      <c r="JTC236" s="269"/>
      <c r="JTD236" s="269"/>
      <c r="JTE236" s="269"/>
      <c r="JTF236" s="269"/>
      <c r="JTG236" s="269"/>
      <c r="JTH236" s="269"/>
      <c r="JTI236" s="269"/>
      <c r="JTJ236" s="269"/>
      <c r="JTK236" s="269"/>
      <c r="JTL236" s="269"/>
      <c r="JTM236" s="269"/>
      <c r="JTN236" s="269"/>
      <c r="JTO236" s="269"/>
      <c r="JTP236" s="269"/>
      <c r="JTQ236" s="269"/>
      <c r="JTR236" s="269"/>
      <c r="JTS236" s="269"/>
      <c r="JTT236" s="269"/>
      <c r="JTU236" s="269"/>
      <c r="JTV236" s="269"/>
      <c r="JTW236" s="269"/>
      <c r="JTX236" s="269"/>
      <c r="JTY236" s="269"/>
      <c r="JTZ236" s="269"/>
      <c r="JUA236" s="269"/>
      <c r="JUB236" s="269"/>
      <c r="JUC236" s="269"/>
      <c r="JUD236" s="269"/>
      <c r="JUE236" s="269"/>
      <c r="JUF236" s="269"/>
      <c r="JUG236" s="269"/>
      <c r="JUH236" s="269"/>
      <c r="JUI236" s="269"/>
      <c r="JUJ236" s="269"/>
      <c r="JUK236" s="269"/>
      <c r="JUL236" s="269"/>
      <c r="JUM236" s="269"/>
      <c r="JUN236" s="269"/>
      <c r="JUO236" s="269"/>
      <c r="JUP236" s="269"/>
      <c r="JUQ236" s="269"/>
      <c r="JUR236" s="269"/>
      <c r="JUS236" s="269"/>
      <c r="JUT236" s="269"/>
      <c r="JUU236" s="269"/>
      <c r="JUV236" s="269"/>
      <c r="JUW236" s="269"/>
      <c r="JUX236" s="269"/>
      <c r="JUY236" s="269"/>
      <c r="JUZ236" s="269"/>
      <c r="JVA236" s="269"/>
      <c r="JVB236" s="269"/>
      <c r="JVC236" s="269"/>
      <c r="JVD236" s="269"/>
      <c r="JVE236" s="269"/>
      <c r="JVF236" s="269"/>
      <c r="JVG236" s="269"/>
      <c r="JVH236" s="269"/>
      <c r="JVI236" s="269"/>
      <c r="JVJ236" s="269"/>
      <c r="JVK236" s="269"/>
      <c r="JVL236" s="269"/>
      <c r="JVM236" s="269"/>
      <c r="JVN236" s="269"/>
      <c r="JVO236" s="269"/>
      <c r="JVP236" s="269"/>
      <c r="JVQ236" s="269"/>
      <c r="JVR236" s="269"/>
      <c r="JVS236" s="269"/>
      <c r="JVT236" s="269"/>
      <c r="JVU236" s="269"/>
      <c r="JVV236" s="269"/>
      <c r="JVW236" s="269"/>
      <c r="JVX236" s="269"/>
      <c r="JVY236" s="269"/>
      <c r="JVZ236" s="269"/>
      <c r="JWA236" s="269"/>
      <c r="JWB236" s="269"/>
      <c r="JWC236" s="269"/>
      <c r="JWD236" s="269"/>
      <c r="JWE236" s="269"/>
      <c r="JWF236" s="269"/>
      <c r="JWG236" s="269"/>
      <c r="JWH236" s="269"/>
      <c r="JWI236" s="269"/>
      <c r="JWJ236" s="269"/>
      <c r="JWK236" s="269"/>
      <c r="JWL236" s="269"/>
      <c r="JWM236" s="269"/>
      <c r="JWN236" s="269"/>
      <c r="JWO236" s="269"/>
      <c r="JWP236" s="269"/>
      <c r="JWQ236" s="269"/>
      <c r="JWR236" s="269"/>
      <c r="JWS236" s="269"/>
      <c r="JWT236" s="269"/>
      <c r="JWU236" s="269"/>
      <c r="JWV236" s="269"/>
      <c r="JWW236" s="269"/>
      <c r="JWX236" s="269"/>
      <c r="JWY236" s="269"/>
      <c r="JWZ236" s="269"/>
      <c r="JXA236" s="269"/>
      <c r="JXB236" s="269"/>
      <c r="JXC236" s="269"/>
      <c r="JXD236" s="269"/>
      <c r="JXE236" s="269"/>
      <c r="JXF236" s="269"/>
      <c r="JXG236" s="269"/>
      <c r="JXH236" s="269"/>
      <c r="JXI236" s="269"/>
      <c r="JXJ236" s="269"/>
      <c r="JXK236" s="269"/>
      <c r="JXL236" s="269"/>
      <c r="JXM236" s="269"/>
      <c r="JXN236" s="269"/>
      <c r="JXO236" s="269"/>
      <c r="JXP236" s="269"/>
      <c r="JXQ236" s="269"/>
      <c r="JXR236" s="269"/>
      <c r="JXS236" s="269"/>
      <c r="JXT236" s="269"/>
      <c r="JXU236" s="269"/>
      <c r="JXV236" s="269"/>
      <c r="JXW236" s="269"/>
      <c r="JXX236" s="269"/>
      <c r="JXY236" s="269"/>
      <c r="JXZ236" s="269"/>
      <c r="JYA236" s="269"/>
      <c r="JYB236" s="269"/>
      <c r="JYC236" s="269"/>
      <c r="JYD236" s="269"/>
      <c r="JYE236" s="269"/>
      <c r="JYF236" s="269"/>
      <c r="JYG236" s="269"/>
      <c r="JYH236" s="269"/>
      <c r="JYI236" s="269"/>
      <c r="JYJ236" s="269"/>
      <c r="JYK236" s="269"/>
      <c r="JYL236" s="269"/>
      <c r="JYM236" s="269"/>
      <c r="JYN236" s="269"/>
      <c r="JYO236" s="269"/>
      <c r="JYP236" s="269"/>
      <c r="JYQ236" s="269"/>
      <c r="JYR236" s="269"/>
      <c r="JYS236" s="269"/>
      <c r="JYT236" s="269"/>
      <c r="JYU236" s="269"/>
      <c r="JYV236" s="269"/>
      <c r="JYW236" s="269"/>
      <c r="JYX236" s="269"/>
      <c r="JYY236" s="269"/>
      <c r="JYZ236" s="269"/>
      <c r="JZA236" s="269"/>
      <c r="JZB236" s="269"/>
      <c r="JZC236" s="269"/>
      <c r="JZD236" s="269"/>
      <c r="JZE236" s="269"/>
      <c r="JZF236" s="269"/>
      <c r="JZG236" s="269"/>
      <c r="JZH236" s="269"/>
      <c r="JZI236" s="269"/>
      <c r="JZJ236" s="269"/>
      <c r="JZK236" s="269"/>
      <c r="JZL236" s="269"/>
      <c r="JZM236" s="269"/>
      <c r="JZN236" s="269"/>
      <c r="JZO236" s="269"/>
      <c r="JZP236" s="269"/>
      <c r="JZQ236" s="269"/>
      <c r="JZR236" s="269"/>
      <c r="JZS236" s="269"/>
      <c r="JZT236" s="269"/>
      <c r="JZU236" s="269"/>
      <c r="JZV236" s="269"/>
      <c r="JZW236" s="269"/>
      <c r="JZX236" s="269"/>
      <c r="JZY236" s="269"/>
      <c r="JZZ236" s="269"/>
      <c r="KAA236" s="269"/>
      <c r="KAB236" s="269"/>
      <c r="KAC236" s="269"/>
      <c r="KAD236" s="269"/>
      <c r="KAE236" s="269"/>
      <c r="KAF236" s="269"/>
      <c r="KAG236" s="269"/>
      <c r="KAH236" s="269"/>
      <c r="KAI236" s="269"/>
      <c r="KAJ236" s="269"/>
      <c r="KAK236" s="269"/>
      <c r="KAL236" s="269"/>
      <c r="KAM236" s="269"/>
      <c r="KAN236" s="269"/>
      <c r="KAO236" s="269"/>
      <c r="KAP236" s="269"/>
      <c r="KAQ236" s="269"/>
      <c r="KAR236" s="269"/>
      <c r="KAS236" s="269"/>
      <c r="KAT236" s="269"/>
      <c r="KAU236" s="269"/>
      <c r="KAV236" s="269"/>
      <c r="KAW236" s="269"/>
      <c r="KAX236" s="269"/>
      <c r="KAY236" s="269"/>
      <c r="KAZ236" s="269"/>
      <c r="KBA236" s="269"/>
      <c r="KBB236" s="269"/>
      <c r="KBC236" s="269"/>
      <c r="KBD236" s="269"/>
      <c r="KBE236" s="269"/>
      <c r="KBF236" s="269"/>
      <c r="KBG236" s="269"/>
      <c r="KBH236" s="269"/>
      <c r="KBI236" s="269"/>
      <c r="KBJ236" s="269"/>
      <c r="KBK236" s="269"/>
      <c r="KBL236" s="269"/>
      <c r="KBM236" s="269"/>
      <c r="KBN236" s="269"/>
      <c r="KBO236" s="269"/>
      <c r="KBP236" s="269"/>
      <c r="KBQ236" s="269"/>
      <c r="KBR236" s="269"/>
      <c r="KBS236" s="269"/>
      <c r="KBT236" s="269"/>
      <c r="KBU236" s="269"/>
      <c r="KBV236" s="269"/>
      <c r="KBW236" s="269"/>
      <c r="KBX236" s="269"/>
      <c r="KBY236" s="269"/>
      <c r="KBZ236" s="269"/>
      <c r="KCA236" s="269"/>
      <c r="KCB236" s="269"/>
      <c r="KCC236" s="269"/>
      <c r="KCD236" s="269"/>
      <c r="KCE236" s="269"/>
      <c r="KCF236" s="269"/>
      <c r="KCG236" s="269"/>
      <c r="KCH236" s="269"/>
      <c r="KCI236" s="269"/>
      <c r="KCJ236" s="269"/>
      <c r="KCK236" s="269"/>
      <c r="KCL236" s="269"/>
      <c r="KCM236" s="269"/>
      <c r="KCN236" s="269"/>
      <c r="KCO236" s="269"/>
      <c r="KCP236" s="269"/>
      <c r="KCQ236" s="269"/>
      <c r="KCR236" s="269"/>
      <c r="KCS236" s="269"/>
      <c r="KCT236" s="269"/>
      <c r="KCU236" s="269"/>
      <c r="KCV236" s="269"/>
      <c r="KCW236" s="269"/>
      <c r="KCX236" s="269"/>
      <c r="KCY236" s="269"/>
      <c r="KCZ236" s="269"/>
      <c r="KDA236" s="269"/>
      <c r="KDB236" s="269"/>
      <c r="KDC236" s="269"/>
      <c r="KDD236" s="269"/>
      <c r="KDE236" s="269"/>
      <c r="KDF236" s="269"/>
      <c r="KDG236" s="269"/>
      <c r="KDH236" s="269"/>
      <c r="KDI236" s="269"/>
      <c r="KDJ236" s="269"/>
      <c r="KDK236" s="269"/>
      <c r="KDL236" s="269"/>
      <c r="KDM236" s="269"/>
      <c r="KDN236" s="269"/>
      <c r="KDO236" s="269"/>
      <c r="KDP236" s="269"/>
      <c r="KDQ236" s="269"/>
      <c r="KDR236" s="269"/>
      <c r="KDS236" s="269"/>
      <c r="KDT236" s="269"/>
      <c r="KDU236" s="269"/>
      <c r="KDV236" s="269"/>
      <c r="KDW236" s="269"/>
      <c r="KDX236" s="269"/>
      <c r="KDY236" s="269"/>
      <c r="KDZ236" s="269"/>
      <c r="KEA236" s="269"/>
      <c r="KEB236" s="269"/>
      <c r="KEC236" s="269"/>
      <c r="KED236" s="269"/>
      <c r="KEE236" s="269"/>
      <c r="KEF236" s="269"/>
      <c r="KEG236" s="269"/>
      <c r="KEH236" s="269"/>
      <c r="KEI236" s="269"/>
      <c r="KEJ236" s="269"/>
      <c r="KEK236" s="269"/>
      <c r="KEL236" s="269"/>
      <c r="KEM236" s="269"/>
      <c r="KEN236" s="269"/>
      <c r="KEO236" s="269"/>
      <c r="KEP236" s="269"/>
      <c r="KEQ236" s="269"/>
      <c r="KER236" s="269"/>
      <c r="KES236" s="269"/>
      <c r="KET236" s="269"/>
      <c r="KEU236" s="269"/>
      <c r="KEV236" s="269"/>
      <c r="KEW236" s="269"/>
      <c r="KEX236" s="269"/>
      <c r="KEY236" s="269"/>
      <c r="KEZ236" s="269"/>
      <c r="KFA236" s="269"/>
      <c r="KFB236" s="269"/>
      <c r="KFC236" s="269"/>
      <c r="KFD236" s="269"/>
      <c r="KFE236" s="269"/>
      <c r="KFF236" s="269"/>
      <c r="KFG236" s="269"/>
      <c r="KFH236" s="269"/>
      <c r="KFI236" s="269"/>
      <c r="KFJ236" s="269"/>
      <c r="KFK236" s="269"/>
      <c r="KFL236" s="269"/>
      <c r="KFM236" s="269"/>
      <c r="KFN236" s="269"/>
      <c r="KFO236" s="269"/>
      <c r="KFP236" s="269"/>
      <c r="KFQ236" s="269"/>
      <c r="KFR236" s="269"/>
      <c r="KFS236" s="269"/>
      <c r="KFT236" s="269"/>
      <c r="KFU236" s="269"/>
      <c r="KFV236" s="269"/>
      <c r="KFW236" s="269"/>
      <c r="KFX236" s="269"/>
      <c r="KFY236" s="269"/>
      <c r="KFZ236" s="269"/>
      <c r="KGA236" s="269"/>
      <c r="KGB236" s="269"/>
      <c r="KGC236" s="269"/>
      <c r="KGD236" s="269"/>
      <c r="KGE236" s="269"/>
      <c r="KGF236" s="269"/>
      <c r="KGG236" s="269"/>
      <c r="KGH236" s="269"/>
      <c r="KGI236" s="269"/>
      <c r="KGJ236" s="269"/>
      <c r="KGK236" s="269"/>
      <c r="KGL236" s="269"/>
      <c r="KGM236" s="269"/>
      <c r="KGN236" s="269"/>
      <c r="KGO236" s="269"/>
      <c r="KGP236" s="269"/>
      <c r="KGQ236" s="269"/>
      <c r="KGR236" s="269"/>
      <c r="KGS236" s="269"/>
      <c r="KGT236" s="269"/>
      <c r="KGU236" s="269"/>
      <c r="KGV236" s="269"/>
      <c r="KGW236" s="269"/>
      <c r="KGX236" s="269"/>
      <c r="KGY236" s="269"/>
      <c r="KGZ236" s="269"/>
      <c r="KHA236" s="269"/>
      <c r="KHB236" s="269"/>
      <c r="KHC236" s="269"/>
      <c r="KHD236" s="269"/>
      <c r="KHE236" s="269"/>
      <c r="KHF236" s="269"/>
      <c r="KHG236" s="269"/>
      <c r="KHH236" s="269"/>
      <c r="KHI236" s="269"/>
      <c r="KHJ236" s="269"/>
      <c r="KHK236" s="269"/>
      <c r="KHL236" s="269"/>
      <c r="KHM236" s="269"/>
      <c r="KHN236" s="269"/>
      <c r="KHO236" s="269"/>
      <c r="KHP236" s="269"/>
      <c r="KHQ236" s="269"/>
      <c r="KHR236" s="269"/>
      <c r="KHS236" s="269"/>
      <c r="KHT236" s="269"/>
      <c r="KHU236" s="269"/>
      <c r="KHV236" s="269"/>
      <c r="KHW236" s="269"/>
      <c r="KHX236" s="269"/>
      <c r="KHY236" s="269"/>
      <c r="KHZ236" s="269"/>
      <c r="KIA236" s="269"/>
      <c r="KIB236" s="269"/>
      <c r="KIC236" s="269"/>
      <c r="KID236" s="269"/>
      <c r="KIE236" s="269"/>
      <c r="KIF236" s="269"/>
      <c r="KIG236" s="269"/>
      <c r="KIH236" s="269"/>
      <c r="KII236" s="269"/>
      <c r="KIJ236" s="269"/>
      <c r="KIK236" s="269"/>
      <c r="KIL236" s="269"/>
      <c r="KIM236" s="269"/>
      <c r="KIN236" s="269"/>
      <c r="KIO236" s="269"/>
      <c r="KIP236" s="269"/>
      <c r="KIQ236" s="269"/>
      <c r="KIR236" s="269"/>
      <c r="KIS236" s="269"/>
      <c r="KIT236" s="269"/>
      <c r="KIU236" s="269"/>
      <c r="KIV236" s="269"/>
      <c r="KIW236" s="269"/>
      <c r="KIX236" s="269"/>
      <c r="KIY236" s="269"/>
      <c r="KIZ236" s="269"/>
      <c r="KJA236" s="269"/>
      <c r="KJB236" s="269"/>
      <c r="KJC236" s="269"/>
      <c r="KJD236" s="269"/>
      <c r="KJE236" s="269"/>
      <c r="KJF236" s="269"/>
      <c r="KJG236" s="269"/>
      <c r="KJH236" s="269"/>
      <c r="KJI236" s="269"/>
      <c r="KJJ236" s="269"/>
      <c r="KJK236" s="269"/>
      <c r="KJL236" s="269"/>
      <c r="KJM236" s="269"/>
      <c r="KJN236" s="269"/>
      <c r="KJO236" s="269"/>
      <c r="KJP236" s="269"/>
      <c r="KJQ236" s="269"/>
      <c r="KJR236" s="269"/>
      <c r="KJS236" s="269"/>
      <c r="KJT236" s="269"/>
      <c r="KJU236" s="269"/>
      <c r="KJV236" s="269"/>
      <c r="KJW236" s="269"/>
      <c r="KJX236" s="269"/>
      <c r="KJY236" s="269"/>
      <c r="KJZ236" s="269"/>
      <c r="KKA236" s="269"/>
      <c r="KKB236" s="269"/>
      <c r="KKC236" s="269"/>
      <c r="KKD236" s="269"/>
      <c r="KKE236" s="269"/>
      <c r="KKF236" s="269"/>
      <c r="KKG236" s="269"/>
      <c r="KKH236" s="269"/>
      <c r="KKI236" s="269"/>
      <c r="KKJ236" s="269"/>
      <c r="KKK236" s="269"/>
      <c r="KKL236" s="269"/>
      <c r="KKM236" s="269"/>
      <c r="KKN236" s="269"/>
      <c r="KKO236" s="269"/>
      <c r="KKP236" s="269"/>
      <c r="KKQ236" s="269"/>
      <c r="KKR236" s="269"/>
      <c r="KKS236" s="269"/>
      <c r="KKT236" s="269"/>
      <c r="KKU236" s="269"/>
      <c r="KKV236" s="269"/>
      <c r="KKW236" s="269"/>
      <c r="KKX236" s="269"/>
      <c r="KKY236" s="269"/>
      <c r="KKZ236" s="269"/>
      <c r="KLA236" s="269"/>
      <c r="KLB236" s="269"/>
      <c r="KLC236" s="269"/>
      <c r="KLD236" s="269"/>
      <c r="KLE236" s="269"/>
      <c r="KLF236" s="269"/>
      <c r="KLG236" s="269"/>
      <c r="KLH236" s="269"/>
      <c r="KLI236" s="269"/>
      <c r="KLJ236" s="269"/>
      <c r="KLK236" s="269"/>
      <c r="KLL236" s="269"/>
      <c r="KLM236" s="269"/>
      <c r="KLN236" s="269"/>
      <c r="KLO236" s="269"/>
      <c r="KLP236" s="269"/>
      <c r="KLQ236" s="269"/>
      <c r="KLR236" s="269"/>
      <c r="KLS236" s="269"/>
      <c r="KLT236" s="269"/>
      <c r="KLU236" s="269"/>
      <c r="KLV236" s="269"/>
      <c r="KLW236" s="269"/>
      <c r="KLX236" s="269"/>
      <c r="KLY236" s="269"/>
      <c r="KLZ236" s="269"/>
      <c r="KMA236" s="269"/>
      <c r="KMB236" s="269"/>
      <c r="KMC236" s="269"/>
      <c r="KMD236" s="269"/>
      <c r="KME236" s="269"/>
      <c r="KMF236" s="269"/>
      <c r="KMG236" s="269"/>
      <c r="KMH236" s="269"/>
      <c r="KMI236" s="269"/>
      <c r="KMJ236" s="269"/>
      <c r="KMK236" s="269"/>
      <c r="KML236" s="269"/>
      <c r="KMM236" s="269"/>
      <c r="KMN236" s="269"/>
      <c r="KMO236" s="269"/>
      <c r="KMP236" s="269"/>
      <c r="KMQ236" s="269"/>
      <c r="KMR236" s="269"/>
      <c r="KMS236" s="269"/>
      <c r="KMT236" s="269"/>
      <c r="KMU236" s="269"/>
      <c r="KMV236" s="269"/>
      <c r="KMW236" s="269"/>
      <c r="KMX236" s="269"/>
      <c r="KMY236" s="269"/>
      <c r="KMZ236" s="269"/>
      <c r="KNA236" s="269"/>
      <c r="KNB236" s="269"/>
      <c r="KNC236" s="269"/>
      <c r="KND236" s="269"/>
      <c r="KNE236" s="269"/>
      <c r="KNF236" s="269"/>
      <c r="KNG236" s="269"/>
      <c r="KNH236" s="269"/>
      <c r="KNI236" s="269"/>
      <c r="KNJ236" s="269"/>
      <c r="KNK236" s="269"/>
      <c r="KNL236" s="269"/>
      <c r="KNM236" s="269"/>
      <c r="KNN236" s="269"/>
      <c r="KNO236" s="269"/>
      <c r="KNP236" s="269"/>
      <c r="KNQ236" s="269"/>
      <c r="KNR236" s="269"/>
      <c r="KNS236" s="269"/>
      <c r="KNT236" s="269"/>
      <c r="KNU236" s="269"/>
      <c r="KNV236" s="269"/>
      <c r="KNW236" s="269"/>
      <c r="KNX236" s="269"/>
      <c r="KNY236" s="269"/>
      <c r="KNZ236" s="269"/>
      <c r="KOA236" s="269"/>
      <c r="KOB236" s="269"/>
      <c r="KOC236" s="269"/>
      <c r="KOD236" s="269"/>
      <c r="KOE236" s="269"/>
      <c r="KOF236" s="269"/>
      <c r="KOG236" s="269"/>
      <c r="KOH236" s="269"/>
      <c r="KOI236" s="269"/>
      <c r="KOJ236" s="269"/>
      <c r="KOK236" s="269"/>
      <c r="KOL236" s="269"/>
      <c r="KOM236" s="269"/>
      <c r="KON236" s="269"/>
      <c r="KOO236" s="269"/>
      <c r="KOP236" s="269"/>
      <c r="KOQ236" s="269"/>
      <c r="KOR236" s="269"/>
      <c r="KOS236" s="269"/>
      <c r="KOT236" s="269"/>
      <c r="KOU236" s="269"/>
      <c r="KOV236" s="269"/>
      <c r="KOW236" s="269"/>
      <c r="KOX236" s="269"/>
      <c r="KOY236" s="269"/>
      <c r="KOZ236" s="269"/>
      <c r="KPA236" s="269"/>
      <c r="KPB236" s="269"/>
      <c r="KPC236" s="269"/>
      <c r="KPD236" s="269"/>
      <c r="KPE236" s="269"/>
      <c r="KPF236" s="269"/>
      <c r="KPG236" s="269"/>
      <c r="KPH236" s="269"/>
      <c r="KPI236" s="269"/>
      <c r="KPJ236" s="269"/>
      <c r="KPK236" s="269"/>
      <c r="KPL236" s="269"/>
      <c r="KPM236" s="269"/>
      <c r="KPN236" s="269"/>
      <c r="KPO236" s="269"/>
      <c r="KPP236" s="269"/>
      <c r="KPQ236" s="269"/>
      <c r="KPR236" s="269"/>
      <c r="KPS236" s="269"/>
      <c r="KPT236" s="269"/>
      <c r="KPU236" s="269"/>
      <c r="KPV236" s="269"/>
      <c r="KPW236" s="269"/>
      <c r="KPX236" s="269"/>
      <c r="KPY236" s="269"/>
      <c r="KPZ236" s="269"/>
      <c r="KQA236" s="269"/>
      <c r="KQB236" s="269"/>
      <c r="KQC236" s="269"/>
      <c r="KQD236" s="269"/>
      <c r="KQE236" s="269"/>
      <c r="KQF236" s="269"/>
      <c r="KQG236" s="269"/>
      <c r="KQH236" s="269"/>
      <c r="KQI236" s="269"/>
      <c r="KQJ236" s="269"/>
      <c r="KQK236" s="269"/>
      <c r="KQL236" s="269"/>
      <c r="KQM236" s="269"/>
      <c r="KQN236" s="269"/>
      <c r="KQO236" s="269"/>
      <c r="KQP236" s="269"/>
      <c r="KQQ236" s="269"/>
      <c r="KQR236" s="269"/>
      <c r="KQS236" s="269"/>
      <c r="KQT236" s="269"/>
      <c r="KQU236" s="269"/>
      <c r="KQV236" s="269"/>
      <c r="KQW236" s="269"/>
      <c r="KQX236" s="269"/>
      <c r="KQY236" s="269"/>
      <c r="KQZ236" s="269"/>
      <c r="KRA236" s="269"/>
      <c r="KRB236" s="269"/>
      <c r="KRC236" s="269"/>
      <c r="KRD236" s="269"/>
      <c r="KRE236" s="269"/>
      <c r="KRF236" s="269"/>
      <c r="KRG236" s="269"/>
      <c r="KRH236" s="269"/>
      <c r="KRI236" s="269"/>
      <c r="KRJ236" s="269"/>
      <c r="KRK236" s="269"/>
      <c r="KRL236" s="269"/>
      <c r="KRM236" s="269"/>
      <c r="KRN236" s="269"/>
      <c r="KRO236" s="269"/>
      <c r="KRP236" s="269"/>
      <c r="KRQ236" s="269"/>
      <c r="KRR236" s="269"/>
      <c r="KRS236" s="269"/>
      <c r="KRT236" s="269"/>
      <c r="KRU236" s="269"/>
      <c r="KRV236" s="269"/>
      <c r="KRW236" s="269"/>
      <c r="KRX236" s="269"/>
      <c r="KRY236" s="269"/>
      <c r="KRZ236" s="269"/>
      <c r="KSA236" s="269"/>
      <c r="KSB236" s="269"/>
      <c r="KSC236" s="269"/>
      <c r="KSD236" s="269"/>
      <c r="KSE236" s="269"/>
      <c r="KSF236" s="269"/>
      <c r="KSG236" s="269"/>
      <c r="KSH236" s="269"/>
      <c r="KSI236" s="269"/>
      <c r="KSJ236" s="269"/>
      <c r="KSK236" s="269"/>
      <c r="KSL236" s="269"/>
      <c r="KSM236" s="269"/>
      <c r="KSN236" s="269"/>
      <c r="KSO236" s="269"/>
      <c r="KSP236" s="269"/>
      <c r="KSQ236" s="269"/>
      <c r="KSR236" s="269"/>
      <c r="KSS236" s="269"/>
      <c r="KST236" s="269"/>
      <c r="KSU236" s="269"/>
      <c r="KSV236" s="269"/>
      <c r="KSW236" s="269"/>
      <c r="KSX236" s="269"/>
      <c r="KSY236" s="269"/>
      <c r="KSZ236" s="269"/>
      <c r="KTA236" s="269"/>
      <c r="KTB236" s="269"/>
      <c r="KTC236" s="269"/>
      <c r="KTD236" s="269"/>
      <c r="KTE236" s="269"/>
      <c r="KTF236" s="269"/>
      <c r="KTG236" s="269"/>
      <c r="KTH236" s="269"/>
      <c r="KTI236" s="269"/>
      <c r="KTJ236" s="269"/>
      <c r="KTK236" s="269"/>
      <c r="KTL236" s="269"/>
      <c r="KTM236" s="269"/>
      <c r="KTN236" s="269"/>
      <c r="KTO236" s="269"/>
      <c r="KTP236" s="269"/>
      <c r="KTQ236" s="269"/>
      <c r="KTR236" s="269"/>
      <c r="KTS236" s="269"/>
      <c r="KTT236" s="269"/>
      <c r="KTU236" s="269"/>
      <c r="KTV236" s="269"/>
      <c r="KTW236" s="269"/>
      <c r="KTX236" s="269"/>
      <c r="KTY236" s="269"/>
      <c r="KTZ236" s="269"/>
      <c r="KUA236" s="269"/>
      <c r="KUB236" s="269"/>
      <c r="KUC236" s="269"/>
      <c r="KUD236" s="269"/>
      <c r="KUE236" s="269"/>
      <c r="KUF236" s="269"/>
      <c r="KUG236" s="269"/>
      <c r="KUH236" s="269"/>
      <c r="KUI236" s="269"/>
      <c r="KUJ236" s="269"/>
      <c r="KUK236" s="269"/>
      <c r="KUL236" s="269"/>
      <c r="KUM236" s="269"/>
      <c r="KUN236" s="269"/>
      <c r="KUO236" s="269"/>
      <c r="KUP236" s="269"/>
      <c r="KUQ236" s="269"/>
      <c r="KUR236" s="269"/>
      <c r="KUS236" s="269"/>
      <c r="KUT236" s="269"/>
      <c r="KUU236" s="269"/>
      <c r="KUV236" s="269"/>
      <c r="KUW236" s="269"/>
      <c r="KUX236" s="269"/>
      <c r="KUY236" s="269"/>
      <c r="KUZ236" s="269"/>
      <c r="KVA236" s="269"/>
      <c r="KVB236" s="269"/>
      <c r="KVC236" s="269"/>
      <c r="KVD236" s="269"/>
      <c r="KVE236" s="269"/>
      <c r="KVF236" s="269"/>
      <c r="KVG236" s="269"/>
      <c r="KVH236" s="269"/>
      <c r="KVI236" s="269"/>
      <c r="KVJ236" s="269"/>
      <c r="KVK236" s="269"/>
      <c r="KVL236" s="269"/>
      <c r="KVM236" s="269"/>
      <c r="KVN236" s="269"/>
      <c r="KVO236" s="269"/>
      <c r="KVP236" s="269"/>
      <c r="KVQ236" s="269"/>
      <c r="KVR236" s="269"/>
      <c r="KVS236" s="269"/>
      <c r="KVT236" s="269"/>
      <c r="KVU236" s="269"/>
      <c r="KVV236" s="269"/>
      <c r="KVW236" s="269"/>
      <c r="KVX236" s="269"/>
      <c r="KVY236" s="269"/>
      <c r="KVZ236" s="269"/>
      <c r="KWA236" s="269"/>
      <c r="KWB236" s="269"/>
      <c r="KWC236" s="269"/>
      <c r="KWD236" s="269"/>
      <c r="KWE236" s="269"/>
      <c r="KWF236" s="269"/>
      <c r="KWG236" s="269"/>
      <c r="KWH236" s="269"/>
      <c r="KWI236" s="269"/>
      <c r="KWJ236" s="269"/>
      <c r="KWK236" s="269"/>
      <c r="KWL236" s="269"/>
      <c r="KWM236" s="269"/>
      <c r="KWN236" s="269"/>
      <c r="KWO236" s="269"/>
      <c r="KWP236" s="269"/>
      <c r="KWQ236" s="269"/>
      <c r="KWR236" s="269"/>
      <c r="KWS236" s="269"/>
      <c r="KWT236" s="269"/>
      <c r="KWU236" s="269"/>
      <c r="KWV236" s="269"/>
      <c r="KWW236" s="269"/>
      <c r="KWX236" s="269"/>
      <c r="KWY236" s="269"/>
      <c r="KWZ236" s="269"/>
      <c r="KXA236" s="269"/>
      <c r="KXB236" s="269"/>
      <c r="KXC236" s="269"/>
      <c r="KXD236" s="269"/>
      <c r="KXE236" s="269"/>
      <c r="KXF236" s="269"/>
      <c r="KXG236" s="269"/>
      <c r="KXH236" s="269"/>
      <c r="KXI236" s="269"/>
      <c r="KXJ236" s="269"/>
      <c r="KXK236" s="269"/>
      <c r="KXL236" s="269"/>
      <c r="KXM236" s="269"/>
      <c r="KXN236" s="269"/>
      <c r="KXO236" s="269"/>
      <c r="KXP236" s="269"/>
      <c r="KXQ236" s="269"/>
      <c r="KXR236" s="269"/>
      <c r="KXS236" s="269"/>
      <c r="KXT236" s="269"/>
      <c r="KXU236" s="269"/>
      <c r="KXV236" s="269"/>
      <c r="KXW236" s="269"/>
      <c r="KXX236" s="269"/>
      <c r="KXY236" s="269"/>
      <c r="KXZ236" s="269"/>
      <c r="KYA236" s="269"/>
      <c r="KYB236" s="269"/>
      <c r="KYC236" s="269"/>
      <c r="KYD236" s="269"/>
      <c r="KYE236" s="269"/>
      <c r="KYF236" s="269"/>
      <c r="KYG236" s="269"/>
      <c r="KYH236" s="269"/>
      <c r="KYI236" s="269"/>
      <c r="KYJ236" s="269"/>
      <c r="KYK236" s="269"/>
      <c r="KYL236" s="269"/>
      <c r="KYM236" s="269"/>
      <c r="KYN236" s="269"/>
      <c r="KYO236" s="269"/>
      <c r="KYP236" s="269"/>
      <c r="KYQ236" s="269"/>
      <c r="KYR236" s="269"/>
      <c r="KYS236" s="269"/>
      <c r="KYT236" s="269"/>
      <c r="KYU236" s="269"/>
      <c r="KYV236" s="269"/>
      <c r="KYW236" s="269"/>
      <c r="KYX236" s="269"/>
      <c r="KYY236" s="269"/>
      <c r="KYZ236" s="269"/>
      <c r="KZA236" s="269"/>
      <c r="KZB236" s="269"/>
      <c r="KZC236" s="269"/>
      <c r="KZD236" s="269"/>
      <c r="KZE236" s="269"/>
      <c r="KZF236" s="269"/>
      <c r="KZG236" s="269"/>
      <c r="KZH236" s="269"/>
      <c r="KZI236" s="269"/>
      <c r="KZJ236" s="269"/>
      <c r="KZK236" s="269"/>
      <c r="KZL236" s="269"/>
      <c r="KZM236" s="269"/>
      <c r="KZN236" s="269"/>
      <c r="KZO236" s="269"/>
      <c r="KZP236" s="269"/>
      <c r="KZQ236" s="269"/>
      <c r="KZR236" s="269"/>
      <c r="KZS236" s="269"/>
      <c r="KZT236" s="269"/>
      <c r="KZU236" s="269"/>
      <c r="KZV236" s="269"/>
      <c r="KZW236" s="269"/>
      <c r="KZX236" s="269"/>
      <c r="KZY236" s="269"/>
      <c r="KZZ236" s="269"/>
      <c r="LAA236" s="269"/>
      <c r="LAB236" s="269"/>
      <c r="LAC236" s="269"/>
      <c r="LAD236" s="269"/>
      <c r="LAE236" s="269"/>
      <c r="LAF236" s="269"/>
      <c r="LAG236" s="269"/>
      <c r="LAH236" s="269"/>
      <c r="LAI236" s="269"/>
      <c r="LAJ236" s="269"/>
      <c r="LAK236" s="269"/>
      <c r="LAL236" s="269"/>
      <c r="LAM236" s="269"/>
      <c r="LAN236" s="269"/>
      <c r="LAO236" s="269"/>
      <c r="LAP236" s="269"/>
      <c r="LAQ236" s="269"/>
      <c r="LAR236" s="269"/>
      <c r="LAS236" s="269"/>
      <c r="LAT236" s="269"/>
      <c r="LAU236" s="269"/>
      <c r="LAV236" s="269"/>
      <c r="LAW236" s="269"/>
      <c r="LAX236" s="269"/>
      <c r="LAY236" s="269"/>
      <c r="LAZ236" s="269"/>
      <c r="LBA236" s="269"/>
      <c r="LBB236" s="269"/>
      <c r="LBC236" s="269"/>
      <c r="LBD236" s="269"/>
      <c r="LBE236" s="269"/>
      <c r="LBF236" s="269"/>
      <c r="LBG236" s="269"/>
      <c r="LBH236" s="269"/>
      <c r="LBI236" s="269"/>
      <c r="LBJ236" s="269"/>
      <c r="LBK236" s="269"/>
      <c r="LBL236" s="269"/>
      <c r="LBM236" s="269"/>
      <c r="LBN236" s="269"/>
      <c r="LBO236" s="269"/>
      <c r="LBP236" s="269"/>
      <c r="LBQ236" s="269"/>
      <c r="LBR236" s="269"/>
      <c r="LBS236" s="269"/>
      <c r="LBT236" s="269"/>
      <c r="LBU236" s="269"/>
      <c r="LBV236" s="269"/>
      <c r="LBW236" s="269"/>
      <c r="LBX236" s="269"/>
      <c r="LBY236" s="269"/>
      <c r="LBZ236" s="269"/>
      <c r="LCA236" s="269"/>
      <c r="LCB236" s="269"/>
      <c r="LCC236" s="269"/>
      <c r="LCD236" s="269"/>
      <c r="LCE236" s="269"/>
      <c r="LCF236" s="269"/>
      <c r="LCG236" s="269"/>
      <c r="LCH236" s="269"/>
      <c r="LCI236" s="269"/>
      <c r="LCJ236" s="269"/>
      <c r="LCK236" s="269"/>
      <c r="LCL236" s="269"/>
      <c r="LCM236" s="269"/>
      <c r="LCN236" s="269"/>
      <c r="LCO236" s="269"/>
      <c r="LCP236" s="269"/>
      <c r="LCQ236" s="269"/>
      <c r="LCR236" s="269"/>
      <c r="LCS236" s="269"/>
      <c r="LCT236" s="269"/>
      <c r="LCU236" s="269"/>
      <c r="LCV236" s="269"/>
      <c r="LCW236" s="269"/>
      <c r="LCX236" s="269"/>
      <c r="LCY236" s="269"/>
      <c r="LCZ236" s="269"/>
      <c r="LDA236" s="269"/>
      <c r="LDB236" s="269"/>
      <c r="LDC236" s="269"/>
      <c r="LDD236" s="269"/>
      <c r="LDE236" s="269"/>
      <c r="LDF236" s="269"/>
      <c r="LDG236" s="269"/>
      <c r="LDH236" s="269"/>
      <c r="LDI236" s="269"/>
      <c r="LDJ236" s="269"/>
      <c r="LDK236" s="269"/>
      <c r="LDL236" s="269"/>
      <c r="LDM236" s="269"/>
      <c r="LDN236" s="269"/>
      <c r="LDO236" s="269"/>
      <c r="LDP236" s="269"/>
      <c r="LDQ236" s="269"/>
      <c r="LDR236" s="269"/>
      <c r="LDS236" s="269"/>
      <c r="LDT236" s="269"/>
      <c r="LDU236" s="269"/>
      <c r="LDV236" s="269"/>
      <c r="LDW236" s="269"/>
      <c r="LDX236" s="269"/>
      <c r="LDY236" s="269"/>
      <c r="LDZ236" s="269"/>
      <c r="LEA236" s="269"/>
      <c r="LEB236" s="269"/>
      <c r="LEC236" s="269"/>
      <c r="LED236" s="269"/>
      <c r="LEE236" s="269"/>
      <c r="LEF236" s="269"/>
      <c r="LEG236" s="269"/>
      <c r="LEH236" s="269"/>
      <c r="LEI236" s="269"/>
      <c r="LEJ236" s="269"/>
      <c r="LEK236" s="269"/>
      <c r="LEL236" s="269"/>
      <c r="LEM236" s="269"/>
      <c r="LEN236" s="269"/>
      <c r="LEO236" s="269"/>
      <c r="LEP236" s="269"/>
      <c r="LEQ236" s="269"/>
      <c r="LER236" s="269"/>
      <c r="LES236" s="269"/>
      <c r="LET236" s="269"/>
      <c r="LEU236" s="269"/>
      <c r="LEV236" s="269"/>
      <c r="LEW236" s="269"/>
      <c r="LEX236" s="269"/>
      <c r="LEY236" s="269"/>
      <c r="LEZ236" s="269"/>
      <c r="LFA236" s="269"/>
      <c r="LFB236" s="269"/>
      <c r="LFC236" s="269"/>
      <c r="LFD236" s="269"/>
      <c r="LFE236" s="269"/>
      <c r="LFF236" s="269"/>
      <c r="LFG236" s="269"/>
      <c r="LFH236" s="269"/>
      <c r="LFI236" s="269"/>
      <c r="LFJ236" s="269"/>
      <c r="LFK236" s="269"/>
      <c r="LFL236" s="269"/>
      <c r="LFM236" s="269"/>
      <c r="LFN236" s="269"/>
      <c r="LFO236" s="269"/>
      <c r="LFP236" s="269"/>
      <c r="LFQ236" s="269"/>
      <c r="LFR236" s="269"/>
      <c r="LFS236" s="269"/>
      <c r="LFT236" s="269"/>
      <c r="LFU236" s="269"/>
      <c r="LFV236" s="269"/>
      <c r="LFW236" s="269"/>
      <c r="LFX236" s="269"/>
      <c r="LFY236" s="269"/>
      <c r="LFZ236" s="269"/>
      <c r="LGA236" s="269"/>
      <c r="LGB236" s="269"/>
      <c r="LGC236" s="269"/>
      <c r="LGD236" s="269"/>
      <c r="LGE236" s="269"/>
      <c r="LGF236" s="269"/>
      <c r="LGG236" s="269"/>
      <c r="LGH236" s="269"/>
      <c r="LGI236" s="269"/>
      <c r="LGJ236" s="269"/>
      <c r="LGK236" s="269"/>
      <c r="LGL236" s="269"/>
      <c r="LGM236" s="269"/>
      <c r="LGN236" s="269"/>
      <c r="LGO236" s="269"/>
      <c r="LGP236" s="269"/>
      <c r="LGQ236" s="269"/>
      <c r="LGR236" s="269"/>
      <c r="LGS236" s="269"/>
      <c r="LGT236" s="269"/>
      <c r="LGU236" s="269"/>
      <c r="LGV236" s="269"/>
      <c r="LGW236" s="269"/>
      <c r="LGX236" s="269"/>
      <c r="LGY236" s="269"/>
      <c r="LGZ236" s="269"/>
      <c r="LHA236" s="269"/>
      <c r="LHB236" s="269"/>
      <c r="LHC236" s="269"/>
      <c r="LHD236" s="269"/>
      <c r="LHE236" s="269"/>
      <c r="LHF236" s="269"/>
      <c r="LHG236" s="269"/>
      <c r="LHH236" s="269"/>
      <c r="LHI236" s="269"/>
      <c r="LHJ236" s="269"/>
      <c r="LHK236" s="269"/>
      <c r="LHL236" s="269"/>
      <c r="LHM236" s="269"/>
      <c r="LHN236" s="269"/>
      <c r="LHO236" s="269"/>
      <c r="LHP236" s="269"/>
      <c r="LHQ236" s="269"/>
      <c r="LHR236" s="269"/>
      <c r="LHS236" s="269"/>
      <c r="LHT236" s="269"/>
      <c r="LHU236" s="269"/>
      <c r="LHV236" s="269"/>
      <c r="LHW236" s="269"/>
      <c r="LHX236" s="269"/>
      <c r="LHY236" s="269"/>
      <c r="LHZ236" s="269"/>
      <c r="LIA236" s="269"/>
      <c r="LIB236" s="269"/>
      <c r="LIC236" s="269"/>
      <c r="LID236" s="269"/>
      <c r="LIE236" s="269"/>
      <c r="LIF236" s="269"/>
      <c r="LIG236" s="269"/>
      <c r="LIH236" s="269"/>
      <c r="LII236" s="269"/>
      <c r="LIJ236" s="269"/>
      <c r="LIK236" s="269"/>
      <c r="LIL236" s="269"/>
      <c r="LIM236" s="269"/>
      <c r="LIN236" s="269"/>
      <c r="LIO236" s="269"/>
      <c r="LIP236" s="269"/>
      <c r="LIQ236" s="269"/>
      <c r="LIR236" s="269"/>
      <c r="LIS236" s="269"/>
      <c r="LIT236" s="269"/>
      <c r="LIU236" s="269"/>
      <c r="LIV236" s="269"/>
      <c r="LIW236" s="269"/>
      <c r="LIX236" s="269"/>
      <c r="LIY236" s="269"/>
      <c r="LIZ236" s="269"/>
      <c r="LJA236" s="269"/>
      <c r="LJB236" s="269"/>
      <c r="LJC236" s="269"/>
      <c r="LJD236" s="269"/>
      <c r="LJE236" s="269"/>
      <c r="LJF236" s="269"/>
      <c r="LJG236" s="269"/>
      <c r="LJH236" s="269"/>
      <c r="LJI236" s="269"/>
      <c r="LJJ236" s="269"/>
      <c r="LJK236" s="269"/>
      <c r="LJL236" s="269"/>
      <c r="LJM236" s="269"/>
      <c r="LJN236" s="269"/>
      <c r="LJO236" s="269"/>
      <c r="LJP236" s="269"/>
      <c r="LJQ236" s="269"/>
      <c r="LJR236" s="269"/>
      <c r="LJS236" s="269"/>
      <c r="LJT236" s="269"/>
      <c r="LJU236" s="269"/>
      <c r="LJV236" s="269"/>
      <c r="LJW236" s="269"/>
      <c r="LJX236" s="269"/>
      <c r="LJY236" s="269"/>
      <c r="LJZ236" s="269"/>
      <c r="LKA236" s="269"/>
      <c r="LKB236" s="269"/>
      <c r="LKC236" s="269"/>
      <c r="LKD236" s="269"/>
      <c r="LKE236" s="269"/>
      <c r="LKF236" s="269"/>
      <c r="LKG236" s="269"/>
      <c r="LKH236" s="269"/>
      <c r="LKI236" s="269"/>
      <c r="LKJ236" s="269"/>
      <c r="LKK236" s="269"/>
      <c r="LKL236" s="269"/>
      <c r="LKM236" s="269"/>
      <c r="LKN236" s="269"/>
      <c r="LKO236" s="269"/>
      <c r="LKP236" s="269"/>
      <c r="LKQ236" s="269"/>
      <c r="LKR236" s="269"/>
      <c r="LKS236" s="269"/>
      <c r="LKT236" s="269"/>
      <c r="LKU236" s="269"/>
      <c r="LKV236" s="269"/>
      <c r="LKW236" s="269"/>
      <c r="LKX236" s="269"/>
      <c r="LKY236" s="269"/>
      <c r="LKZ236" s="269"/>
      <c r="LLA236" s="269"/>
      <c r="LLB236" s="269"/>
      <c r="LLC236" s="269"/>
      <c r="LLD236" s="269"/>
      <c r="LLE236" s="269"/>
      <c r="LLF236" s="269"/>
      <c r="LLG236" s="269"/>
      <c r="LLH236" s="269"/>
      <c r="LLI236" s="269"/>
      <c r="LLJ236" s="269"/>
      <c r="LLK236" s="269"/>
      <c r="LLL236" s="269"/>
      <c r="LLM236" s="269"/>
      <c r="LLN236" s="269"/>
      <c r="LLO236" s="269"/>
      <c r="LLP236" s="269"/>
      <c r="LLQ236" s="269"/>
      <c r="LLR236" s="269"/>
      <c r="LLS236" s="269"/>
      <c r="LLT236" s="269"/>
      <c r="LLU236" s="269"/>
      <c r="LLV236" s="269"/>
      <c r="LLW236" s="269"/>
      <c r="LLX236" s="269"/>
      <c r="LLY236" s="269"/>
      <c r="LLZ236" s="269"/>
      <c r="LMA236" s="269"/>
      <c r="LMB236" s="269"/>
      <c r="LMC236" s="269"/>
      <c r="LMD236" s="269"/>
      <c r="LME236" s="269"/>
      <c r="LMF236" s="269"/>
      <c r="LMG236" s="269"/>
      <c r="LMH236" s="269"/>
      <c r="LMI236" s="269"/>
      <c r="LMJ236" s="269"/>
      <c r="LMK236" s="269"/>
      <c r="LML236" s="269"/>
      <c r="LMM236" s="269"/>
      <c r="LMN236" s="269"/>
      <c r="LMO236" s="269"/>
      <c r="LMP236" s="269"/>
      <c r="LMQ236" s="269"/>
      <c r="LMR236" s="269"/>
      <c r="LMS236" s="269"/>
      <c r="LMT236" s="269"/>
      <c r="LMU236" s="269"/>
      <c r="LMV236" s="269"/>
      <c r="LMW236" s="269"/>
      <c r="LMX236" s="269"/>
      <c r="LMY236" s="269"/>
      <c r="LMZ236" s="269"/>
      <c r="LNA236" s="269"/>
      <c r="LNB236" s="269"/>
      <c r="LNC236" s="269"/>
      <c r="LND236" s="269"/>
      <c r="LNE236" s="269"/>
      <c r="LNF236" s="269"/>
      <c r="LNG236" s="269"/>
      <c r="LNH236" s="269"/>
      <c r="LNI236" s="269"/>
      <c r="LNJ236" s="269"/>
      <c r="LNK236" s="269"/>
      <c r="LNL236" s="269"/>
      <c r="LNM236" s="269"/>
      <c r="LNN236" s="269"/>
      <c r="LNO236" s="269"/>
      <c r="LNP236" s="269"/>
      <c r="LNQ236" s="269"/>
      <c r="LNR236" s="269"/>
      <c r="LNS236" s="269"/>
      <c r="LNT236" s="269"/>
      <c r="LNU236" s="269"/>
      <c r="LNV236" s="269"/>
      <c r="LNW236" s="269"/>
      <c r="LNX236" s="269"/>
      <c r="LNY236" s="269"/>
      <c r="LNZ236" s="269"/>
      <c r="LOA236" s="269"/>
      <c r="LOB236" s="269"/>
      <c r="LOC236" s="269"/>
      <c r="LOD236" s="269"/>
      <c r="LOE236" s="269"/>
      <c r="LOF236" s="269"/>
      <c r="LOG236" s="269"/>
      <c r="LOH236" s="269"/>
      <c r="LOI236" s="269"/>
      <c r="LOJ236" s="269"/>
      <c r="LOK236" s="269"/>
      <c r="LOL236" s="269"/>
      <c r="LOM236" s="269"/>
      <c r="LON236" s="269"/>
      <c r="LOO236" s="269"/>
      <c r="LOP236" s="269"/>
      <c r="LOQ236" s="269"/>
      <c r="LOR236" s="269"/>
      <c r="LOS236" s="269"/>
      <c r="LOT236" s="269"/>
      <c r="LOU236" s="269"/>
      <c r="LOV236" s="269"/>
      <c r="LOW236" s="269"/>
      <c r="LOX236" s="269"/>
      <c r="LOY236" s="269"/>
      <c r="LOZ236" s="269"/>
      <c r="LPA236" s="269"/>
      <c r="LPB236" s="269"/>
      <c r="LPC236" s="269"/>
      <c r="LPD236" s="269"/>
      <c r="LPE236" s="269"/>
      <c r="LPF236" s="269"/>
      <c r="LPG236" s="269"/>
      <c r="LPH236" s="269"/>
      <c r="LPI236" s="269"/>
      <c r="LPJ236" s="269"/>
      <c r="LPK236" s="269"/>
      <c r="LPL236" s="269"/>
      <c r="LPM236" s="269"/>
      <c r="LPN236" s="269"/>
      <c r="LPO236" s="269"/>
      <c r="LPP236" s="269"/>
      <c r="LPQ236" s="269"/>
      <c r="LPR236" s="269"/>
      <c r="LPS236" s="269"/>
      <c r="LPT236" s="269"/>
      <c r="LPU236" s="269"/>
      <c r="LPV236" s="269"/>
      <c r="LPW236" s="269"/>
      <c r="LPX236" s="269"/>
      <c r="LPY236" s="269"/>
      <c r="LPZ236" s="269"/>
      <c r="LQA236" s="269"/>
      <c r="LQB236" s="269"/>
      <c r="LQC236" s="269"/>
      <c r="LQD236" s="269"/>
      <c r="LQE236" s="269"/>
      <c r="LQF236" s="269"/>
      <c r="LQG236" s="269"/>
      <c r="LQH236" s="269"/>
      <c r="LQI236" s="269"/>
      <c r="LQJ236" s="269"/>
      <c r="LQK236" s="269"/>
      <c r="LQL236" s="269"/>
      <c r="LQM236" s="269"/>
      <c r="LQN236" s="269"/>
      <c r="LQO236" s="269"/>
      <c r="LQP236" s="269"/>
      <c r="LQQ236" s="269"/>
      <c r="LQR236" s="269"/>
      <c r="LQS236" s="269"/>
      <c r="LQT236" s="269"/>
      <c r="LQU236" s="269"/>
      <c r="LQV236" s="269"/>
      <c r="LQW236" s="269"/>
      <c r="LQX236" s="269"/>
      <c r="LQY236" s="269"/>
      <c r="LQZ236" s="269"/>
      <c r="LRA236" s="269"/>
      <c r="LRB236" s="269"/>
      <c r="LRC236" s="269"/>
      <c r="LRD236" s="269"/>
      <c r="LRE236" s="269"/>
      <c r="LRF236" s="269"/>
      <c r="LRG236" s="269"/>
      <c r="LRH236" s="269"/>
      <c r="LRI236" s="269"/>
      <c r="LRJ236" s="269"/>
      <c r="LRK236" s="269"/>
      <c r="LRL236" s="269"/>
      <c r="LRM236" s="269"/>
      <c r="LRN236" s="269"/>
      <c r="LRO236" s="269"/>
      <c r="LRP236" s="269"/>
      <c r="LRQ236" s="269"/>
      <c r="LRR236" s="269"/>
      <c r="LRS236" s="269"/>
      <c r="LRT236" s="269"/>
      <c r="LRU236" s="269"/>
      <c r="LRV236" s="269"/>
      <c r="LRW236" s="269"/>
      <c r="LRX236" s="269"/>
      <c r="LRY236" s="269"/>
      <c r="LRZ236" s="269"/>
      <c r="LSA236" s="269"/>
      <c r="LSB236" s="269"/>
      <c r="LSC236" s="269"/>
      <c r="LSD236" s="269"/>
      <c r="LSE236" s="269"/>
      <c r="LSF236" s="269"/>
      <c r="LSG236" s="269"/>
      <c r="LSH236" s="269"/>
      <c r="LSI236" s="269"/>
      <c r="LSJ236" s="269"/>
      <c r="LSK236" s="269"/>
      <c r="LSL236" s="269"/>
      <c r="LSM236" s="269"/>
      <c r="LSN236" s="269"/>
      <c r="LSO236" s="269"/>
      <c r="LSP236" s="269"/>
      <c r="LSQ236" s="269"/>
      <c r="LSR236" s="269"/>
      <c r="LSS236" s="269"/>
      <c r="LST236" s="269"/>
      <c r="LSU236" s="269"/>
      <c r="LSV236" s="269"/>
      <c r="LSW236" s="269"/>
      <c r="LSX236" s="269"/>
      <c r="LSY236" s="269"/>
      <c r="LSZ236" s="269"/>
      <c r="LTA236" s="269"/>
      <c r="LTB236" s="269"/>
      <c r="LTC236" s="269"/>
      <c r="LTD236" s="269"/>
      <c r="LTE236" s="269"/>
      <c r="LTF236" s="269"/>
      <c r="LTG236" s="269"/>
      <c r="LTH236" s="269"/>
      <c r="LTI236" s="269"/>
      <c r="LTJ236" s="269"/>
      <c r="LTK236" s="269"/>
      <c r="LTL236" s="269"/>
      <c r="LTM236" s="269"/>
      <c r="LTN236" s="269"/>
      <c r="LTO236" s="269"/>
      <c r="LTP236" s="269"/>
      <c r="LTQ236" s="269"/>
      <c r="LTR236" s="269"/>
      <c r="LTS236" s="269"/>
      <c r="LTT236" s="269"/>
      <c r="LTU236" s="269"/>
      <c r="LTV236" s="269"/>
      <c r="LTW236" s="269"/>
      <c r="LTX236" s="269"/>
      <c r="LTY236" s="269"/>
      <c r="LTZ236" s="269"/>
      <c r="LUA236" s="269"/>
      <c r="LUB236" s="269"/>
      <c r="LUC236" s="269"/>
      <c r="LUD236" s="269"/>
      <c r="LUE236" s="269"/>
      <c r="LUF236" s="269"/>
      <c r="LUG236" s="269"/>
      <c r="LUH236" s="269"/>
      <c r="LUI236" s="269"/>
      <c r="LUJ236" s="269"/>
      <c r="LUK236" s="269"/>
      <c r="LUL236" s="269"/>
      <c r="LUM236" s="269"/>
      <c r="LUN236" s="269"/>
      <c r="LUO236" s="269"/>
      <c r="LUP236" s="269"/>
      <c r="LUQ236" s="269"/>
      <c r="LUR236" s="269"/>
      <c r="LUS236" s="269"/>
      <c r="LUT236" s="269"/>
      <c r="LUU236" s="269"/>
      <c r="LUV236" s="269"/>
      <c r="LUW236" s="269"/>
      <c r="LUX236" s="269"/>
      <c r="LUY236" s="269"/>
      <c r="LUZ236" s="269"/>
      <c r="LVA236" s="269"/>
      <c r="LVB236" s="269"/>
      <c r="LVC236" s="269"/>
      <c r="LVD236" s="269"/>
      <c r="LVE236" s="269"/>
      <c r="LVF236" s="269"/>
      <c r="LVG236" s="269"/>
      <c r="LVH236" s="269"/>
      <c r="LVI236" s="269"/>
      <c r="LVJ236" s="269"/>
      <c r="LVK236" s="269"/>
      <c r="LVL236" s="269"/>
      <c r="LVM236" s="269"/>
      <c r="LVN236" s="269"/>
      <c r="LVO236" s="269"/>
      <c r="LVP236" s="269"/>
      <c r="LVQ236" s="269"/>
      <c r="LVR236" s="269"/>
      <c r="LVS236" s="269"/>
      <c r="LVT236" s="269"/>
      <c r="LVU236" s="269"/>
      <c r="LVV236" s="269"/>
      <c r="LVW236" s="269"/>
      <c r="LVX236" s="269"/>
      <c r="LVY236" s="269"/>
      <c r="LVZ236" s="269"/>
      <c r="LWA236" s="269"/>
      <c r="LWB236" s="269"/>
      <c r="LWC236" s="269"/>
      <c r="LWD236" s="269"/>
      <c r="LWE236" s="269"/>
      <c r="LWF236" s="269"/>
      <c r="LWG236" s="269"/>
      <c r="LWH236" s="269"/>
      <c r="LWI236" s="269"/>
      <c r="LWJ236" s="269"/>
      <c r="LWK236" s="269"/>
      <c r="LWL236" s="269"/>
      <c r="LWM236" s="269"/>
      <c r="LWN236" s="269"/>
      <c r="LWO236" s="269"/>
      <c r="LWP236" s="269"/>
      <c r="LWQ236" s="269"/>
      <c r="LWR236" s="269"/>
      <c r="LWS236" s="269"/>
      <c r="LWT236" s="269"/>
      <c r="LWU236" s="269"/>
      <c r="LWV236" s="269"/>
      <c r="LWW236" s="269"/>
      <c r="LWX236" s="269"/>
      <c r="LWY236" s="269"/>
      <c r="LWZ236" s="269"/>
      <c r="LXA236" s="269"/>
      <c r="LXB236" s="269"/>
      <c r="LXC236" s="269"/>
      <c r="LXD236" s="269"/>
      <c r="LXE236" s="269"/>
      <c r="LXF236" s="269"/>
      <c r="LXG236" s="269"/>
      <c r="LXH236" s="269"/>
      <c r="LXI236" s="269"/>
      <c r="LXJ236" s="269"/>
      <c r="LXK236" s="269"/>
      <c r="LXL236" s="269"/>
      <c r="LXM236" s="269"/>
      <c r="LXN236" s="269"/>
      <c r="LXO236" s="269"/>
      <c r="LXP236" s="269"/>
      <c r="LXQ236" s="269"/>
      <c r="LXR236" s="269"/>
      <c r="LXS236" s="269"/>
      <c r="LXT236" s="269"/>
      <c r="LXU236" s="269"/>
      <c r="LXV236" s="269"/>
      <c r="LXW236" s="269"/>
      <c r="LXX236" s="269"/>
      <c r="LXY236" s="269"/>
      <c r="LXZ236" s="269"/>
      <c r="LYA236" s="269"/>
      <c r="LYB236" s="269"/>
      <c r="LYC236" s="269"/>
      <c r="LYD236" s="269"/>
      <c r="LYE236" s="269"/>
      <c r="LYF236" s="269"/>
      <c r="LYG236" s="269"/>
      <c r="LYH236" s="269"/>
      <c r="LYI236" s="269"/>
      <c r="LYJ236" s="269"/>
      <c r="LYK236" s="269"/>
      <c r="LYL236" s="269"/>
      <c r="LYM236" s="269"/>
      <c r="LYN236" s="269"/>
      <c r="LYO236" s="269"/>
      <c r="LYP236" s="269"/>
      <c r="LYQ236" s="269"/>
      <c r="LYR236" s="269"/>
      <c r="LYS236" s="269"/>
      <c r="LYT236" s="269"/>
      <c r="LYU236" s="269"/>
      <c r="LYV236" s="269"/>
      <c r="LYW236" s="269"/>
      <c r="LYX236" s="269"/>
      <c r="LYY236" s="269"/>
      <c r="LYZ236" s="269"/>
      <c r="LZA236" s="269"/>
      <c r="LZB236" s="269"/>
      <c r="LZC236" s="269"/>
      <c r="LZD236" s="269"/>
      <c r="LZE236" s="269"/>
      <c r="LZF236" s="269"/>
      <c r="LZG236" s="269"/>
      <c r="LZH236" s="269"/>
      <c r="LZI236" s="269"/>
      <c r="LZJ236" s="269"/>
      <c r="LZK236" s="269"/>
      <c r="LZL236" s="269"/>
      <c r="LZM236" s="269"/>
      <c r="LZN236" s="269"/>
      <c r="LZO236" s="269"/>
      <c r="LZP236" s="269"/>
      <c r="LZQ236" s="269"/>
      <c r="LZR236" s="269"/>
      <c r="LZS236" s="269"/>
      <c r="LZT236" s="269"/>
      <c r="LZU236" s="269"/>
      <c r="LZV236" s="269"/>
      <c r="LZW236" s="269"/>
      <c r="LZX236" s="269"/>
      <c r="LZY236" s="269"/>
      <c r="LZZ236" s="269"/>
      <c r="MAA236" s="269"/>
      <c r="MAB236" s="269"/>
      <c r="MAC236" s="269"/>
      <c r="MAD236" s="269"/>
      <c r="MAE236" s="269"/>
      <c r="MAF236" s="269"/>
      <c r="MAG236" s="269"/>
      <c r="MAH236" s="269"/>
      <c r="MAI236" s="269"/>
      <c r="MAJ236" s="269"/>
      <c r="MAK236" s="269"/>
      <c r="MAL236" s="269"/>
      <c r="MAM236" s="269"/>
      <c r="MAN236" s="269"/>
      <c r="MAO236" s="269"/>
      <c r="MAP236" s="269"/>
      <c r="MAQ236" s="269"/>
      <c r="MAR236" s="269"/>
      <c r="MAS236" s="269"/>
      <c r="MAT236" s="269"/>
      <c r="MAU236" s="269"/>
      <c r="MAV236" s="269"/>
      <c r="MAW236" s="269"/>
      <c r="MAX236" s="269"/>
      <c r="MAY236" s="269"/>
      <c r="MAZ236" s="269"/>
      <c r="MBA236" s="269"/>
      <c r="MBB236" s="269"/>
      <c r="MBC236" s="269"/>
      <c r="MBD236" s="269"/>
      <c r="MBE236" s="269"/>
      <c r="MBF236" s="269"/>
      <c r="MBG236" s="269"/>
      <c r="MBH236" s="269"/>
      <c r="MBI236" s="269"/>
      <c r="MBJ236" s="269"/>
      <c r="MBK236" s="269"/>
      <c r="MBL236" s="269"/>
      <c r="MBM236" s="269"/>
      <c r="MBN236" s="269"/>
      <c r="MBO236" s="269"/>
      <c r="MBP236" s="269"/>
      <c r="MBQ236" s="269"/>
      <c r="MBR236" s="269"/>
      <c r="MBS236" s="269"/>
      <c r="MBT236" s="269"/>
      <c r="MBU236" s="269"/>
      <c r="MBV236" s="269"/>
      <c r="MBW236" s="269"/>
      <c r="MBX236" s="269"/>
      <c r="MBY236" s="269"/>
      <c r="MBZ236" s="269"/>
      <c r="MCA236" s="269"/>
      <c r="MCB236" s="269"/>
      <c r="MCC236" s="269"/>
      <c r="MCD236" s="269"/>
      <c r="MCE236" s="269"/>
      <c r="MCF236" s="269"/>
      <c r="MCG236" s="269"/>
      <c r="MCH236" s="269"/>
      <c r="MCI236" s="269"/>
      <c r="MCJ236" s="269"/>
      <c r="MCK236" s="269"/>
      <c r="MCL236" s="269"/>
      <c r="MCM236" s="269"/>
      <c r="MCN236" s="269"/>
      <c r="MCO236" s="269"/>
      <c r="MCP236" s="269"/>
      <c r="MCQ236" s="269"/>
      <c r="MCR236" s="269"/>
      <c r="MCS236" s="269"/>
      <c r="MCT236" s="269"/>
      <c r="MCU236" s="269"/>
      <c r="MCV236" s="269"/>
      <c r="MCW236" s="269"/>
      <c r="MCX236" s="269"/>
      <c r="MCY236" s="269"/>
      <c r="MCZ236" s="269"/>
      <c r="MDA236" s="269"/>
      <c r="MDB236" s="269"/>
      <c r="MDC236" s="269"/>
      <c r="MDD236" s="269"/>
      <c r="MDE236" s="269"/>
      <c r="MDF236" s="269"/>
      <c r="MDG236" s="269"/>
      <c r="MDH236" s="269"/>
      <c r="MDI236" s="269"/>
      <c r="MDJ236" s="269"/>
      <c r="MDK236" s="269"/>
      <c r="MDL236" s="269"/>
      <c r="MDM236" s="269"/>
      <c r="MDN236" s="269"/>
      <c r="MDO236" s="269"/>
      <c r="MDP236" s="269"/>
      <c r="MDQ236" s="269"/>
      <c r="MDR236" s="269"/>
      <c r="MDS236" s="269"/>
      <c r="MDT236" s="269"/>
      <c r="MDU236" s="269"/>
      <c r="MDV236" s="269"/>
      <c r="MDW236" s="269"/>
      <c r="MDX236" s="269"/>
      <c r="MDY236" s="269"/>
      <c r="MDZ236" s="269"/>
      <c r="MEA236" s="269"/>
      <c r="MEB236" s="269"/>
      <c r="MEC236" s="269"/>
      <c r="MED236" s="269"/>
      <c r="MEE236" s="269"/>
      <c r="MEF236" s="269"/>
      <c r="MEG236" s="269"/>
      <c r="MEH236" s="269"/>
      <c r="MEI236" s="269"/>
      <c r="MEJ236" s="269"/>
      <c r="MEK236" s="269"/>
      <c r="MEL236" s="269"/>
      <c r="MEM236" s="269"/>
      <c r="MEN236" s="269"/>
      <c r="MEO236" s="269"/>
      <c r="MEP236" s="269"/>
      <c r="MEQ236" s="269"/>
      <c r="MER236" s="269"/>
      <c r="MES236" s="269"/>
      <c r="MET236" s="269"/>
      <c r="MEU236" s="269"/>
      <c r="MEV236" s="269"/>
      <c r="MEW236" s="269"/>
      <c r="MEX236" s="269"/>
      <c r="MEY236" s="269"/>
      <c r="MEZ236" s="269"/>
      <c r="MFA236" s="269"/>
      <c r="MFB236" s="269"/>
      <c r="MFC236" s="269"/>
      <c r="MFD236" s="269"/>
      <c r="MFE236" s="269"/>
      <c r="MFF236" s="269"/>
      <c r="MFG236" s="269"/>
      <c r="MFH236" s="269"/>
      <c r="MFI236" s="269"/>
      <c r="MFJ236" s="269"/>
      <c r="MFK236" s="269"/>
      <c r="MFL236" s="269"/>
      <c r="MFM236" s="269"/>
      <c r="MFN236" s="269"/>
      <c r="MFO236" s="269"/>
      <c r="MFP236" s="269"/>
      <c r="MFQ236" s="269"/>
      <c r="MFR236" s="269"/>
      <c r="MFS236" s="269"/>
      <c r="MFT236" s="269"/>
      <c r="MFU236" s="269"/>
      <c r="MFV236" s="269"/>
      <c r="MFW236" s="269"/>
      <c r="MFX236" s="269"/>
      <c r="MFY236" s="269"/>
      <c r="MFZ236" s="269"/>
      <c r="MGA236" s="269"/>
      <c r="MGB236" s="269"/>
      <c r="MGC236" s="269"/>
      <c r="MGD236" s="269"/>
      <c r="MGE236" s="269"/>
      <c r="MGF236" s="269"/>
      <c r="MGG236" s="269"/>
      <c r="MGH236" s="269"/>
      <c r="MGI236" s="269"/>
      <c r="MGJ236" s="269"/>
      <c r="MGK236" s="269"/>
      <c r="MGL236" s="269"/>
      <c r="MGM236" s="269"/>
      <c r="MGN236" s="269"/>
      <c r="MGO236" s="269"/>
      <c r="MGP236" s="269"/>
      <c r="MGQ236" s="269"/>
      <c r="MGR236" s="269"/>
      <c r="MGS236" s="269"/>
      <c r="MGT236" s="269"/>
      <c r="MGU236" s="269"/>
      <c r="MGV236" s="269"/>
      <c r="MGW236" s="269"/>
      <c r="MGX236" s="269"/>
      <c r="MGY236" s="269"/>
      <c r="MGZ236" s="269"/>
      <c r="MHA236" s="269"/>
      <c r="MHB236" s="269"/>
      <c r="MHC236" s="269"/>
      <c r="MHD236" s="269"/>
      <c r="MHE236" s="269"/>
      <c r="MHF236" s="269"/>
      <c r="MHG236" s="269"/>
      <c r="MHH236" s="269"/>
      <c r="MHI236" s="269"/>
      <c r="MHJ236" s="269"/>
      <c r="MHK236" s="269"/>
      <c r="MHL236" s="269"/>
      <c r="MHM236" s="269"/>
      <c r="MHN236" s="269"/>
      <c r="MHO236" s="269"/>
      <c r="MHP236" s="269"/>
      <c r="MHQ236" s="269"/>
      <c r="MHR236" s="269"/>
      <c r="MHS236" s="269"/>
      <c r="MHT236" s="269"/>
      <c r="MHU236" s="269"/>
      <c r="MHV236" s="269"/>
      <c r="MHW236" s="269"/>
      <c r="MHX236" s="269"/>
      <c r="MHY236" s="269"/>
      <c r="MHZ236" s="269"/>
      <c r="MIA236" s="269"/>
      <c r="MIB236" s="269"/>
      <c r="MIC236" s="269"/>
      <c r="MID236" s="269"/>
      <c r="MIE236" s="269"/>
      <c r="MIF236" s="269"/>
      <c r="MIG236" s="269"/>
      <c r="MIH236" s="269"/>
      <c r="MII236" s="269"/>
      <c r="MIJ236" s="269"/>
      <c r="MIK236" s="269"/>
      <c r="MIL236" s="269"/>
      <c r="MIM236" s="269"/>
      <c r="MIN236" s="269"/>
      <c r="MIO236" s="269"/>
      <c r="MIP236" s="269"/>
      <c r="MIQ236" s="269"/>
      <c r="MIR236" s="269"/>
      <c r="MIS236" s="269"/>
      <c r="MIT236" s="269"/>
      <c r="MIU236" s="269"/>
      <c r="MIV236" s="269"/>
      <c r="MIW236" s="269"/>
      <c r="MIX236" s="269"/>
      <c r="MIY236" s="269"/>
      <c r="MIZ236" s="269"/>
      <c r="MJA236" s="269"/>
      <c r="MJB236" s="269"/>
      <c r="MJC236" s="269"/>
      <c r="MJD236" s="269"/>
      <c r="MJE236" s="269"/>
      <c r="MJF236" s="269"/>
      <c r="MJG236" s="269"/>
      <c r="MJH236" s="269"/>
      <c r="MJI236" s="269"/>
      <c r="MJJ236" s="269"/>
      <c r="MJK236" s="269"/>
      <c r="MJL236" s="269"/>
      <c r="MJM236" s="269"/>
      <c r="MJN236" s="269"/>
      <c r="MJO236" s="269"/>
      <c r="MJP236" s="269"/>
      <c r="MJQ236" s="269"/>
      <c r="MJR236" s="269"/>
      <c r="MJS236" s="269"/>
      <c r="MJT236" s="269"/>
      <c r="MJU236" s="269"/>
      <c r="MJV236" s="269"/>
      <c r="MJW236" s="269"/>
      <c r="MJX236" s="269"/>
      <c r="MJY236" s="269"/>
      <c r="MJZ236" s="269"/>
      <c r="MKA236" s="269"/>
      <c r="MKB236" s="269"/>
      <c r="MKC236" s="269"/>
      <c r="MKD236" s="269"/>
      <c r="MKE236" s="269"/>
      <c r="MKF236" s="269"/>
      <c r="MKG236" s="269"/>
      <c r="MKH236" s="269"/>
      <c r="MKI236" s="269"/>
      <c r="MKJ236" s="269"/>
      <c r="MKK236" s="269"/>
      <c r="MKL236" s="269"/>
      <c r="MKM236" s="269"/>
      <c r="MKN236" s="269"/>
      <c r="MKO236" s="269"/>
      <c r="MKP236" s="269"/>
      <c r="MKQ236" s="269"/>
      <c r="MKR236" s="269"/>
      <c r="MKS236" s="269"/>
      <c r="MKT236" s="269"/>
      <c r="MKU236" s="269"/>
      <c r="MKV236" s="269"/>
      <c r="MKW236" s="269"/>
      <c r="MKX236" s="269"/>
      <c r="MKY236" s="269"/>
      <c r="MKZ236" s="269"/>
      <c r="MLA236" s="269"/>
      <c r="MLB236" s="269"/>
      <c r="MLC236" s="269"/>
      <c r="MLD236" s="269"/>
      <c r="MLE236" s="269"/>
      <c r="MLF236" s="269"/>
      <c r="MLG236" s="269"/>
      <c r="MLH236" s="269"/>
      <c r="MLI236" s="269"/>
      <c r="MLJ236" s="269"/>
      <c r="MLK236" s="269"/>
      <c r="MLL236" s="269"/>
      <c r="MLM236" s="269"/>
      <c r="MLN236" s="269"/>
      <c r="MLO236" s="269"/>
      <c r="MLP236" s="269"/>
      <c r="MLQ236" s="269"/>
      <c r="MLR236" s="269"/>
      <c r="MLS236" s="269"/>
      <c r="MLT236" s="269"/>
      <c r="MLU236" s="269"/>
      <c r="MLV236" s="269"/>
      <c r="MLW236" s="269"/>
      <c r="MLX236" s="269"/>
      <c r="MLY236" s="269"/>
      <c r="MLZ236" s="269"/>
      <c r="MMA236" s="269"/>
      <c r="MMB236" s="269"/>
      <c r="MMC236" s="269"/>
      <c r="MMD236" s="269"/>
      <c r="MME236" s="269"/>
      <c r="MMF236" s="269"/>
      <c r="MMG236" s="269"/>
      <c r="MMH236" s="269"/>
      <c r="MMI236" s="269"/>
      <c r="MMJ236" s="269"/>
      <c r="MMK236" s="269"/>
      <c r="MML236" s="269"/>
      <c r="MMM236" s="269"/>
      <c r="MMN236" s="269"/>
      <c r="MMO236" s="269"/>
      <c r="MMP236" s="269"/>
      <c r="MMQ236" s="269"/>
      <c r="MMR236" s="269"/>
      <c r="MMS236" s="269"/>
      <c r="MMT236" s="269"/>
      <c r="MMU236" s="269"/>
      <c r="MMV236" s="269"/>
      <c r="MMW236" s="269"/>
      <c r="MMX236" s="269"/>
      <c r="MMY236" s="269"/>
      <c r="MMZ236" s="269"/>
      <c r="MNA236" s="269"/>
      <c r="MNB236" s="269"/>
      <c r="MNC236" s="269"/>
      <c r="MND236" s="269"/>
      <c r="MNE236" s="269"/>
      <c r="MNF236" s="269"/>
      <c r="MNG236" s="269"/>
      <c r="MNH236" s="269"/>
      <c r="MNI236" s="269"/>
      <c r="MNJ236" s="269"/>
      <c r="MNK236" s="269"/>
      <c r="MNL236" s="269"/>
      <c r="MNM236" s="269"/>
      <c r="MNN236" s="269"/>
      <c r="MNO236" s="269"/>
      <c r="MNP236" s="269"/>
      <c r="MNQ236" s="269"/>
      <c r="MNR236" s="269"/>
      <c r="MNS236" s="269"/>
      <c r="MNT236" s="269"/>
      <c r="MNU236" s="269"/>
      <c r="MNV236" s="269"/>
      <c r="MNW236" s="269"/>
      <c r="MNX236" s="269"/>
      <c r="MNY236" s="269"/>
      <c r="MNZ236" s="269"/>
      <c r="MOA236" s="269"/>
      <c r="MOB236" s="269"/>
      <c r="MOC236" s="269"/>
      <c r="MOD236" s="269"/>
      <c r="MOE236" s="269"/>
      <c r="MOF236" s="269"/>
      <c r="MOG236" s="269"/>
      <c r="MOH236" s="269"/>
      <c r="MOI236" s="269"/>
      <c r="MOJ236" s="269"/>
      <c r="MOK236" s="269"/>
      <c r="MOL236" s="269"/>
      <c r="MOM236" s="269"/>
      <c r="MON236" s="269"/>
      <c r="MOO236" s="269"/>
      <c r="MOP236" s="269"/>
      <c r="MOQ236" s="269"/>
      <c r="MOR236" s="269"/>
      <c r="MOS236" s="269"/>
      <c r="MOT236" s="269"/>
      <c r="MOU236" s="269"/>
      <c r="MOV236" s="269"/>
      <c r="MOW236" s="269"/>
      <c r="MOX236" s="269"/>
      <c r="MOY236" s="269"/>
      <c r="MOZ236" s="269"/>
      <c r="MPA236" s="269"/>
      <c r="MPB236" s="269"/>
      <c r="MPC236" s="269"/>
      <c r="MPD236" s="269"/>
      <c r="MPE236" s="269"/>
      <c r="MPF236" s="269"/>
      <c r="MPG236" s="269"/>
      <c r="MPH236" s="269"/>
      <c r="MPI236" s="269"/>
      <c r="MPJ236" s="269"/>
      <c r="MPK236" s="269"/>
      <c r="MPL236" s="269"/>
      <c r="MPM236" s="269"/>
      <c r="MPN236" s="269"/>
      <c r="MPO236" s="269"/>
      <c r="MPP236" s="269"/>
      <c r="MPQ236" s="269"/>
      <c r="MPR236" s="269"/>
      <c r="MPS236" s="269"/>
      <c r="MPT236" s="269"/>
      <c r="MPU236" s="269"/>
      <c r="MPV236" s="269"/>
      <c r="MPW236" s="269"/>
      <c r="MPX236" s="269"/>
      <c r="MPY236" s="269"/>
      <c r="MPZ236" s="269"/>
      <c r="MQA236" s="269"/>
      <c r="MQB236" s="269"/>
      <c r="MQC236" s="269"/>
      <c r="MQD236" s="269"/>
      <c r="MQE236" s="269"/>
      <c r="MQF236" s="269"/>
      <c r="MQG236" s="269"/>
      <c r="MQH236" s="269"/>
      <c r="MQI236" s="269"/>
      <c r="MQJ236" s="269"/>
      <c r="MQK236" s="269"/>
      <c r="MQL236" s="269"/>
      <c r="MQM236" s="269"/>
      <c r="MQN236" s="269"/>
      <c r="MQO236" s="269"/>
      <c r="MQP236" s="269"/>
      <c r="MQQ236" s="269"/>
      <c r="MQR236" s="269"/>
      <c r="MQS236" s="269"/>
      <c r="MQT236" s="269"/>
      <c r="MQU236" s="269"/>
      <c r="MQV236" s="269"/>
      <c r="MQW236" s="269"/>
      <c r="MQX236" s="269"/>
      <c r="MQY236" s="269"/>
      <c r="MQZ236" s="269"/>
      <c r="MRA236" s="269"/>
      <c r="MRB236" s="269"/>
      <c r="MRC236" s="269"/>
      <c r="MRD236" s="269"/>
      <c r="MRE236" s="269"/>
      <c r="MRF236" s="269"/>
      <c r="MRG236" s="269"/>
      <c r="MRH236" s="269"/>
      <c r="MRI236" s="269"/>
      <c r="MRJ236" s="269"/>
      <c r="MRK236" s="269"/>
      <c r="MRL236" s="269"/>
      <c r="MRM236" s="269"/>
      <c r="MRN236" s="269"/>
      <c r="MRO236" s="269"/>
      <c r="MRP236" s="269"/>
      <c r="MRQ236" s="269"/>
      <c r="MRR236" s="269"/>
      <c r="MRS236" s="269"/>
      <c r="MRT236" s="269"/>
      <c r="MRU236" s="269"/>
      <c r="MRV236" s="269"/>
      <c r="MRW236" s="269"/>
      <c r="MRX236" s="269"/>
      <c r="MRY236" s="269"/>
      <c r="MRZ236" s="269"/>
      <c r="MSA236" s="269"/>
      <c r="MSB236" s="269"/>
      <c r="MSC236" s="269"/>
      <c r="MSD236" s="269"/>
      <c r="MSE236" s="269"/>
      <c r="MSF236" s="269"/>
      <c r="MSG236" s="269"/>
      <c r="MSH236" s="269"/>
      <c r="MSI236" s="269"/>
      <c r="MSJ236" s="269"/>
      <c r="MSK236" s="269"/>
      <c r="MSL236" s="269"/>
      <c r="MSM236" s="269"/>
      <c r="MSN236" s="269"/>
      <c r="MSO236" s="269"/>
      <c r="MSP236" s="269"/>
      <c r="MSQ236" s="269"/>
      <c r="MSR236" s="269"/>
      <c r="MSS236" s="269"/>
      <c r="MST236" s="269"/>
      <c r="MSU236" s="269"/>
      <c r="MSV236" s="269"/>
      <c r="MSW236" s="269"/>
      <c r="MSX236" s="269"/>
      <c r="MSY236" s="269"/>
      <c r="MSZ236" s="269"/>
      <c r="MTA236" s="269"/>
      <c r="MTB236" s="269"/>
      <c r="MTC236" s="269"/>
      <c r="MTD236" s="269"/>
      <c r="MTE236" s="269"/>
      <c r="MTF236" s="269"/>
      <c r="MTG236" s="269"/>
      <c r="MTH236" s="269"/>
      <c r="MTI236" s="269"/>
      <c r="MTJ236" s="269"/>
      <c r="MTK236" s="269"/>
      <c r="MTL236" s="269"/>
      <c r="MTM236" s="269"/>
      <c r="MTN236" s="269"/>
      <c r="MTO236" s="269"/>
      <c r="MTP236" s="269"/>
      <c r="MTQ236" s="269"/>
      <c r="MTR236" s="269"/>
      <c r="MTS236" s="269"/>
      <c r="MTT236" s="269"/>
      <c r="MTU236" s="269"/>
      <c r="MTV236" s="269"/>
      <c r="MTW236" s="269"/>
      <c r="MTX236" s="269"/>
      <c r="MTY236" s="269"/>
      <c r="MTZ236" s="269"/>
      <c r="MUA236" s="269"/>
      <c r="MUB236" s="269"/>
      <c r="MUC236" s="269"/>
      <c r="MUD236" s="269"/>
      <c r="MUE236" s="269"/>
      <c r="MUF236" s="269"/>
      <c r="MUG236" s="269"/>
      <c r="MUH236" s="269"/>
      <c r="MUI236" s="269"/>
      <c r="MUJ236" s="269"/>
      <c r="MUK236" s="269"/>
      <c r="MUL236" s="269"/>
      <c r="MUM236" s="269"/>
      <c r="MUN236" s="269"/>
      <c r="MUO236" s="269"/>
      <c r="MUP236" s="269"/>
      <c r="MUQ236" s="269"/>
      <c r="MUR236" s="269"/>
      <c r="MUS236" s="269"/>
      <c r="MUT236" s="269"/>
      <c r="MUU236" s="269"/>
      <c r="MUV236" s="269"/>
      <c r="MUW236" s="269"/>
      <c r="MUX236" s="269"/>
      <c r="MUY236" s="269"/>
      <c r="MUZ236" s="269"/>
      <c r="MVA236" s="269"/>
      <c r="MVB236" s="269"/>
      <c r="MVC236" s="269"/>
      <c r="MVD236" s="269"/>
      <c r="MVE236" s="269"/>
      <c r="MVF236" s="269"/>
      <c r="MVG236" s="269"/>
      <c r="MVH236" s="269"/>
      <c r="MVI236" s="269"/>
      <c r="MVJ236" s="269"/>
      <c r="MVK236" s="269"/>
      <c r="MVL236" s="269"/>
      <c r="MVM236" s="269"/>
      <c r="MVN236" s="269"/>
      <c r="MVO236" s="269"/>
      <c r="MVP236" s="269"/>
      <c r="MVQ236" s="269"/>
      <c r="MVR236" s="269"/>
      <c r="MVS236" s="269"/>
      <c r="MVT236" s="269"/>
      <c r="MVU236" s="269"/>
      <c r="MVV236" s="269"/>
      <c r="MVW236" s="269"/>
      <c r="MVX236" s="269"/>
      <c r="MVY236" s="269"/>
      <c r="MVZ236" s="269"/>
      <c r="MWA236" s="269"/>
      <c r="MWB236" s="269"/>
      <c r="MWC236" s="269"/>
      <c r="MWD236" s="269"/>
      <c r="MWE236" s="269"/>
      <c r="MWF236" s="269"/>
      <c r="MWG236" s="269"/>
      <c r="MWH236" s="269"/>
      <c r="MWI236" s="269"/>
      <c r="MWJ236" s="269"/>
      <c r="MWK236" s="269"/>
      <c r="MWL236" s="269"/>
      <c r="MWM236" s="269"/>
      <c r="MWN236" s="269"/>
      <c r="MWO236" s="269"/>
      <c r="MWP236" s="269"/>
      <c r="MWQ236" s="269"/>
      <c r="MWR236" s="269"/>
      <c r="MWS236" s="269"/>
      <c r="MWT236" s="269"/>
      <c r="MWU236" s="269"/>
      <c r="MWV236" s="269"/>
      <c r="MWW236" s="269"/>
      <c r="MWX236" s="269"/>
      <c r="MWY236" s="269"/>
      <c r="MWZ236" s="269"/>
      <c r="MXA236" s="269"/>
      <c r="MXB236" s="269"/>
      <c r="MXC236" s="269"/>
      <c r="MXD236" s="269"/>
      <c r="MXE236" s="269"/>
      <c r="MXF236" s="269"/>
      <c r="MXG236" s="269"/>
      <c r="MXH236" s="269"/>
      <c r="MXI236" s="269"/>
      <c r="MXJ236" s="269"/>
      <c r="MXK236" s="269"/>
      <c r="MXL236" s="269"/>
      <c r="MXM236" s="269"/>
      <c r="MXN236" s="269"/>
      <c r="MXO236" s="269"/>
      <c r="MXP236" s="269"/>
      <c r="MXQ236" s="269"/>
      <c r="MXR236" s="269"/>
      <c r="MXS236" s="269"/>
      <c r="MXT236" s="269"/>
      <c r="MXU236" s="269"/>
      <c r="MXV236" s="269"/>
      <c r="MXW236" s="269"/>
      <c r="MXX236" s="269"/>
      <c r="MXY236" s="269"/>
      <c r="MXZ236" s="269"/>
      <c r="MYA236" s="269"/>
      <c r="MYB236" s="269"/>
      <c r="MYC236" s="269"/>
      <c r="MYD236" s="269"/>
      <c r="MYE236" s="269"/>
      <c r="MYF236" s="269"/>
      <c r="MYG236" s="269"/>
      <c r="MYH236" s="269"/>
      <c r="MYI236" s="269"/>
      <c r="MYJ236" s="269"/>
      <c r="MYK236" s="269"/>
      <c r="MYL236" s="269"/>
      <c r="MYM236" s="269"/>
      <c r="MYN236" s="269"/>
      <c r="MYO236" s="269"/>
      <c r="MYP236" s="269"/>
      <c r="MYQ236" s="269"/>
      <c r="MYR236" s="269"/>
      <c r="MYS236" s="269"/>
      <c r="MYT236" s="269"/>
      <c r="MYU236" s="269"/>
      <c r="MYV236" s="269"/>
      <c r="MYW236" s="269"/>
      <c r="MYX236" s="269"/>
      <c r="MYY236" s="269"/>
      <c r="MYZ236" s="269"/>
      <c r="MZA236" s="269"/>
      <c r="MZB236" s="269"/>
      <c r="MZC236" s="269"/>
      <c r="MZD236" s="269"/>
      <c r="MZE236" s="269"/>
      <c r="MZF236" s="269"/>
      <c r="MZG236" s="269"/>
      <c r="MZH236" s="269"/>
      <c r="MZI236" s="269"/>
      <c r="MZJ236" s="269"/>
      <c r="MZK236" s="269"/>
      <c r="MZL236" s="269"/>
      <c r="MZM236" s="269"/>
      <c r="MZN236" s="269"/>
      <c r="MZO236" s="269"/>
      <c r="MZP236" s="269"/>
      <c r="MZQ236" s="269"/>
      <c r="MZR236" s="269"/>
      <c r="MZS236" s="269"/>
      <c r="MZT236" s="269"/>
      <c r="MZU236" s="269"/>
      <c r="MZV236" s="269"/>
      <c r="MZW236" s="269"/>
      <c r="MZX236" s="269"/>
      <c r="MZY236" s="269"/>
      <c r="MZZ236" s="269"/>
      <c r="NAA236" s="269"/>
      <c r="NAB236" s="269"/>
      <c r="NAC236" s="269"/>
      <c r="NAD236" s="269"/>
      <c r="NAE236" s="269"/>
      <c r="NAF236" s="269"/>
      <c r="NAG236" s="269"/>
      <c r="NAH236" s="269"/>
      <c r="NAI236" s="269"/>
      <c r="NAJ236" s="269"/>
      <c r="NAK236" s="269"/>
      <c r="NAL236" s="269"/>
      <c r="NAM236" s="269"/>
      <c r="NAN236" s="269"/>
      <c r="NAO236" s="269"/>
      <c r="NAP236" s="269"/>
      <c r="NAQ236" s="269"/>
      <c r="NAR236" s="269"/>
      <c r="NAS236" s="269"/>
      <c r="NAT236" s="269"/>
      <c r="NAU236" s="269"/>
      <c r="NAV236" s="269"/>
      <c r="NAW236" s="269"/>
      <c r="NAX236" s="269"/>
      <c r="NAY236" s="269"/>
      <c r="NAZ236" s="269"/>
      <c r="NBA236" s="269"/>
      <c r="NBB236" s="269"/>
      <c r="NBC236" s="269"/>
      <c r="NBD236" s="269"/>
      <c r="NBE236" s="269"/>
      <c r="NBF236" s="269"/>
      <c r="NBG236" s="269"/>
      <c r="NBH236" s="269"/>
      <c r="NBI236" s="269"/>
      <c r="NBJ236" s="269"/>
      <c r="NBK236" s="269"/>
      <c r="NBL236" s="269"/>
      <c r="NBM236" s="269"/>
      <c r="NBN236" s="269"/>
      <c r="NBO236" s="269"/>
      <c r="NBP236" s="269"/>
      <c r="NBQ236" s="269"/>
      <c r="NBR236" s="269"/>
      <c r="NBS236" s="269"/>
      <c r="NBT236" s="269"/>
      <c r="NBU236" s="269"/>
      <c r="NBV236" s="269"/>
      <c r="NBW236" s="269"/>
      <c r="NBX236" s="269"/>
      <c r="NBY236" s="269"/>
      <c r="NBZ236" s="269"/>
      <c r="NCA236" s="269"/>
      <c r="NCB236" s="269"/>
      <c r="NCC236" s="269"/>
      <c r="NCD236" s="269"/>
      <c r="NCE236" s="269"/>
      <c r="NCF236" s="269"/>
      <c r="NCG236" s="269"/>
      <c r="NCH236" s="269"/>
      <c r="NCI236" s="269"/>
      <c r="NCJ236" s="269"/>
      <c r="NCK236" s="269"/>
      <c r="NCL236" s="269"/>
      <c r="NCM236" s="269"/>
      <c r="NCN236" s="269"/>
      <c r="NCO236" s="269"/>
      <c r="NCP236" s="269"/>
      <c r="NCQ236" s="269"/>
      <c r="NCR236" s="269"/>
      <c r="NCS236" s="269"/>
      <c r="NCT236" s="269"/>
      <c r="NCU236" s="269"/>
      <c r="NCV236" s="269"/>
      <c r="NCW236" s="269"/>
      <c r="NCX236" s="269"/>
      <c r="NCY236" s="269"/>
      <c r="NCZ236" s="269"/>
      <c r="NDA236" s="269"/>
      <c r="NDB236" s="269"/>
      <c r="NDC236" s="269"/>
      <c r="NDD236" s="269"/>
      <c r="NDE236" s="269"/>
      <c r="NDF236" s="269"/>
      <c r="NDG236" s="269"/>
      <c r="NDH236" s="269"/>
      <c r="NDI236" s="269"/>
      <c r="NDJ236" s="269"/>
      <c r="NDK236" s="269"/>
      <c r="NDL236" s="269"/>
      <c r="NDM236" s="269"/>
      <c r="NDN236" s="269"/>
      <c r="NDO236" s="269"/>
      <c r="NDP236" s="269"/>
      <c r="NDQ236" s="269"/>
      <c r="NDR236" s="269"/>
      <c r="NDS236" s="269"/>
      <c r="NDT236" s="269"/>
      <c r="NDU236" s="269"/>
      <c r="NDV236" s="269"/>
      <c r="NDW236" s="269"/>
      <c r="NDX236" s="269"/>
      <c r="NDY236" s="269"/>
      <c r="NDZ236" s="269"/>
      <c r="NEA236" s="269"/>
      <c r="NEB236" s="269"/>
      <c r="NEC236" s="269"/>
      <c r="NED236" s="269"/>
      <c r="NEE236" s="269"/>
      <c r="NEF236" s="269"/>
      <c r="NEG236" s="269"/>
      <c r="NEH236" s="269"/>
      <c r="NEI236" s="269"/>
      <c r="NEJ236" s="269"/>
      <c r="NEK236" s="269"/>
      <c r="NEL236" s="269"/>
      <c r="NEM236" s="269"/>
      <c r="NEN236" s="269"/>
      <c r="NEO236" s="269"/>
      <c r="NEP236" s="269"/>
      <c r="NEQ236" s="269"/>
      <c r="NER236" s="269"/>
      <c r="NES236" s="269"/>
      <c r="NET236" s="269"/>
      <c r="NEU236" s="269"/>
      <c r="NEV236" s="269"/>
      <c r="NEW236" s="269"/>
      <c r="NEX236" s="269"/>
      <c r="NEY236" s="269"/>
      <c r="NEZ236" s="269"/>
      <c r="NFA236" s="269"/>
      <c r="NFB236" s="269"/>
      <c r="NFC236" s="269"/>
      <c r="NFD236" s="269"/>
      <c r="NFE236" s="269"/>
      <c r="NFF236" s="269"/>
      <c r="NFG236" s="269"/>
      <c r="NFH236" s="269"/>
      <c r="NFI236" s="269"/>
      <c r="NFJ236" s="269"/>
      <c r="NFK236" s="269"/>
      <c r="NFL236" s="269"/>
      <c r="NFM236" s="269"/>
      <c r="NFN236" s="269"/>
      <c r="NFO236" s="269"/>
      <c r="NFP236" s="269"/>
      <c r="NFQ236" s="269"/>
      <c r="NFR236" s="269"/>
      <c r="NFS236" s="269"/>
      <c r="NFT236" s="269"/>
      <c r="NFU236" s="269"/>
      <c r="NFV236" s="269"/>
      <c r="NFW236" s="269"/>
      <c r="NFX236" s="269"/>
      <c r="NFY236" s="269"/>
      <c r="NFZ236" s="269"/>
      <c r="NGA236" s="269"/>
      <c r="NGB236" s="269"/>
      <c r="NGC236" s="269"/>
      <c r="NGD236" s="269"/>
      <c r="NGE236" s="269"/>
      <c r="NGF236" s="269"/>
      <c r="NGG236" s="269"/>
      <c r="NGH236" s="269"/>
      <c r="NGI236" s="269"/>
      <c r="NGJ236" s="269"/>
      <c r="NGK236" s="269"/>
      <c r="NGL236" s="269"/>
      <c r="NGM236" s="269"/>
      <c r="NGN236" s="269"/>
      <c r="NGO236" s="269"/>
      <c r="NGP236" s="269"/>
      <c r="NGQ236" s="269"/>
      <c r="NGR236" s="269"/>
      <c r="NGS236" s="269"/>
      <c r="NGT236" s="269"/>
      <c r="NGU236" s="269"/>
      <c r="NGV236" s="269"/>
      <c r="NGW236" s="269"/>
      <c r="NGX236" s="269"/>
      <c r="NGY236" s="269"/>
      <c r="NGZ236" s="269"/>
      <c r="NHA236" s="269"/>
      <c r="NHB236" s="269"/>
      <c r="NHC236" s="269"/>
      <c r="NHD236" s="269"/>
      <c r="NHE236" s="269"/>
      <c r="NHF236" s="269"/>
      <c r="NHG236" s="269"/>
      <c r="NHH236" s="269"/>
      <c r="NHI236" s="269"/>
      <c r="NHJ236" s="269"/>
      <c r="NHK236" s="269"/>
      <c r="NHL236" s="269"/>
      <c r="NHM236" s="269"/>
      <c r="NHN236" s="269"/>
      <c r="NHO236" s="269"/>
      <c r="NHP236" s="269"/>
      <c r="NHQ236" s="269"/>
      <c r="NHR236" s="269"/>
      <c r="NHS236" s="269"/>
      <c r="NHT236" s="269"/>
      <c r="NHU236" s="269"/>
      <c r="NHV236" s="269"/>
      <c r="NHW236" s="269"/>
      <c r="NHX236" s="269"/>
      <c r="NHY236" s="269"/>
      <c r="NHZ236" s="269"/>
      <c r="NIA236" s="269"/>
      <c r="NIB236" s="269"/>
      <c r="NIC236" s="269"/>
      <c r="NID236" s="269"/>
      <c r="NIE236" s="269"/>
      <c r="NIF236" s="269"/>
      <c r="NIG236" s="269"/>
      <c r="NIH236" s="269"/>
      <c r="NII236" s="269"/>
      <c r="NIJ236" s="269"/>
      <c r="NIK236" s="269"/>
      <c r="NIL236" s="269"/>
      <c r="NIM236" s="269"/>
      <c r="NIN236" s="269"/>
      <c r="NIO236" s="269"/>
      <c r="NIP236" s="269"/>
      <c r="NIQ236" s="269"/>
      <c r="NIR236" s="269"/>
      <c r="NIS236" s="269"/>
      <c r="NIT236" s="269"/>
      <c r="NIU236" s="269"/>
      <c r="NIV236" s="269"/>
      <c r="NIW236" s="269"/>
      <c r="NIX236" s="269"/>
      <c r="NIY236" s="269"/>
      <c r="NIZ236" s="269"/>
      <c r="NJA236" s="269"/>
      <c r="NJB236" s="269"/>
      <c r="NJC236" s="269"/>
      <c r="NJD236" s="269"/>
      <c r="NJE236" s="269"/>
      <c r="NJF236" s="269"/>
      <c r="NJG236" s="269"/>
      <c r="NJH236" s="269"/>
      <c r="NJI236" s="269"/>
      <c r="NJJ236" s="269"/>
      <c r="NJK236" s="269"/>
      <c r="NJL236" s="269"/>
      <c r="NJM236" s="269"/>
      <c r="NJN236" s="269"/>
      <c r="NJO236" s="269"/>
      <c r="NJP236" s="269"/>
      <c r="NJQ236" s="269"/>
      <c r="NJR236" s="269"/>
      <c r="NJS236" s="269"/>
      <c r="NJT236" s="269"/>
      <c r="NJU236" s="269"/>
      <c r="NJV236" s="269"/>
      <c r="NJW236" s="269"/>
      <c r="NJX236" s="269"/>
      <c r="NJY236" s="269"/>
      <c r="NJZ236" s="269"/>
      <c r="NKA236" s="269"/>
      <c r="NKB236" s="269"/>
      <c r="NKC236" s="269"/>
      <c r="NKD236" s="269"/>
      <c r="NKE236" s="269"/>
      <c r="NKF236" s="269"/>
      <c r="NKG236" s="269"/>
      <c r="NKH236" s="269"/>
      <c r="NKI236" s="269"/>
      <c r="NKJ236" s="269"/>
      <c r="NKK236" s="269"/>
      <c r="NKL236" s="269"/>
      <c r="NKM236" s="269"/>
      <c r="NKN236" s="269"/>
      <c r="NKO236" s="269"/>
      <c r="NKP236" s="269"/>
      <c r="NKQ236" s="269"/>
      <c r="NKR236" s="269"/>
      <c r="NKS236" s="269"/>
      <c r="NKT236" s="269"/>
      <c r="NKU236" s="269"/>
      <c r="NKV236" s="269"/>
      <c r="NKW236" s="269"/>
      <c r="NKX236" s="269"/>
      <c r="NKY236" s="269"/>
      <c r="NKZ236" s="269"/>
      <c r="NLA236" s="269"/>
      <c r="NLB236" s="269"/>
      <c r="NLC236" s="269"/>
      <c r="NLD236" s="269"/>
      <c r="NLE236" s="269"/>
      <c r="NLF236" s="269"/>
      <c r="NLG236" s="269"/>
      <c r="NLH236" s="269"/>
      <c r="NLI236" s="269"/>
      <c r="NLJ236" s="269"/>
      <c r="NLK236" s="269"/>
      <c r="NLL236" s="269"/>
      <c r="NLM236" s="269"/>
      <c r="NLN236" s="269"/>
      <c r="NLO236" s="269"/>
      <c r="NLP236" s="269"/>
      <c r="NLQ236" s="269"/>
      <c r="NLR236" s="269"/>
      <c r="NLS236" s="269"/>
      <c r="NLT236" s="269"/>
      <c r="NLU236" s="269"/>
      <c r="NLV236" s="269"/>
      <c r="NLW236" s="269"/>
      <c r="NLX236" s="269"/>
      <c r="NLY236" s="269"/>
      <c r="NLZ236" s="269"/>
      <c r="NMA236" s="269"/>
      <c r="NMB236" s="269"/>
      <c r="NMC236" s="269"/>
      <c r="NMD236" s="269"/>
      <c r="NME236" s="269"/>
      <c r="NMF236" s="269"/>
      <c r="NMG236" s="269"/>
      <c r="NMH236" s="269"/>
      <c r="NMI236" s="269"/>
      <c r="NMJ236" s="269"/>
      <c r="NMK236" s="269"/>
      <c r="NML236" s="269"/>
      <c r="NMM236" s="269"/>
      <c r="NMN236" s="269"/>
      <c r="NMO236" s="269"/>
      <c r="NMP236" s="269"/>
      <c r="NMQ236" s="269"/>
      <c r="NMR236" s="269"/>
      <c r="NMS236" s="269"/>
      <c r="NMT236" s="269"/>
      <c r="NMU236" s="269"/>
      <c r="NMV236" s="269"/>
      <c r="NMW236" s="269"/>
      <c r="NMX236" s="269"/>
      <c r="NMY236" s="269"/>
      <c r="NMZ236" s="269"/>
      <c r="NNA236" s="269"/>
      <c r="NNB236" s="269"/>
      <c r="NNC236" s="269"/>
      <c r="NND236" s="269"/>
      <c r="NNE236" s="269"/>
      <c r="NNF236" s="269"/>
      <c r="NNG236" s="269"/>
      <c r="NNH236" s="269"/>
      <c r="NNI236" s="269"/>
      <c r="NNJ236" s="269"/>
      <c r="NNK236" s="269"/>
      <c r="NNL236" s="269"/>
      <c r="NNM236" s="269"/>
      <c r="NNN236" s="269"/>
      <c r="NNO236" s="269"/>
      <c r="NNP236" s="269"/>
      <c r="NNQ236" s="269"/>
      <c r="NNR236" s="269"/>
      <c r="NNS236" s="269"/>
      <c r="NNT236" s="269"/>
      <c r="NNU236" s="269"/>
      <c r="NNV236" s="269"/>
      <c r="NNW236" s="269"/>
      <c r="NNX236" s="269"/>
      <c r="NNY236" s="269"/>
      <c r="NNZ236" s="269"/>
      <c r="NOA236" s="269"/>
      <c r="NOB236" s="269"/>
      <c r="NOC236" s="269"/>
      <c r="NOD236" s="269"/>
      <c r="NOE236" s="269"/>
      <c r="NOF236" s="269"/>
      <c r="NOG236" s="269"/>
      <c r="NOH236" s="269"/>
      <c r="NOI236" s="269"/>
      <c r="NOJ236" s="269"/>
      <c r="NOK236" s="269"/>
      <c r="NOL236" s="269"/>
      <c r="NOM236" s="269"/>
      <c r="NON236" s="269"/>
      <c r="NOO236" s="269"/>
      <c r="NOP236" s="269"/>
      <c r="NOQ236" s="269"/>
      <c r="NOR236" s="269"/>
      <c r="NOS236" s="269"/>
      <c r="NOT236" s="269"/>
      <c r="NOU236" s="269"/>
      <c r="NOV236" s="269"/>
      <c r="NOW236" s="269"/>
      <c r="NOX236" s="269"/>
      <c r="NOY236" s="269"/>
      <c r="NOZ236" s="269"/>
      <c r="NPA236" s="269"/>
      <c r="NPB236" s="269"/>
      <c r="NPC236" s="269"/>
      <c r="NPD236" s="269"/>
      <c r="NPE236" s="269"/>
      <c r="NPF236" s="269"/>
      <c r="NPG236" s="269"/>
      <c r="NPH236" s="269"/>
      <c r="NPI236" s="269"/>
      <c r="NPJ236" s="269"/>
      <c r="NPK236" s="269"/>
      <c r="NPL236" s="269"/>
      <c r="NPM236" s="269"/>
      <c r="NPN236" s="269"/>
      <c r="NPO236" s="269"/>
      <c r="NPP236" s="269"/>
      <c r="NPQ236" s="269"/>
      <c r="NPR236" s="269"/>
      <c r="NPS236" s="269"/>
      <c r="NPT236" s="269"/>
      <c r="NPU236" s="269"/>
      <c r="NPV236" s="269"/>
      <c r="NPW236" s="269"/>
      <c r="NPX236" s="269"/>
      <c r="NPY236" s="269"/>
      <c r="NPZ236" s="269"/>
      <c r="NQA236" s="269"/>
      <c r="NQB236" s="269"/>
      <c r="NQC236" s="269"/>
      <c r="NQD236" s="269"/>
      <c r="NQE236" s="269"/>
      <c r="NQF236" s="269"/>
      <c r="NQG236" s="269"/>
      <c r="NQH236" s="269"/>
      <c r="NQI236" s="269"/>
      <c r="NQJ236" s="269"/>
      <c r="NQK236" s="269"/>
      <c r="NQL236" s="269"/>
      <c r="NQM236" s="269"/>
      <c r="NQN236" s="269"/>
      <c r="NQO236" s="269"/>
      <c r="NQP236" s="269"/>
      <c r="NQQ236" s="269"/>
      <c r="NQR236" s="269"/>
      <c r="NQS236" s="269"/>
      <c r="NQT236" s="269"/>
      <c r="NQU236" s="269"/>
      <c r="NQV236" s="269"/>
      <c r="NQW236" s="269"/>
      <c r="NQX236" s="269"/>
      <c r="NQY236" s="269"/>
      <c r="NQZ236" s="269"/>
      <c r="NRA236" s="269"/>
      <c r="NRB236" s="269"/>
      <c r="NRC236" s="269"/>
      <c r="NRD236" s="269"/>
      <c r="NRE236" s="269"/>
      <c r="NRF236" s="269"/>
      <c r="NRG236" s="269"/>
      <c r="NRH236" s="269"/>
      <c r="NRI236" s="269"/>
      <c r="NRJ236" s="269"/>
      <c r="NRK236" s="269"/>
      <c r="NRL236" s="269"/>
      <c r="NRM236" s="269"/>
      <c r="NRN236" s="269"/>
      <c r="NRO236" s="269"/>
      <c r="NRP236" s="269"/>
      <c r="NRQ236" s="269"/>
      <c r="NRR236" s="269"/>
      <c r="NRS236" s="269"/>
      <c r="NRT236" s="269"/>
      <c r="NRU236" s="269"/>
      <c r="NRV236" s="269"/>
      <c r="NRW236" s="269"/>
      <c r="NRX236" s="269"/>
      <c r="NRY236" s="269"/>
      <c r="NRZ236" s="269"/>
      <c r="NSA236" s="269"/>
      <c r="NSB236" s="269"/>
      <c r="NSC236" s="269"/>
      <c r="NSD236" s="269"/>
      <c r="NSE236" s="269"/>
      <c r="NSF236" s="269"/>
      <c r="NSG236" s="269"/>
      <c r="NSH236" s="269"/>
      <c r="NSI236" s="269"/>
      <c r="NSJ236" s="269"/>
      <c r="NSK236" s="269"/>
      <c r="NSL236" s="269"/>
      <c r="NSM236" s="269"/>
      <c r="NSN236" s="269"/>
      <c r="NSO236" s="269"/>
      <c r="NSP236" s="269"/>
      <c r="NSQ236" s="269"/>
      <c r="NSR236" s="269"/>
      <c r="NSS236" s="269"/>
      <c r="NST236" s="269"/>
      <c r="NSU236" s="269"/>
      <c r="NSV236" s="269"/>
      <c r="NSW236" s="269"/>
      <c r="NSX236" s="269"/>
      <c r="NSY236" s="269"/>
      <c r="NSZ236" s="269"/>
      <c r="NTA236" s="269"/>
      <c r="NTB236" s="269"/>
      <c r="NTC236" s="269"/>
      <c r="NTD236" s="269"/>
      <c r="NTE236" s="269"/>
      <c r="NTF236" s="269"/>
      <c r="NTG236" s="269"/>
      <c r="NTH236" s="269"/>
      <c r="NTI236" s="269"/>
      <c r="NTJ236" s="269"/>
      <c r="NTK236" s="269"/>
      <c r="NTL236" s="269"/>
      <c r="NTM236" s="269"/>
      <c r="NTN236" s="269"/>
      <c r="NTO236" s="269"/>
      <c r="NTP236" s="269"/>
      <c r="NTQ236" s="269"/>
      <c r="NTR236" s="269"/>
      <c r="NTS236" s="269"/>
      <c r="NTT236" s="269"/>
      <c r="NTU236" s="269"/>
      <c r="NTV236" s="269"/>
      <c r="NTW236" s="269"/>
      <c r="NTX236" s="269"/>
      <c r="NTY236" s="269"/>
      <c r="NTZ236" s="269"/>
      <c r="NUA236" s="269"/>
      <c r="NUB236" s="269"/>
      <c r="NUC236" s="269"/>
      <c r="NUD236" s="269"/>
      <c r="NUE236" s="269"/>
      <c r="NUF236" s="269"/>
      <c r="NUG236" s="269"/>
      <c r="NUH236" s="269"/>
      <c r="NUI236" s="269"/>
      <c r="NUJ236" s="269"/>
      <c r="NUK236" s="269"/>
      <c r="NUL236" s="269"/>
      <c r="NUM236" s="269"/>
      <c r="NUN236" s="269"/>
      <c r="NUO236" s="269"/>
      <c r="NUP236" s="269"/>
      <c r="NUQ236" s="269"/>
      <c r="NUR236" s="269"/>
      <c r="NUS236" s="269"/>
      <c r="NUT236" s="269"/>
      <c r="NUU236" s="269"/>
      <c r="NUV236" s="269"/>
      <c r="NUW236" s="269"/>
      <c r="NUX236" s="269"/>
      <c r="NUY236" s="269"/>
      <c r="NUZ236" s="269"/>
      <c r="NVA236" s="269"/>
      <c r="NVB236" s="269"/>
      <c r="NVC236" s="269"/>
      <c r="NVD236" s="269"/>
      <c r="NVE236" s="269"/>
      <c r="NVF236" s="269"/>
      <c r="NVG236" s="269"/>
      <c r="NVH236" s="269"/>
      <c r="NVI236" s="269"/>
      <c r="NVJ236" s="269"/>
      <c r="NVK236" s="269"/>
      <c r="NVL236" s="269"/>
      <c r="NVM236" s="269"/>
      <c r="NVN236" s="269"/>
      <c r="NVO236" s="269"/>
      <c r="NVP236" s="269"/>
      <c r="NVQ236" s="269"/>
      <c r="NVR236" s="269"/>
      <c r="NVS236" s="269"/>
      <c r="NVT236" s="269"/>
      <c r="NVU236" s="269"/>
      <c r="NVV236" s="269"/>
      <c r="NVW236" s="269"/>
      <c r="NVX236" s="269"/>
      <c r="NVY236" s="269"/>
      <c r="NVZ236" s="269"/>
      <c r="NWA236" s="269"/>
      <c r="NWB236" s="269"/>
      <c r="NWC236" s="269"/>
      <c r="NWD236" s="269"/>
      <c r="NWE236" s="269"/>
      <c r="NWF236" s="269"/>
      <c r="NWG236" s="269"/>
      <c r="NWH236" s="269"/>
      <c r="NWI236" s="269"/>
      <c r="NWJ236" s="269"/>
      <c r="NWK236" s="269"/>
      <c r="NWL236" s="269"/>
      <c r="NWM236" s="269"/>
      <c r="NWN236" s="269"/>
      <c r="NWO236" s="269"/>
      <c r="NWP236" s="269"/>
      <c r="NWQ236" s="269"/>
      <c r="NWR236" s="269"/>
      <c r="NWS236" s="269"/>
      <c r="NWT236" s="269"/>
      <c r="NWU236" s="269"/>
      <c r="NWV236" s="269"/>
      <c r="NWW236" s="269"/>
      <c r="NWX236" s="269"/>
      <c r="NWY236" s="269"/>
      <c r="NWZ236" s="269"/>
      <c r="NXA236" s="269"/>
      <c r="NXB236" s="269"/>
      <c r="NXC236" s="269"/>
      <c r="NXD236" s="269"/>
      <c r="NXE236" s="269"/>
      <c r="NXF236" s="269"/>
      <c r="NXG236" s="269"/>
      <c r="NXH236" s="269"/>
      <c r="NXI236" s="269"/>
      <c r="NXJ236" s="269"/>
      <c r="NXK236" s="269"/>
      <c r="NXL236" s="269"/>
      <c r="NXM236" s="269"/>
      <c r="NXN236" s="269"/>
      <c r="NXO236" s="269"/>
      <c r="NXP236" s="269"/>
      <c r="NXQ236" s="269"/>
      <c r="NXR236" s="269"/>
      <c r="NXS236" s="269"/>
      <c r="NXT236" s="269"/>
      <c r="NXU236" s="269"/>
      <c r="NXV236" s="269"/>
      <c r="NXW236" s="269"/>
      <c r="NXX236" s="269"/>
      <c r="NXY236" s="269"/>
      <c r="NXZ236" s="269"/>
      <c r="NYA236" s="269"/>
      <c r="NYB236" s="269"/>
      <c r="NYC236" s="269"/>
      <c r="NYD236" s="269"/>
      <c r="NYE236" s="269"/>
      <c r="NYF236" s="269"/>
      <c r="NYG236" s="269"/>
      <c r="NYH236" s="269"/>
      <c r="NYI236" s="269"/>
      <c r="NYJ236" s="269"/>
      <c r="NYK236" s="269"/>
      <c r="NYL236" s="269"/>
      <c r="NYM236" s="269"/>
      <c r="NYN236" s="269"/>
      <c r="NYO236" s="269"/>
      <c r="NYP236" s="269"/>
      <c r="NYQ236" s="269"/>
      <c r="NYR236" s="269"/>
      <c r="NYS236" s="269"/>
      <c r="NYT236" s="269"/>
      <c r="NYU236" s="269"/>
      <c r="NYV236" s="269"/>
      <c r="NYW236" s="269"/>
      <c r="NYX236" s="269"/>
      <c r="NYY236" s="269"/>
      <c r="NYZ236" s="269"/>
      <c r="NZA236" s="269"/>
      <c r="NZB236" s="269"/>
      <c r="NZC236" s="269"/>
      <c r="NZD236" s="269"/>
      <c r="NZE236" s="269"/>
      <c r="NZF236" s="269"/>
      <c r="NZG236" s="269"/>
      <c r="NZH236" s="269"/>
      <c r="NZI236" s="269"/>
      <c r="NZJ236" s="269"/>
      <c r="NZK236" s="269"/>
      <c r="NZL236" s="269"/>
      <c r="NZM236" s="269"/>
      <c r="NZN236" s="269"/>
      <c r="NZO236" s="269"/>
      <c r="NZP236" s="269"/>
      <c r="NZQ236" s="269"/>
      <c r="NZR236" s="269"/>
      <c r="NZS236" s="269"/>
      <c r="NZT236" s="269"/>
      <c r="NZU236" s="269"/>
      <c r="NZV236" s="269"/>
      <c r="NZW236" s="269"/>
      <c r="NZX236" s="269"/>
      <c r="NZY236" s="269"/>
      <c r="NZZ236" s="269"/>
      <c r="OAA236" s="269"/>
      <c r="OAB236" s="269"/>
      <c r="OAC236" s="269"/>
      <c r="OAD236" s="269"/>
      <c r="OAE236" s="269"/>
      <c r="OAF236" s="269"/>
      <c r="OAG236" s="269"/>
      <c r="OAH236" s="269"/>
      <c r="OAI236" s="269"/>
      <c r="OAJ236" s="269"/>
      <c r="OAK236" s="269"/>
      <c r="OAL236" s="269"/>
      <c r="OAM236" s="269"/>
      <c r="OAN236" s="269"/>
      <c r="OAO236" s="269"/>
      <c r="OAP236" s="269"/>
      <c r="OAQ236" s="269"/>
      <c r="OAR236" s="269"/>
      <c r="OAS236" s="269"/>
      <c r="OAT236" s="269"/>
      <c r="OAU236" s="269"/>
      <c r="OAV236" s="269"/>
      <c r="OAW236" s="269"/>
      <c r="OAX236" s="269"/>
      <c r="OAY236" s="269"/>
      <c r="OAZ236" s="269"/>
      <c r="OBA236" s="269"/>
      <c r="OBB236" s="269"/>
      <c r="OBC236" s="269"/>
      <c r="OBD236" s="269"/>
      <c r="OBE236" s="269"/>
      <c r="OBF236" s="269"/>
      <c r="OBG236" s="269"/>
      <c r="OBH236" s="269"/>
      <c r="OBI236" s="269"/>
      <c r="OBJ236" s="269"/>
      <c r="OBK236" s="269"/>
      <c r="OBL236" s="269"/>
      <c r="OBM236" s="269"/>
      <c r="OBN236" s="269"/>
      <c r="OBO236" s="269"/>
      <c r="OBP236" s="269"/>
      <c r="OBQ236" s="269"/>
      <c r="OBR236" s="269"/>
      <c r="OBS236" s="269"/>
      <c r="OBT236" s="269"/>
      <c r="OBU236" s="269"/>
      <c r="OBV236" s="269"/>
      <c r="OBW236" s="269"/>
      <c r="OBX236" s="269"/>
      <c r="OBY236" s="269"/>
      <c r="OBZ236" s="269"/>
      <c r="OCA236" s="269"/>
      <c r="OCB236" s="269"/>
      <c r="OCC236" s="269"/>
      <c r="OCD236" s="269"/>
      <c r="OCE236" s="269"/>
      <c r="OCF236" s="269"/>
      <c r="OCG236" s="269"/>
      <c r="OCH236" s="269"/>
      <c r="OCI236" s="269"/>
      <c r="OCJ236" s="269"/>
      <c r="OCK236" s="269"/>
      <c r="OCL236" s="269"/>
      <c r="OCM236" s="269"/>
      <c r="OCN236" s="269"/>
      <c r="OCO236" s="269"/>
      <c r="OCP236" s="269"/>
      <c r="OCQ236" s="269"/>
      <c r="OCR236" s="269"/>
      <c r="OCS236" s="269"/>
      <c r="OCT236" s="269"/>
      <c r="OCU236" s="269"/>
      <c r="OCV236" s="269"/>
      <c r="OCW236" s="269"/>
      <c r="OCX236" s="269"/>
      <c r="OCY236" s="269"/>
      <c r="OCZ236" s="269"/>
      <c r="ODA236" s="269"/>
      <c r="ODB236" s="269"/>
      <c r="ODC236" s="269"/>
      <c r="ODD236" s="269"/>
      <c r="ODE236" s="269"/>
      <c r="ODF236" s="269"/>
      <c r="ODG236" s="269"/>
      <c r="ODH236" s="269"/>
      <c r="ODI236" s="269"/>
      <c r="ODJ236" s="269"/>
      <c r="ODK236" s="269"/>
      <c r="ODL236" s="269"/>
      <c r="ODM236" s="269"/>
      <c r="ODN236" s="269"/>
      <c r="ODO236" s="269"/>
      <c r="ODP236" s="269"/>
      <c r="ODQ236" s="269"/>
      <c r="ODR236" s="269"/>
      <c r="ODS236" s="269"/>
      <c r="ODT236" s="269"/>
      <c r="ODU236" s="269"/>
      <c r="ODV236" s="269"/>
      <c r="ODW236" s="269"/>
      <c r="ODX236" s="269"/>
      <c r="ODY236" s="269"/>
      <c r="ODZ236" s="269"/>
      <c r="OEA236" s="269"/>
      <c r="OEB236" s="269"/>
      <c r="OEC236" s="269"/>
      <c r="OED236" s="269"/>
      <c r="OEE236" s="269"/>
      <c r="OEF236" s="269"/>
      <c r="OEG236" s="269"/>
      <c r="OEH236" s="269"/>
      <c r="OEI236" s="269"/>
      <c r="OEJ236" s="269"/>
      <c r="OEK236" s="269"/>
      <c r="OEL236" s="269"/>
      <c r="OEM236" s="269"/>
      <c r="OEN236" s="269"/>
      <c r="OEO236" s="269"/>
      <c r="OEP236" s="269"/>
      <c r="OEQ236" s="269"/>
      <c r="OER236" s="269"/>
      <c r="OES236" s="269"/>
      <c r="OET236" s="269"/>
      <c r="OEU236" s="269"/>
      <c r="OEV236" s="269"/>
      <c r="OEW236" s="269"/>
      <c r="OEX236" s="269"/>
      <c r="OEY236" s="269"/>
      <c r="OEZ236" s="269"/>
      <c r="OFA236" s="269"/>
      <c r="OFB236" s="269"/>
      <c r="OFC236" s="269"/>
      <c r="OFD236" s="269"/>
      <c r="OFE236" s="269"/>
      <c r="OFF236" s="269"/>
      <c r="OFG236" s="269"/>
      <c r="OFH236" s="269"/>
      <c r="OFI236" s="269"/>
      <c r="OFJ236" s="269"/>
      <c r="OFK236" s="269"/>
      <c r="OFL236" s="269"/>
      <c r="OFM236" s="269"/>
      <c r="OFN236" s="269"/>
      <c r="OFO236" s="269"/>
      <c r="OFP236" s="269"/>
      <c r="OFQ236" s="269"/>
      <c r="OFR236" s="269"/>
      <c r="OFS236" s="269"/>
      <c r="OFT236" s="269"/>
      <c r="OFU236" s="269"/>
      <c r="OFV236" s="269"/>
      <c r="OFW236" s="269"/>
      <c r="OFX236" s="269"/>
      <c r="OFY236" s="269"/>
      <c r="OFZ236" s="269"/>
      <c r="OGA236" s="269"/>
      <c r="OGB236" s="269"/>
      <c r="OGC236" s="269"/>
      <c r="OGD236" s="269"/>
      <c r="OGE236" s="269"/>
      <c r="OGF236" s="269"/>
      <c r="OGG236" s="269"/>
      <c r="OGH236" s="269"/>
      <c r="OGI236" s="269"/>
      <c r="OGJ236" s="269"/>
      <c r="OGK236" s="269"/>
      <c r="OGL236" s="269"/>
      <c r="OGM236" s="269"/>
      <c r="OGN236" s="269"/>
      <c r="OGO236" s="269"/>
      <c r="OGP236" s="269"/>
      <c r="OGQ236" s="269"/>
      <c r="OGR236" s="269"/>
      <c r="OGS236" s="269"/>
      <c r="OGT236" s="269"/>
      <c r="OGU236" s="269"/>
      <c r="OGV236" s="269"/>
      <c r="OGW236" s="269"/>
      <c r="OGX236" s="269"/>
      <c r="OGY236" s="269"/>
      <c r="OGZ236" s="269"/>
      <c r="OHA236" s="269"/>
      <c r="OHB236" s="269"/>
      <c r="OHC236" s="269"/>
      <c r="OHD236" s="269"/>
      <c r="OHE236" s="269"/>
      <c r="OHF236" s="269"/>
      <c r="OHG236" s="269"/>
      <c r="OHH236" s="269"/>
      <c r="OHI236" s="269"/>
      <c r="OHJ236" s="269"/>
      <c r="OHK236" s="269"/>
      <c r="OHL236" s="269"/>
      <c r="OHM236" s="269"/>
      <c r="OHN236" s="269"/>
      <c r="OHO236" s="269"/>
      <c r="OHP236" s="269"/>
      <c r="OHQ236" s="269"/>
      <c r="OHR236" s="269"/>
      <c r="OHS236" s="269"/>
      <c r="OHT236" s="269"/>
      <c r="OHU236" s="269"/>
      <c r="OHV236" s="269"/>
      <c r="OHW236" s="269"/>
      <c r="OHX236" s="269"/>
      <c r="OHY236" s="269"/>
      <c r="OHZ236" s="269"/>
      <c r="OIA236" s="269"/>
      <c r="OIB236" s="269"/>
      <c r="OIC236" s="269"/>
      <c r="OID236" s="269"/>
      <c r="OIE236" s="269"/>
      <c r="OIF236" s="269"/>
      <c r="OIG236" s="269"/>
      <c r="OIH236" s="269"/>
      <c r="OII236" s="269"/>
      <c r="OIJ236" s="269"/>
      <c r="OIK236" s="269"/>
      <c r="OIL236" s="269"/>
      <c r="OIM236" s="269"/>
      <c r="OIN236" s="269"/>
      <c r="OIO236" s="269"/>
      <c r="OIP236" s="269"/>
      <c r="OIQ236" s="269"/>
      <c r="OIR236" s="269"/>
      <c r="OIS236" s="269"/>
      <c r="OIT236" s="269"/>
      <c r="OIU236" s="269"/>
      <c r="OIV236" s="269"/>
      <c r="OIW236" s="269"/>
      <c r="OIX236" s="269"/>
      <c r="OIY236" s="269"/>
      <c r="OIZ236" s="269"/>
      <c r="OJA236" s="269"/>
      <c r="OJB236" s="269"/>
      <c r="OJC236" s="269"/>
      <c r="OJD236" s="269"/>
      <c r="OJE236" s="269"/>
      <c r="OJF236" s="269"/>
      <c r="OJG236" s="269"/>
      <c r="OJH236" s="269"/>
      <c r="OJI236" s="269"/>
      <c r="OJJ236" s="269"/>
      <c r="OJK236" s="269"/>
      <c r="OJL236" s="269"/>
      <c r="OJM236" s="269"/>
      <c r="OJN236" s="269"/>
      <c r="OJO236" s="269"/>
      <c r="OJP236" s="269"/>
      <c r="OJQ236" s="269"/>
      <c r="OJR236" s="269"/>
      <c r="OJS236" s="269"/>
      <c r="OJT236" s="269"/>
      <c r="OJU236" s="269"/>
      <c r="OJV236" s="269"/>
      <c r="OJW236" s="269"/>
      <c r="OJX236" s="269"/>
      <c r="OJY236" s="269"/>
      <c r="OJZ236" s="269"/>
      <c r="OKA236" s="269"/>
      <c r="OKB236" s="269"/>
      <c r="OKC236" s="269"/>
      <c r="OKD236" s="269"/>
      <c r="OKE236" s="269"/>
      <c r="OKF236" s="269"/>
      <c r="OKG236" s="269"/>
      <c r="OKH236" s="269"/>
      <c r="OKI236" s="269"/>
      <c r="OKJ236" s="269"/>
      <c r="OKK236" s="269"/>
      <c r="OKL236" s="269"/>
      <c r="OKM236" s="269"/>
      <c r="OKN236" s="269"/>
      <c r="OKO236" s="269"/>
      <c r="OKP236" s="269"/>
      <c r="OKQ236" s="269"/>
      <c r="OKR236" s="269"/>
      <c r="OKS236" s="269"/>
      <c r="OKT236" s="269"/>
      <c r="OKU236" s="269"/>
      <c r="OKV236" s="269"/>
      <c r="OKW236" s="269"/>
      <c r="OKX236" s="269"/>
      <c r="OKY236" s="269"/>
      <c r="OKZ236" s="269"/>
      <c r="OLA236" s="269"/>
      <c r="OLB236" s="269"/>
      <c r="OLC236" s="269"/>
      <c r="OLD236" s="269"/>
      <c r="OLE236" s="269"/>
      <c r="OLF236" s="269"/>
      <c r="OLG236" s="269"/>
      <c r="OLH236" s="269"/>
      <c r="OLI236" s="269"/>
      <c r="OLJ236" s="269"/>
      <c r="OLK236" s="269"/>
      <c r="OLL236" s="269"/>
      <c r="OLM236" s="269"/>
      <c r="OLN236" s="269"/>
      <c r="OLO236" s="269"/>
      <c r="OLP236" s="269"/>
      <c r="OLQ236" s="269"/>
      <c r="OLR236" s="269"/>
      <c r="OLS236" s="269"/>
      <c r="OLT236" s="269"/>
      <c r="OLU236" s="269"/>
      <c r="OLV236" s="269"/>
      <c r="OLW236" s="269"/>
      <c r="OLX236" s="269"/>
      <c r="OLY236" s="269"/>
      <c r="OLZ236" s="269"/>
      <c r="OMA236" s="269"/>
      <c r="OMB236" s="269"/>
      <c r="OMC236" s="269"/>
      <c r="OMD236" s="269"/>
      <c r="OME236" s="269"/>
      <c r="OMF236" s="269"/>
      <c r="OMG236" s="269"/>
      <c r="OMH236" s="269"/>
      <c r="OMI236" s="269"/>
      <c r="OMJ236" s="269"/>
      <c r="OMK236" s="269"/>
      <c r="OML236" s="269"/>
      <c r="OMM236" s="269"/>
      <c r="OMN236" s="269"/>
      <c r="OMO236" s="269"/>
      <c r="OMP236" s="269"/>
      <c r="OMQ236" s="269"/>
      <c r="OMR236" s="269"/>
      <c r="OMS236" s="269"/>
      <c r="OMT236" s="269"/>
      <c r="OMU236" s="269"/>
      <c r="OMV236" s="269"/>
      <c r="OMW236" s="269"/>
      <c r="OMX236" s="269"/>
      <c r="OMY236" s="269"/>
      <c r="OMZ236" s="269"/>
      <c r="ONA236" s="269"/>
      <c r="ONB236" s="269"/>
      <c r="ONC236" s="269"/>
      <c r="OND236" s="269"/>
      <c r="ONE236" s="269"/>
      <c r="ONF236" s="269"/>
      <c r="ONG236" s="269"/>
      <c r="ONH236" s="269"/>
      <c r="ONI236" s="269"/>
      <c r="ONJ236" s="269"/>
      <c r="ONK236" s="269"/>
      <c r="ONL236" s="269"/>
      <c r="ONM236" s="269"/>
      <c r="ONN236" s="269"/>
      <c r="ONO236" s="269"/>
      <c r="ONP236" s="269"/>
      <c r="ONQ236" s="269"/>
      <c r="ONR236" s="269"/>
      <c r="ONS236" s="269"/>
      <c r="ONT236" s="269"/>
      <c r="ONU236" s="269"/>
      <c r="ONV236" s="269"/>
      <c r="ONW236" s="269"/>
      <c r="ONX236" s="269"/>
      <c r="ONY236" s="269"/>
      <c r="ONZ236" s="269"/>
      <c r="OOA236" s="269"/>
      <c r="OOB236" s="269"/>
      <c r="OOC236" s="269"/>
      <c r="OOD236" s="269"/>
      <c r="OOE236" s="269"/>
      <c r="OOF236" s="269"/>
      <c r="OOG236" s="269"/>
      <c r="OOH236" s="269"/>
      <c r="OOI236" s="269"/>
      <c r="OOJ236" s="269"/>
      <c r="OOK236" s="269"/>
      <c r="OOL236" s="269"/>
      <c r="OOM236" s="269"/>
      <c r="OON236" s="269"/>
      <c r="OOO236" s="269"/>
      <c r="OOP236" s="269"/>
      <c r="OOQ236" s="269"/>
      <c r="OOR236" s="269"/>
      <c r="OOS236" s="269"/>
      <c r="OOT236" s="269"/>
      <c r="OOU236" s="269"/>
      <c r="OOV236" s="269"/>
      <c r="OOW236" s="269"/>
      <c r="OOX236" s="269"/>
      <c r="OOY236" s="269"/>
      <c r="OOZ236" s="269"/>
      <c r="OPA236" s="269"/>
      <c r="OPB236" s="269"/>
      <c r="OPC236" s="269"/>
      <c r="OPD236" s="269"/>
      <c r="OPE236" s="269"/>
      <c r="OPF236" s="269"/>
      <c r="OPG236" s="269"/>
      <c r="OPH236" s="269"/>
      <c r="OPI236" s="269"/>
      <c r="OPJ236" s="269"/>
      <c r="OPK236" s="269"/>
      <c r="OPL236" s="269"/>
      <c r="OPM236" s="269"/>
      <c r="OPN236" s="269"/>
      <c r="OPO236" s="269"/>
      <c r="OPP236" s="269"/>
      <c r="OPQ236" s="269"/>
      <c r="OPR236" s="269"/>
      <c r="OPS236" s="269"/>
      <c r="OPT236" s="269"/>
      <c r="OPU236" s="269"/>
      <c r="OPV236" s="269"/>
      <c r="OPW236" s="269"/>
      <c r="OPX236" s="269"/>
      <c r="OPY236" s="269"/>
      <c r="OPZ236" s="269"/>
      <c r="OQA236" s="269"/>
      <c r="OQB236" s="269"/>
      <c r="OQC236" s="269"/>
      <c r="OQD236" s="269"/>
      <c r="OQE236" s="269"/>
      <c r="OQF236" s="269"/>
      <c r="OQG236" s="269"/>
      <c r="OQH236" s="269"/>
      <c r="OQI236" s="269"/>
      <c r="OQJ236" s="269"/>
      <c r="OQK236" s="269"/>
      <c r="OQL236" s="269"/>
      <c r="OQM236" s="269"/>
      <c r="OQN236" s="269"/>
      <c r="OQO236" s="269"/>
      <c r="OQP236" s="269"/>
      <c r="OQQ236" s="269"/>
      <c r="OQR236" s="269"/>
      <c r="OQS236" s="269"/>
      <c r="OQT236" s="269"/>
      <c r="OQU236" s="269"/>
      <c r="OQV236" s="269"/>
      <c r="OQW236" s="269"/>
      <c r="OQX236" s="269"/>
      <c r="OQY236" s="269"/>
      <c r="OQZ236" s="269"/>
      <c r="ORA236" s="269"/>
      <c r="ORB236" s="269"/>
      <c r="ORC236" s="269"/>
      <c r="ORD236" s="269"/>
      <c r="ORE236" s="269"/>
      <c r="ORF236" s="269"/>
      <c r="ORG236" s="269"/>
      <c r="ORH236" s="269"/>
      <c r="ORI236" s="269"/>
      <c r="ORJ236" s="269"/>
      <c r="ORK236" s="269"/>
      <c r="ORL236" s="269"/>
      <c r="ORM236" s="269"/>
      <c r="ORN236" s="269"/>
      <c r="ORO236" s="269"/>
      <c r="ORP236" s="269"/>
      <c r="ORQ236" s="269"/>
      <c r="ORR236" s="269"/>
      <c r="ORS236" s="269"/>
      <c r="ORT236" s="269"/>
      <c r="ORU236" s="269"/>
      <c r="ORV236" s="269"/>
      <c r="ORW236" s="269"/>
      <c r="ORX236" s="269"/>
      <c r="ORY236" s="269"/>
      <c r="ORZ236" s="269"/>
      <c r="OSA236" s="269"/>
      <c r="OSB236" s="269"/>
      <c r="OSC236" s="269"/>
      <c r="OSD236" s="269"/>
      <c r="OSE236" s="269"/>
      <c r="OSF236" s="269"/>
      <c r="OSG236" s="269"/>
      <c r="OSH236" s="269"/>
      <c r="OSI236" s="269"/>
      <c r="OSJ236" s="269"/>
      <c r="OSK236" s="269"/>
      <c r="OSL236" s="269"/>
      <c r="OSM236" s="269"/>
      <c r="OSN236" s="269"/>
      <c r="OSO236" s="269"/>
      <c r="OSP236" s="269"/>
      <c r="OSQ236" s="269"/>
      <c r="OSR236" s="269"/>
      <c r="OSS236" s="269"/>
      <c r="OST236" s="269"/>
      <c r="OSU236" s="269"/>
      <c r="OSV236" s="269"/>
      <c r="OSW236" s="269"/>
      <c r="OSX236" s="269"/>
      <c r="OSY236" s="269"/>
      <c r="OSZ236" s="269"/>
      <c r="OTA236" s="269"/>
      <c r="OTB236" s="269"/>
      <c r="OTC236" s="269"/>
      <c r="OTD236" s="269"/>
      <c r="OTE236" s="269"/>
      <c r="OTF236" s="269"/>
      <c r="OTG236" s="269"/>
      <c r="OTH236" s="269"/>
      <c r="OTI236" s="269"/>
      <c r="OTJ236" s="269"/>
      <c r="OTK236" s="269"/>
      <c r="OTL236" s="269"/>
      <c r="OTM236" s="269"/>
      <c r="OTN236" s="269"/>
      <c r="OTO236" s="269"/>
      <c r="OTP236" s="269"/>
      <c r="OTQ236" s="269"/>
      <c r="OTR236" s="269"/>
      <c r="OTS236" s="269"/>
      <c r="OTT236" s="269"/>
      <c r="OTU236" s="269"/>
      <c r="OTV236" s="269"/>
      <c r="OTW236" s="269"/>
      <c r="OTX236" s="269"/>
      <c r="OTY236" s="269"/>
      <c r="OTZ236" s="269"/>
      <c r="OUA236" s="269"/>
      <c r="OUB236" s="269"/>
      <c r="OUC236" s="269"/>
      <c r="OUD236" s="269"/>
      <c r="OUE236" s="269"/>
      <c r="OUF236" s="269"/>
      <c r="OUG236" s="269"/>
      <c r="OUH236" s="269"/>
      <c r="OUI236" s="269"/>
      <c r="OUJ236" s="269"/>
      <c r="OUK236" s="269"/>
      <c r="OUL236" s="269"/>
      <c r="OUM236" s="269"/>
      <c r="OUN236" s="269"/>
      <c r="OUO236" s="269"/>
      <c r="OUP236" s="269"/>
      <c r="OUQ236" s="269"/>
      <c r="OUR236" s="269"/>
      <c r="OUS236" s="269"/>
      <c r="OUT236" s="269"/>
      <c r="OUU236" s="269"/>
      <c r="OUV236" s="269"/>
      <c r="OUW236" s="269"/>
      <c r="OUX236" s="269"/>
      <c r="OUY236" s="269"/>
      <c r="OUZ236" s="269"/>
      <c r="OVA236" s="269"/>
      <c r="OVB236" s="269"/>
      <c r="OVC236" s="269"/>
      <c r="OVD236" s="269"/>
      <c r="OVE236" s="269"/>
      <c r="OVF236" s="269"/>
      <c r="OVG236" s="269"/>
      <c r="OVH236" s="269"/>
      <c r="OVI236" s="269"/>
      <c r="OVJ236" s="269"/>
      <c r="OVK236" s="269"/>
      <c r="OVL236" s="269"/>
      <c r="OVM236" s="269"/>
      <c r="OVN236" s="269"/>
      <c r="OVO236" s="269"/>
      <c r="OVP236" s="269"/>
      <c r="OVQ236" s="269"/>
      <c r="OVR236" s="269"/>
      <c r="OVS236" s="269"/>
      <c r="OVT236" s="269"/>
      <c r="OVU236" s="269"/>
      <c r="OVV236" s="269"/>
      <c r="OVW236" s="269"/>
      <c r="OVX236" s="269"/>
      <c r="OVY236" s="269"/>
      <c r="OVZ236" s="269"/>
      <c r="OWA236" s="269"/>
      <c r="OWB236" s="269"/>
      <c r="OWC236" s="269"/>
      <c r="OWD236" s="269"/>
      <c r="OWE236" s="269"/>
      <c r="OWF236" s="269"/>
      <c r="OWG236" s="269"/>
      <c r="OWH236" s="269"/>
      <c r="OWI236" s="269"/>
      <c r="OWJ236" s="269"/>
      <c r="OWK236" s="269"/>
      <c r="OWL236" s="269"/>
      <c r="OWM236" s="269"/>
      <c r="OWN236" s="269"/>
      <c r="OWO236" s="269"/>
      <c r="OWP236" s="269"/>
      <c r="OWQ236" s="269"/>
      <c r="OWR236" s="269"/>
      <c r="OWS236" s="269"/>
      <c r="OWT236" s="269"/>
      <c r="OWU236" s="269"/>
      <c r="OWV236" s="269"/>
      <c r="OWW236" s="269"/>
      <c r="OWX236" s="269"/>
      <c r="OWY236" s="269"/>
      <c r="OWZ236" s="269"/>
      <c r="OXA236" s="269"/>
      <c r="OXB236" s="269"/>
      <c r="OXC236" s="269"/>
      <c r="OXD236" s="269"/>
      <c r="OXE236" s="269"/>
      <c r="OXF236" s="269"/>
      <c r="OXG236" s="269"/>
      <c r="OXH236" s="269"/>
      <c r="OXI236" s="269"/>
      <c r="OXJ236" s="269"/>
      <c r="OXK236" s="269"/>
      <c r="OXL236" s="269"/>
      <c r="OXM236" s="269"/>
      <c r="OXN236" s="269"/>
      <c r="OXO236" s="269"/>
      <c r="OXP236" s="269"/>
      <c r="OXQ236" s="269"/>
      <c r="OXR236" s="269"/>
      <c r="OXS236" s="269"/>
      <c r="OXT236" s="269"/>
      <c r="OXU236" s="269"/>
      <c r="OXV236" s="269"/>
      <c r="OXW236" s="269"/>
      <c r="OXX236" s="269"/>
      <c r="OXY236" s="269"/>
      <c r="OXZ236" s="269"/>
      <c r="OYA236" s="269"/>
      <c r="OYB236" s="269"/>
      <c r="OYC236" s="269"/>
      <c r="OYD236" s="269"/>
      <c r="OYE236" s="269"/>
      <c r="OYF236" s="269"/>
      <c r="OYG236" s="269"/>
      <c r="OYH236" s="269"/>
      <c r="OYI236" s="269"/>
      <c r="OYJ236" s="269"/>
      <c r="OYK236" s="269"/>
      <c r="OYL236" s="269"/>
      <c r="OYM236" s="269"/>
      <c r="OYN236" s="269"/>
      <c r="OYO236" s="269"/>
      <c r="OYP236" s="269"/>
      <c r="OYQ236" s="269"/>
      <c r="OYR236" s="269"/>
      <c r="OYS236" s="269"/>
      <c r="OYT236" s="269"/>
      <c r="OYU236" s="269"/>
      <c r="OYV236" s="269"/>
      <c r="OYW236" s="269"/>
      <c r="OYX236" s="269"/>
      <c r="OYY236" s="269"/>
      <c r="OYZ236" s="269"/>
      <c r="OZA236" s="269"/>
      <c r="OZB236" s="269"/>
      <c r="OZC236" s="269"/>
      <c r="OZD236" s="269"/>
      <c r="OZE236" s="269"/>
      <c r="OZF236" s="269"/>
      <c r="OZG236" s="269"/>
      <c r="OZH236" s="269"/>
      <c r="OZI236" s="269"/>
      <c r="OZJ236" s="269"/>
      <c r="OZK236" s="269"/>
      <c r="OZL236" s="269"/>
      <c r="OZM236" s="269"/>
      <c r="OZN236" s="269"/>
      <c r="OZO236" s="269"/>
      <c r="OZP236" s="269"/>
      <c r="OZQ236" s="269"/>
      <c r="OZR236" s="269"/>
      <c r="OZS236" s="269"/>
      <c r="OZT236" s="269"/>
      <c r="OZU236" s="269"/>
      <c r="OZV236" s="269"/>
      <c r="OZW236" s="269"/>
      <c r="OZX236" s="269"/>
      <c r="OZY236" s="269"/>
      <c r="OZZ236" s="269"/>
      <c r="PAA236" s="269"/>
      <c r="PAB236" s="269"/>
      <c r="PAC236" s="269"/>
      <c r="PAD236" s="269"/>
      <c r="PAE236" s="269"/>
      <c r="PAF236" s="269"/>
      <c r="PAG236" s="269"/>
      <c r="PAH236" s="269"/>
      <c r="PAI236" s="269"/>
      <c r="PAJ236" s="269"/>
      <c r="PAK236" s="269"/>
      <c r="PAL236" s="269"/>
      <c r="PAM236" s="269"/>
      <c r="PAN236" s="269"/>
      <c r="PAO236" s="269"/>
      <c r="PAP236" s="269"/>
      <c r="PAQ236" s="269"/>
      <c r="PAR236" s="269"/>
      <c r="PAS236" s="269"/>
      <c r="PAT236" s="269"/>
      <c r="PAU236" s="269"/>
      <c r="PAV236" s="269"/>
      <c r="PAW236" s="269"/>
      <c r="PAX236" s="269"/>
      <c r="PAY236" s="269"/>
      <c r="PAZ236" s="269"/>
      <c r="PBA236" s="269"/>
      <c r="PBB236" s="269"/>
      <c r="PBC236" s="269"/>
      <c r="PBD236" s="269"/>
      <c r="PBE236" s="269"/>
      <c r="PBF236" s="269"/>
      <c r="PBG236" s="269"/>
      <c r="PBH236" s="269"/>
      <c r="PBI236" s="269"/>
      <c r="PBJ236" s="269"/>
      <c r="PBK236" s="269"/>
      <c r="PBL236" s="269"/>
      <c r="PBM236" s="269"/>
      <c r="PBN236" s="269"/>
      <c r="PBO236" s="269"/>
      <c r="PBP236" s="269"/>
      <c r="PBQ236" s="269"/>
      <c r="PBR236" s="269"/>
      <c r="PBS236" s="269"/>
      <c r="PBT236" s="269"/>
      <c r="PBU236" s="269"/>
      <c r="PBV236" s="269"/>
      <c r="PBW236" s="269"/>
      <c r="PBX236" s="269"/>
      <c r="PBY236" s="269"/>
      <c r="PBZ236" s="269"/>
      <c r="PCA236" s="269"/>
      <c r="PCB236" s="269"/>
      <c r="PCC236" s="269"/>
      <c r="PCD236" s="269"/>
      <c r="PCE236" s="269"/>
      <c r="PCF236" s="269"/>
      <c r="PCG236" s="269"/>
      <c r="PCH236" s="269"/>
      <c r="PCI236" s="269"/>
      <c r="PCJ236" s="269"/>
      <c r="PCK236" s="269"/>
      <c r="PCL236" s="269"/>
      <c r="PCM236" s="269"/>
      <c r="PCN236" s="269"/>
      <c r="PCO236" s="269"/>
      <c r="PCP236" s="269"/>
      <c r="PCQ236" s="269"/>
      <c r="PCR236" s="269"/>
      <c r="PCS236" s="269"/>
      <c r="PCT236" s="269"/>
      <c r="PCU236" s="269"/>
      <c r="PCV236" s="269"/>
      <c r="PCW236" s="269"/>
      <c r="PCX236" s="269"/>
      <c r="PCY236" s="269"/>
      <c r="PCZ236" s="269"/>
      <c r="PDA236" s="269"/>
      <c r="PDB236" s="269"/>
      <c r="PDC236" s="269"/>
      <c r="PDD236" s="269"/>
      <c r="PDE236" s="269"/>
      <c r="PDF236" s="269"/>
      <c r="PDG236" s="269"/>
      <c r="PDH236" s="269"/>
      <c r="PDI236" s="269"/>
      <c r="PDJ236" s="269"/>
      <c r="PDK236" s="269"/>
      <c r="PDL236" s="269"/>
      <c r="PDM236" s="269"/>
      <c r="PDN236" s="269"/>
      <c r="PDO236" s="269"/>
      <c r="PDP236" s="269"/>
      <c r="PDQ236" s="269"/>
      <c r="PDR236" s="269"/>
      <c r="PDS236" s="269"/>
      <c r="PDT236" s="269"/>
      <c r="PDU236" s="269"/>
      <c r="PDV236" s="269"/>
      <c r="PDW236" s="269"/>
      <c r="PDX236" s="269"/>
      <c r="PDY236" s="269"/>
      <c r="PDZ236" s="269"/>
      <c r="PEA236" s="269"/>
      <c r="PEB236" s="269"/>
      <c r="PEC236" s="269"/>
      <c r="PED236" s="269"/>
      <c r="PEE236" s="269"/>
      <c r="PEF236" s="269"/>
      <c r="PEG236" s="269"/>
      <c r="PEH236" s="269"/>
      <c r="PEI236" s="269"/>
      <c r="PEJ236" s="269"/>
      <c r="PEK236" s="269"/>
      <c r="PEL236" s="269"/>
      <c r="PEM236" s="269"/>
      <c r="PEN236" s="269"/>
      <c r="PEO236" s="269"/>
      <c r="PEP236" s="269"/>
      <c r="PEQ236" s="269"/>
      <c r="PER236" s="269"/>
      <c r="PES236" s="269"/>
      <c r="PET236" s="269"/>
      <c r="PEU236" s="269"/>
      <c r="PEV236" s="269"/>
      <c r="PEW236" s="269"/>
      <c r="PEX236" s="269"/>
      <c r="PEY236" s="269"/>
      <c r="PEZ236" s="269"/>
      <c r="PFA236" s="269"/>
      <c r="PFB236" s="269"/>
      <c r="PFC236" s="269"/>
      <c r="PFD236" s="269"/>
      <c r="PFE236" s="269"/>
      <c r="PFF236" s="269"/>
      <c r="PFG236" s="269"/>
      <c r="PFH236" s="269"/>
      <c r="PFI236" s="269"/>
      <c r="PFJ236" s="269"/>
      <c r="PFK236" s="269"/>
      <c r="PFL236" s="269"/>
      <c r="PFM236" s="269"/>
      <c r="PFN236" s="269"/>
      <c r="PFO236" s="269"/>
      <c r="PFP236" s="269"/>
      <c r="PFQ236" s="269"/>
      <c r="PFR236" s="269"/>
      <c r="PFS236" s="269"/>
      <c r="PFT236" s="269"/>
      <c r="PFU236" s="269"/>
      <c r="PFV236" s="269"/>
      <c r="PFW236" s="269"/>
      <c r="PFX236" s="269"/>
      <c r="PFY236" s="269"/>
      <c r="PFZ236" s="269"/>
      <c r="PGA236" s="269"/>
      <c r="PGB236" s="269"/>
      <c r="PGC236" s="269"/>
      <c r="PGD236" s="269"/>
      <c r="PGE236" s="269"/>
      <c r="PGF236" s="269"/>
      <c r="PGG236" s="269"/>
      <c r="PGH236" s="269"/>
      <c r="PGI236" s="269"/>
      <c r="PGJ236" s="269"/>
      <c r="PGK236" s="269"/>
      <c r="PGL236" s="269"/>
      <c r="PGM236" s="269"/>
      <c r="PGN236" s="269"/>
      <c r="PGO236" s="269"/>
      <c r="PGP236" s="269"/>
      <c r="PGQ236" s="269"/>
      <c r="PGR236" s="269"/>
      <c r="PGS236" s="269"/>
      <c r="PGT236" s="269"/>
      <c r="PGU236" s="269"/>
      <c r="PGV236" s="269"/>
      <c r="PGW236" s="269"/>
      <c r="PGX236" s="269"/>
      <c r="PGY236" s="269"/>
      <c r="PGZ236" s="269"/>
      <c r="PHA236" s="269"/>
      <c r="PHB236" s="269"/>
      <c r="PHC236" s="269"/>
      <c r="PHD236" s="269"/>
      <c r="PHE236" s="269"/>
      <c r="PHF236" s="269"/>
      <c r="PHG236" s="269"/>
      <c r="PHH236" s="269"/>
      <c r="PHI236" s="269"/>
      <c r="PHJ236" s="269"/>
      <c r="PHK236" s="269"/>
      <c r="PHL236" s="269"/>
      <c r="PHM236" s="269"/>
      <c r="PHN236" s="269"/>
      <c r="PHO236" s="269"/>
      <c r="PHP236" s="269"/>
      <c r="PHQ236" s="269"/>
      <c r="PHR236" s="269"/>
      <c r="PHS236" s="269"/>
      <c r="PHT236" s="269"/>
      <c r="PHU236" s="269"/>
      <c r="PHV236" s="269"/>
      <c r="PHW236" s="269"/>
      <c r="PHX236" s="269"/>
      <c r="PHY236" s="269"/>
      <c r="PHZ236" s="269"/>
      <c r="PIA236" s="269"/>
      <c r="PIB236" s="269"/>
      <c r="PIC236" s="269"/>
      <c r="PID236" s="269"/>
      <c r="PIE236" s="269"/>
      <c r="PIF236" s="269"/>
      <c r="PIG236" s="269"/>
      <c r="PIH236" s="269"/>
      <c r="PII236" s="269"/>
      <c r="PIJ236" s="269"/>
      <c r="PIK236" s="269"/>
      <c r="PIL236" s="269"/>
      <c r="PIM236" s="269"/>
      <c r="PIN236" s="269"/>
      <c r="PIO236" s="269"/>
      <c r="PIP236" s="269"/>
      <c r="PIQ236" s="269"/>
      <c r="PIR236" s="269"/>
      <c r="PIS236" s="269"/>
      <c r="PIT236" s="269"/>
      <c r="PIU236" s="269"/>
      <c r="PIV236" s="269"/>
      <c r="PIW236" s="269"/>
      <c r="PIX236" s="269"/>
      <c r="PIY236" s="269"/>
      <c r="PIZ236" s="269"/>
      <c r="PJA236" s="269"/>
      <c r="PJB236" s="269"/>
      <c r="PJC236" s="269"/>
      <c r="PJD236" s="269"/>
      <c r="PJE236" s="269"/>
      <c r="PJF236" s="269"/>
      <c r="PJG236" s="269"/>
      <c r="PJH236" s="269"/>
      <c r="PJI236" s="269"/>
      <c r="PJJ236" s="269"/>
      <c r="PJK236" s="269"/>
      <c r="PJL236" s="269"/>
      <c r="PJM236" s="269"/>
      <c r="PJN236" s="269"/>
      <c r="PJO236" s="269"/>
      <c r="PJP236" s="269"/>
      <c r="PJQ236" s="269"/>
      <c r="PJR236" s="269"/>
      <c r="PJS236" s="269"/>
      <c r="PJT236" s="269"/>
      <c r="PJU236" s="269"/>
      <c r="PJV236" s="269"/>
      <c r="PJW236" s="269"/>
      <c r="PJX236" s="269"/>
      <c r="PJY236" s="269"/>
      <c r="PJZ236" s="269"/>
      <c r="PKA236" s="269"/>
      <c r="PKB236" s="269"/>
      <c r="PKC236" s="269"/>
      <c r="PKD236" s="269"/>
      <c r="PKE236" s="269"/>
      <c r="PKF236" s="269"/>
      <c r="PKG236" s="269"/>
      <c r="PKH236" s="269"/>
      <c r="PKI236" s="269"/>
      <c r="PKJ236" s="269"/>
      <c r="PKK236" s="269"/>
      <c r="PKL236" s="269"/>
      <c r="PKM236" s="269"/>
      <c r="PKN236" s="269"/>
      <c r="PKO236" s="269"/>
      <c r="PKP236" s="269"/>
      <c r="PKQ236" s="269"/>
      <c r="PKR236" s="269"/>
      <c r="PKS236" s="269"/>
      <c r="PKT236" s="269"/>
      <c r="PKU236" s="269"/>
      <c r="PKV236" s="269"/>
      <c r="PKW236" s="269"/>
      <c r="PKX236" s="269"/>
      <c r="PKY236" s="269"/>
      <c r="PKZ236" s="269"/>
      <c r="PLA236" s="269"/>
      <c r="PLB236" s="269"/>
      <c r="PLC236" s="269"/>
      <c r="PLD236" s="269"/>
      <c r="PLE236" s="269"/>
      <c r="PLF236" s="269"/>
      <c r="PLG236" s="269"/>
      <c r="PLH236" s="269"/>
      <c r="PLI236" s="269"/>
      <c r="PLJ236" s="269"/>
      <c r="PLK236" s="269"/>
      <c r="PLL236" s="269"/>
      <c r="PLM236" s="269"/>
      <c r="PLN236" s="269"/>
      <c r="PLO236" s="269"/>
      <c r="PLP236" s="269"/>
      <c r="PLQ236" s="269"/>
      <c r="PLR236" s="269"/>
      <c r="PLS236" s="269"/>
      <c r="PLT236" s="269"/>
      <c r="PLU236" s="269"/>
      <c r="PLV236" s="269"/>
      <c r="PLW236" s="269"/>
      <c r="PLX236" s="269"/>
      <c r="PLY236" s="269"/>
      <c r="PLZ236" s="269"/>
      <c r="PMA236" s="269"/>
      <c r="PMB236" s="269"/>
      <c r="PMC236" s="269"/>
      <c r="PMD236" s="269"/>
      <c r="PME236" s="269"/>
      <c r="PMF236" s="269"/>
      <c r="PMG236" s="269"/>
      <c r="PMH236" s="269"/>
      <c r="PMI236" s="269"/>
      <c r="PMJ236" s="269"/>
      <c r="PMK236" s="269"/>
      <c r="PML236" s="269"/>
      <c r="PMM236" s="269"/>
      <c r="PMN236" s="269"/>
      <c r="PMO236" s="269"/>
      <c r="PMP236" s="269"/>
      <c r="PMQ236" s="269"/>
      <c r="PMR236" s="269"/>
      <c r="PMS236" s="269"/>
      <c r="PMT236" s="269"/>
      <c r="PMU236" s="269"/>
      <c r="PMV236" s="269"/>
      <c r="PMW236" s="269"/>
      <c r="PMX236" s="269"/>
      <c r="PMY236" s="269"/>
      <c r="PMZ236" s="269"/>
      <c r="PNA236" s="269"/>
      <c r="PNB236" s="269"/>
      <c r="PNC236" s="269"/>
      <c r="PND236" s="269"/>
      <c r="PNE236" s="269"/>
      <c r="PNF236" s="269"/>
      <c r="PNG236" s="269"/>
      <c r="PNH236" s="269"/>
      <c r="PNI236" s="269"/>
      <c r="PNJ236" s="269"/>
      <c r="PNK236" s="269"/>
      <c r="PNL236" s="269"/>
      <c r="PNM236" s="269"/>
      <c r="PNN236" s="269"/>
      <c r="PNO236" s="269"/>
      <c r="PNP236" s="269"/>
      <c r="PNQ236" s="269"/>
      <c r="PNR236" s="269"/>
      <c r="PNS236" s="269"/>
      <c r="PNT236" s="269"/>
      <c r="PNU236" s="269"/>
      <c r="PNV236" s="269"/>
      <c r="PNW236" s="269"/>
      <c r="PNX236" s="269"/>
      <c r="PNY236" s="269"/>
      <c r="PNZ236" s="269"/>
      <c r="POA236" s="269"/>
      <c r="POB236" s="269"/>
      <c r="POC236" s="269"/>
      <c r="POD236" s="269"/>
      <c r="POE236" s="269"/>
      <c r="POF236" s="269"/>
      <c r="POG236" s="269"/>
      <c r="POH236" s="269"/>
      <c r="POI236" s="269"/>
      <c r="POJ236" s="269"/>
      <c r="POK236" s="269"/>
      <c r="POL236" s="269"/>
      <c r="POM236" s="269"/>
      <c r="PON236" s="269"/>
      <c r="POO236" s="269"/>
      <c r="POP236" s="269"/>
      <c r="POQ236" s="269"/>
      <c r="POR236" s="269"/>
      <c r="POS236" s="269"/>
      <c r="POT236" s="269"/>
      <c r="POU236" s="269"/>
      <c r="POV236" s="269"/>
      <c r="POW236" s="269"/>
      <c r="POX236" s="269"/>
      <c r="POY236" s="269"/>
      <c r="POZ236" s="269"/>
      <c r="PPA236" s="269"/>
      <c r="PPB236" s="269"/>
      <c r="PPC236" s="269"/>
      <c r="PPD236" s="269"/>
      <c r="PPE236" s="269"/>
      <c r="PPF236" s="269"/>
      <c r="PPG236" s="269"/>
      <c r="PPH236" s="269"/>
      <c r="PPI236" s="269"/>
      <c r="PPJ236" s="269"/>
      <c r="PPK236" s="269"/>
      <c r="PPL236" s="269"/>
      <c r="PPM236" s="269"/>
      <c r="PPN236" s="269"/>
      <c r="PPO236" s="269"/>
      <c r="PPP236" s="269"/>
      <c r="PPQ236" s="269"/>
      <c r="PPR236" s="269"/>
      <c r="PPS236" s="269"/>
      <c r="PPT236" s="269"/>
      <c r="PPU236" s="269"/>
      <c r="PPV236" s="269"/>
      <c r="PPW236" s="269"/>
      <c r="PPX236" s="269"/>
      <c r="PPY236" s="269"/>
      <c r="PPZ236" s="269"/>
      <c r="PQA236" s="269"/>
      <c r="PQB236" s="269"/>
      <c r="PQC236" s="269"/>
      <c r="PQD236" s="269"/>
      <c r="PQE236" s="269"/>
      <c r="PQF236" s="269"/>
      <c r="PQG236" s="269"/>
      <c r="PQH236" s="269"/>
      <c r="PQI236" s="269"/>
      <c r="PQJ236" s="269"/>
      <c r="PQK236" s="269"/>
      <c r="PQL236" s="269"/>
      <c r="PQM236" s="269"/>
      <c r="PQN236" s="269"/>
      <c r="PQO236" s="269"/>
      <c r="PQP236" s="269"/>
      <c r="PQQ236" s="269"/>
      <c r="PQR236" s="269"/>
      <c r="PQS236" s="269"/>
      <c r="PQT236" s="269"/>
      <c r="PQU236" s="269"/>
      <c r="PQV236" s="269"/>
      <c r="PQW236" s="269"/>
      <c r="PQX236" s="269"/>
      <c r="PQY236" s="269"/>
      <c r="PQZ236" s="269"/>
      <c r="PRA236" s="269"/>
      <c r="PRB236" s="269"/>
      <c r="PRC236" s="269"/>
      <c r="PRD236" s="269"/>
      <c r="PRE236" s="269"/>
      <c r="PRF236" s="269"/>
      <c r="PRG236" s="269"/>
      <c r="PRH236" s="269"/>
      <c r="PRI236" s="269"/>
      <c r="PRJ236" s="269"/>
      <c r="PRK236" s="269"/>
      <c r="PRL236" s="269"/>
      <c r="PRM236" s="269"/>
      <c r="PRN236" s="269"/>
      <c r="PRO236" s="269"/>
      <c r="PRP236" s="269"/>
      <c r="PRQ236" s="269"/>
      <c r="PRR236" s="269"/>
      <c r="PRS236" s="269"/>
      <c r="PRT236" s="269"/>
      <c r="PRU236" s="269"/>
      <c r="PRV236" s="269"/>
      <c r="PRW236" s="269"/>
      <c r="PRX236" s="269"/>
      <c r="PRY236" s="269"/>
      <c r="PRZ236" s="269"/>
      <c r="PSA236" s="269"/>
      <c r="PSB236" s="269"/>
      <c r="PSC236" s="269"/>
      <c r="PSD236" s="269"/>
      <c r="PSE236" s="269"/>
      <c r="PSF236" s="269"/>
      <c r="PSG236" s="269"/>
      <c r="PSH236" s="269"/>
      <c r="PSI236" s="269"/>
      <c r="PSJ236" s="269"/>
      <c r="PSK236" s="269"/>
      <c r="PSL236" s="269"/>
      <c r="PSM236" s="269"/>
      <c r="PSN236" s="269"/>
      <c r="PSO236" s="269"/>
      <c r="PSP236" s="269"/>
      <c r="PSQ236" s="269"/>
      <c r="PSR236" s="269"/>
      <c r="PSS236" s="269"/>
      <c r="PST236" s="269"/>
      <c r="PSU236" s="269"/>
      <c r="PSV236" s="269"/>
      <c r="PSW236" s="269"/>
      <c r="PSX236" s="269"/>
      <c r="PSY236" s="269"/>
      <c r="PSZ236" s="269"/>
      <c r="PTA236" s="269"/>
      <c r="PTB236" s="269"/>
      <c r="PTC236" s="269"/>
      <c r="PTD236" s="269"/>
      <c r="PTE236" s="269"/>
      <c r="PTF236" s="269"/>
      <c r="PTG236" s="269"/>
      <c r="PTH236" s="269"/>
      <c r="PTI236" s="269"/>
      <c r="PTJ236" s="269"/>
      <c r="PTK236" s="269"/>
      <c r="PTL236" s="269"/>
      <c r="PTM236" s="269"/>
      <c r="PTN236" s="269"/>
      <c r="PTO236" s="269"/>
      <c r="PTP236" s="269"/>
      <c r="PTQ236" s="269"/>
      <c r="PTR236" s="269"/>
      <c r="PTS236" s="269"/>
      <c r="PTT236" s="269"/>
      <c r="PTU236" s="269"/>
      <c r="PTV236" s="269"/>
      <c r="PTW236" s="269"/>
      <c r="PTX236" s="269"/>
      <c r="PTY236" s="269"/>
      <c r="PTZ236" s="269"/>
      <c r="PUA236" s="269"/>
      <c r="PUB236" s="269"/>
      <c r="PUC236" s="269"/>
      <c r="PUD236" s="269"/>
      <c r="PUE236" s="269"/>
      <c r="PUF236" s="269"/>
      <c r="PUG236" s="269"/>
      <c r="PUH236" s="269"/>
      <c r="PUI236" s="269"/>
      <c r="PUJ236" s="269"/>
      <c r="PUK236" s="269"/>
      <c r="PUL236" s="269"/>
      <c r="PUM236" s="269"/>
      <c r="PUN236" s="269"/>
      <c r="PUO236" s="269"/>
      <c r="PUP236" s="269"/>
      <c r="PUQ236" s="269"/>
      <c r="PUR236" s="269"/>
      <c r="PUS236" s="269"/>
      <c r="PUT236" s="269"/>
      <c r="PUU236" s="269"/>
      <c r="PUV236" s="269"/>
      <c r="PUW236" s="269"/>
      <c r="PUX236" s="269"/>
      <c r="PUY236" s="269"/>
      <c r="PUZ236" s="269"/>
      <c r="PVA236" s="269"/>
      <c r="PVB236" s="269"/>
      <c r="PVC236" s="269"/>
      <c r="PVD236" s="269"/>
      <c r="PVE236" s="269"/>
      <c r="PVF236" s="269"/>
      <c r="PVG236" s="269"/>
      <c r="PVH236" s="269"/>
      <c r="PVI236" s="269"/>
      <c r="PVJ236" s="269"/>
      <c r="PVK236" s="269"/>
      <c r="PVL236" s="269"/>
      <c r="PVM236" s="269"/>
      <c r="PVN236" s="269"/>
      <c r="PVO236" s="269"/>
      <c r="PVP236" s="269"/>
      <c r="PVQ236" s="269"/>
      <c r="PVR236" s="269"/>
      <c r="PVS236" s="269"/>
      <c r="PVT236" s="269"/>
      <c r="PVU236" s="269"/>
      <c r="PVV236" s="269"/>
      <c r="PVW236" s="269"/>
      <c r="PVX236" s="269"/>
      <c r="PVY236" s="269"/>
      <c r="PVZ236" s="269"/>
      <c r="PWA236" s="269"/>
      <c r="PWB236" s="269"/>
      <c r="PWC236" s="269"/>
      <c r="PWD236" s="269"/>
      <c r="PWE236" s="269"/>
      <c r="PWF236" s="269"/>
      <c r="PWG236" s="269"/>
      <c r="PWH236" s="269"/>
      <c r="PWI236" s="269"/>
      <c r="PWJ236" s="269"/>
      <c r="PWK236" s="269"/>
      <c r="PWL236" s="269"/>
      <c r="PWM236" s="269"/>
      <c r="PWN236" s="269"/>
      <c r="PWO236" s="269"/>
      <c r="PWP236" s="269"/>
      <c r="PWQ236" s="269"/>
      <c r="PWR236" s="269"/>
      <c r="PWS236" s="269"/>
      <c r="PWT236" s="269"/>
      <c r="PWU236" s="269"/>
      <c r="PWV236" s="269"/>
      <c r="PWW236" s="269"/>
      <c r="PWX236" s="269"/>
      <c r="PWY236" s="269"/>
      <c r="PWZ236" s="269"/>
      <c r="PXA236" s="269"/>
      <c r="PXB236" s="269"/>
      <c r="PXC236" s="269"/>
      <c r="PXD236" s="269"/>
      <c r="PXE236" s="269"/>
      <c r="PXF236" s="269"/>
      <c r="PXG236" s="269"/>
      <c r="PXH236" s="269"/>
      <c r="PXI236" s="269"/>
      <c r="PXJ236" s="269"/>
      <c r="PXK236" s="269"/>
      <c r="PXL236" s="269"/>
      <c r="PXM236" s="269"/>
      <c r="PXN236" s="269"/>
      <c r="PXO236" s="269"/>
      <c r="PXP236" s="269"/>
      <c r="PXQ236" s="269"/>
      <c r="PXR236" s="269"/>
      <c r="PXS236" s="269"/>
      <c r="PXT236" s="269"/>
      <c r="PXU236" s="269"/>
      <c r="PXV236" s="269"/>
      <c r="PXW236" s="269"/>
      <c r="PXX236" s="269"/>
      <c r="PXY236" s="269"/>
      <c r="PXZ236" s="269"/>
      <c r="PYA236" s="269"/>
      <c r="PYB236" s="269"/>
      <c r="PYC236" s="269"/>
      <c r="PYD236" s="269"/>
      <c r="PYE236" s="269"/>
      <c r="PYF236" s="269"/>
      <c r="PYG236" s="269"/>
      <c r="PYH236" s="269"/>
      <c r="PYI236" s="269"/>
      <c r="PYJ236" s="269"/>
      <c r="PYK236" s="269"/>
      <c r="PYL236" s="269"/>
      <c r="PYM236" s="269"/>
      <c r="PYN236" s="269"/>
      <c r="PYO236" s="269"/>
      <c r="PYP236" s="269"/>
      <c r="PYQ236" s="269"/>
      <c r="PYR236" s="269"/>
      <c r="PYS236" s="269"/>
      <c r="PYT236" s="269"/>
      <c r="PYU236" s="269"/>
      <c r="PYV236" s="269"/>
      <c r="PYW236" s="269"/>
      <c r="PYX236" s="269"/>
      <c r="PYY236" s="269"/>
      <c r="PYZ236" s="269"/>
      <c r="PZA236" s="269"/>
      <c r="PZB236" s="269"/>
      <c r="PZC236" s="269"/>
      <c r="PZD236" s="269"/>
      <c r="PZE236" s="269"/>
      <c r="PZF236" s="269"/>
      <c r="PZG236" s="269"/>
      <c r="PZH236" s="269"/>
      <c r="PZI236" s="269"/>
      <c r="PZJ236" s="269"/>
      <c r="PZK236" s="269"/>
      <c r="PZL236" s="269"/>
      <c r="PZM236" s="269"/>
      <c r="PZN236" s="269"/>
      <c r="PZO236" s="269"/>
      <c r="PZP236" s="269"/>
      <c r="PZQ236" s="269"/>
      <c r="PZR236" s="269"/>
      <c r="PZS236" s="269"/>
      <c r="PZT236" s="269"/>
      <c r="PZU236" s="269"/>
      <c r="PZV236" s="269"/>
      <c r="PZW236" s="269"/>
      <c r="PZX236" s="269"/>
      <c r="PZY236" s="269"/>
      <c r="PZZ236" s="269"/>
      <c r="QAA236" s="269"/>
      <c r="QAB236" s="269"/>
      <c r="QAC236" s="269"/>
      <c r="QAD236" s="269"/>
      <c r="QAE236" s="269"/>
      <c r="QAF236" s="269"/>
      <c r="QAG236" s="269"/>
      <c r="QAH236" s="269"/>
      <c r="QAI236" s="269"/>
      <c r="QAJ236" s="269"/>
      <c r="QAK236" s="269"/>
      <c r="QAL236" s="269"/>
      <c r="QAM236" s="269"/>
      <c r="QAN236" s="269"/>
      <c r="QAO236" s="269"/>
      <c r="QAP236" s="269"/>
      <c r="QAQ236" s="269"/>
      <c r="QAR236" s="269"/>
      <c r="QAS236" s="269"/>
      <c r="QAT236" s="269"/>
      <c r="QAU236" s="269"/>
      <c r="QAV236" s="269"/>
      <c r="QAW236" s="269"/>
      <c r="QAX236" s="269"/>
      <c r="QAY236" s="269"/>
      <c r="QAZ236" s="269"/>
      <c r="QBA236" s="269"/>
      <c r="QBB236" s="269"/>
      <c r="QBC236" s="269"/>
      <c r="QBD236" s="269"/>
      <c r="QBE236" s="269"/>
      <c r="QBF236" s="269"/>
      <c r="QBG236" s="269"/>
      <c r="QBH236" s="269"/>
      <c r="QBI236" s="269"/>
      <c r="QBJ236" s="269"/>
      <c r="QBK236" s="269"/>
      <c r="QBL236" s="269"/>
      <c r="QBM236" s="269"/>
      <c r="QBN236" s="269"/>
      <c r="QBO236" s="269"/>
      <c r="QBP236" s="269"/>
      <c r="QBQ236" s="269"/>
      <c r="QBR236" s="269"/>
      <c r="QBS236" s="269"/>
      <c r="QBT236" s="269"/>
      <c r="QBU236" s="269"/>
      <c r="QBV236" s="269"/>
      <c r="QBW236" s="269"/>
      <c r="QBX236" s="269"/>
      <c r="QBY236" s="269"/>
      <c r="QBZ236" s="269"/>
      <c r="QCA236" s="269"/>
      <c r="QCB236" s="269"/>
      <c r="QCC236" s="269"/>
      <c r="QCD236" s="269"/>
      <c r="QCE236" s="269"/>
      <c r="QCF236" s="269"/>
      <c r="QCG236" s="269"/>
      <c r="QCH236" s="269"/>
      <c r="QCI236" s="269"/>
      <c r="QCJ236" s="269"/>
      <c r="QCK236" s="269"/>
      <c r="QCL236" s="269"/>
      <c r="QCM236" s="269"/>
      <c r="QCN236" s="269"/>
      <c r="QCO236" s="269"/>
      <c r="QCP236" s="269"/>
      <c r="QCQ236" s="269"/>
      <c r="QCR236" s="269"/>
      <c r="QCS236" s="269"/>
      <c r="QCT236" s="269"/>
      <c r="QCU236" s="269"/>
      <c r="QCV236" s="269"/>
      <c r="QCW236" s="269"/>
      <c r="QCX236" s="269"/>
      <c r="QCY236" s="269"/>
      <c r="QCZ236" s="269"/>
      <c r="QDA236" s="269"/>
      <c r="QDB236" s="269"/>
      <c r="QDC236" s="269"/>
      <c r="QDD236" s="269"/>
      <c r="QDE236" s="269"/>
      <c r="QDF236" s="269"/>
      <c r="QDG236" s="269"/>
      <c r="QDH236" s="269"/>
      <c r="QDI236" s="269"/>
      <c r="QDJ236" s="269"/>
      <c r="QDK236" s="269"/>
      <c r="QDL236" s="269"/>
      <c r="QDM236" s="269"/>
      <c r="QDN236" s="269"/>
      <c r="QDO236" s="269"/>
      <c r="QDP236" s="269"/>
      <c r="QDQ236" s="269"/>
      <c r="QDR236" s="269"/>
      <c r="QDS236" s="269"/>
      <c r="QDT236" s="269"/>
      <c r="QDU236" s="269"/>
      <c r="QDV236" s="269"/>
      <c r="QDW236" s="269"/>
      <c r="QDX236" s="269"/>
      <c r="QDY236" s="269"/>
      <c r="QDZ236" s="269"/>
      <c r="QEA236" s="269"/>
      <c r="QEB236" s="269"/>
      <c r="QEC236" s="269"/>
      <c r="QED236" s="269"/>
      <c r="QEE236" s="269"/>
      <c r="QEF236" s="269"/>
      <c r="QEG236" s="269"/>
      <c r="QEH236" s="269"/>
      <c r="QEI236" s="269"/>
      <c r="QEJ236" s="269"/>
      <c r="QEK236" s="269"/>
      <c r="QEL236" s="269"/>
      <c r="QEM236" s="269"/>
      <c r="QEN236" s="269"/>
      <c r="QEO236" s="269"/>
      <c r="QEP236" s="269"/>
      <c r="QEQ236" s="269"/>
      <c r="QER236" s="269"/>
      <c r="QES236" s="269"/>
      <c r="QET236" s="269"/>
      <c r="QEU236" s="269"/>
      <c r="QEV236" s="269"/>
      <c r="QEW236" s="269"/>
      <c r="QEX236" s="269"/>
      <c r="QEY236" s="269"/>
      <c r="QEZ236" s="269"/>
      <c r="QFA236" s="269"/>
      <c r="QFB236" s="269"/>
      <c r="QFC236" s="269"/>
      <c r="QFD236" s="269"/>
      <c r="QFE236" s="269"/>
      <c r="QFF236" s="269"/>
      <c r="QFG236" s="269"/>
      <c r="QFH236" s="269"/>
      <c r="QFI236" s="269"/>
      <c r="QFJ236" s="269"/>
      <c r="QFK236" s="269"/>
      <c r="QFL236" s="269"/>
      <c r="QFM236" s="269"/>
      <c r="QFN236" s="269"/>
      <c r="QFO236" s="269"/>
      <c r="QFP236" s="269"/>
      <c r="QFQ236" s="269"/>
      <c r="QFR236" s="269"/>
      <c r="QFS236" s="269"/>
      <c r="QFT236" s="269"/>
      <c r="QFU236" s="269"/>
      <c r="QFV236" s="269"/>
      <c r="QFW236" s="269"/>
      <c r="QFX236" s="269"/>
      <c r="QFY236" s="269"/>
      <c r="QFZ236" s="269"/>
      <c r="QGA236" s="269"/>
      <c r="QGB236" s="269"/>
      <c r="QGC236" s="269"/>
      <c r="QGD236" s="269"/>
      <c r="QGE236" s="269"/>
      <c r="QGF236" s="269"/>
      <c r="QGG236" s="269"/>
      <c r="QGH236" s="269"/>
      <c r="QGI236" s="269"/>
      <c r="QGJ236" s="269"/>
      <c r="QGK236" s="269"/>
      <c r="QGL236" s="269"/>
      <c r="QGM236" s="269"/>
      <c r="QGN236" s="269"/>
      <c r="QGO236" s="269"/>
      <c r="QGP236" s="269"/>
      <c r="QGQ236" s="269"/>
      <c r="QGR236" s="269"/>
      <c r="QGS236" s="269"/>
      <c r="QGT236" s="269"/>
      <c r="QGU236" s="269"/>
      <c r="QGV236" s="269"/>
      <c r="QGW236" s="269"/>
      <c r="QGX236" s="269"/>
      <c r="QGY236" s="269"/>
      <c r="QGZ236" s="269"/>
      <c r="QHA236" s="269"/>
      <c r="QHB236" s="269"/>
      <c r="QHC236" s="269"/>
      <c r="QHD236" s="269"/>
      <c r="QHE236" s="269"/>
      <c r="QHF236" s="269"/>
      <c r="QHG236" s="269"/>
      <c r="QHH236" s="269"/>
      <c r="QHI236" s="269"/>
      <c r="QHJ236" s="269"/>
      <c r="QHK236" s="269"/>
      <c r="QHL236" s="269"/>
      <c r="QHM236" s="269"/>
      <c r="QHN236" s="269"/>
      <c r="QHO236" s="269"/>
      <c r="QHP236" s="269"/>
      <c r="QHQ236" s="269"/>
      <c r="QHR236" s="269"/>
      <c r="QHS236" s="269"/>
      <c r="QHT236" s="269"/>
      <c r="QHU236" s="269"/>
      <c r="QHV236" s="269"/>
      <c r="QHW236" s="269"/>
      <c r="QHX236" s="269"/>
      <c r="QHY236" s="269"/>
      <c r="QHZ236" s="269"/>
      <c r="QIA236" s="269"/>
      <c r="QIB236" s="269"/>
      <c r="QIC236" s="269"/>
      <c r="QID236" s="269"/>
      <c r="QIE236" s="269"/>
      <c r="QIF236" s="269"/>
      <c r="QIG236" s="269"/>
      <c r="QIH236" s="269"/>
      <c r="QII236" s="269"/>
      <c r="QIJ236" s="269"/>
      <c r="QIK236" s="269"/>
      <c r="QIL236" s="269"/>
      <c r="QIM236" s="269"/>
      <c r="QIN236" s="269"/>
      <c r="QIO236" s="269"/>
      <c r="QIP236" s="269"/>
      <c r="QIQ236" s="269"/>
      <c r="QIR236" s="269"/>
      <c r="QIS236" s="269"/>
      <c r="QIT236" s="269"/>
      <c r="QIU236" s="269"/>
      <c r="QIV236" s="269"/>
      <c r="QIW236" s="269"/>
      <c r="QIX236" s="269"/>
      <c r="QIY236" s="269"/>
      <c r="QIZ236" s="269"/>
      <c r="QJA236" s="269"/>
      <c r="QJB236" s="269"/>
      <c r="QJC236" s="269"/>
      <c r="QJD236" s="269"/>
      <c r="QJE236" s="269"/>
      <c r="QJF236" s="269"/>
      <c r="QJG236" s="269"/>
      <c r="QJH236" s="269"/>
      <c r="QJI236" s="269"/>
      <c r="QJJ236" s="269"/>
      <c r="QJK236" s="269"/>
      <c r="QJL236" s="269"/>
      <c r="QJM236" s="269"/>
      <c r="QJN236" s="269"/>
      <c r="QJO236" s="269"/>
      <c r="QJP236" s="269"/>
      <c r="QJQ236" s="269"/>
      <c r="QJR236" s="269"/>
      <c r="QJS236" s="269"/>
      <c r="QJT236" s="269"/>
      <c r="QJU236" s="269"/>
      <c r="QJV236" s="269"/>
      <c r="QJW236" s="269"/>
      <c r="QJX236" s="269"/>
      <c r="QJY236" s="269"/>
      <c r="QJZ236" s="269"/>
      <c r="QKA236" s="269"/>
      <c r="QKB236" s="269"/>
      <c r="QKC236" s="269"/>
      <c r="QKD236" s="269"/>
      <c r="QKE236" s="269"/>
      <c r="QKF236" s="269"/>
      <c r="QKG236" s="269"/>
      <c r="QKH236" s="269"/>
      <c r="QKI236" s="269"/>
      <c r="QKJ236" s="269"/>
      <c r="QKK236" s="269"/>
      <c r="QKL236" s="269"/>
      <c r="QKM236" s="269"/>
      <c r="QKN236" s="269"/>
      <c r="QKO236" s="269"/>
      <c r="QKP236" s="269"/>
      <c r="QKQ236" s="269"/>
      <c r="QKR236" s="269"/>
      <c r="QKS236" s="269"/>
      <c r="QKT236" s="269"/>
      <c r="QKU236" s="269"/>
      <c r="QKV236" s="269"/>
      <c r="QKW236" s="269"/>
      <c r="QKX236" s="269"/>
      <c r="QKY236" s="269"/>
      <c r="QKZ236" s="269"/>
      <c r="QLA236" s="269"/>
      <c r="QLB236" s="269"/>
      <c r="QLC236" s="269"/>
      <c r="QLD236" s="269"/>
      <c r="QLE236" s="269"/>
      <c r="QLF236" s="269"/>
      <c r="QLG236" s="269"/>
      <c r="QLH236" s="269"/>
      <c r="QLI236" s="269"/>
      <c r="QLJ236" s="269"/>
      <c r="QLK236" s="269"/>
      <c r="QLL236" s="269"/>
      <c r="QLM236" s="269"/>
      <c r="QLN236" s="269"/>
      <c r="QLO236" s="269"/>
      <c r="QLP236" s="269"/>
      <c r="QLQ236" s="269"/>
      <c r="QLR236" s="269"/>
      <c r="QLS236" s="269"/>
      <c r="QLT236" s="269"/>
      <c r="QLU236" s="269"/>
      <c r="QLV236" s="269"/>
      <c r="QLW236" s="269"/>
      <c r="QLX236" s="269"/>
      <c r="QLY236" s="269"/>
      <c r="QLZ236" s="269"/>
      <c r="QMA236" s="269"/>
      <c r="QMB236" s="269"/>
      <c r="QMC236" s="269"/>
      <c r="QMD236" s="269"/>
      <c r="QME236" s="269"/>
      <c r="QMF236" s="269"/>
      <c r="QMG236" s="269"/>
      <c r="QMH236" s="269"/>
      <c r="QMI236" s="269"/>
      <c r="QMJ236" s="269"/>
      <c r="QMK236" s="269"/>
      <c r="QML236" s="269"/>
      <c r="QMM236" s="269"/>
      <c r="QMN236" s="269"/>
      <c r="QMO236" s="269"/>
      <c r="QMP236" s="269"/>
      <c r="QMQ236" s="269"/>
      <c r="QMR236" s="269"/>
      <c r="QMS236" s="269"/>
      <c r="QMT236" s="269"/>
      <c r="QMU236" s="269"/>
      <c r="QMV236" s="269"/>
      <c r="QMW236" s="269"/>
      <c r="QMX236" s="269"/>
      <c r="QMY236" s="269"/>
      <c r="QMZ236" s="269"/>
      <c r="QNA236" s="269"/>
      <c r="QNB236" s="269"/>
      <c r="QNC236" s="269"/>
      <c r="QND236" s="269"/>
      <c r="QNE236" s="269"/>
      <c r="QNF236" s="269"/>
      <c r="QNG236" s="269"/>
      <c r="QNH236" s="269"/>
      <c r="QNI236" s="269"/>
      <c r="QNJ236" s="269"/>
      <c r="QNK236" s="269"/>
      <c r="QNL236" s="269"/>
      <c r="QNM236" s="269"/>
      <c r="QNN236" s="269"/>
      <c r="QNO236" s="269"/>
      <c r="QNP236" s="269"/>
      <c r="QNQ236" s="269"/>
      <c r="QNR236" s="269"/>
      <c r="QNS236" s="269"/>
      <c r="QNT236" s="269"/>
      <c r="QNU236" s="269"/>
      <c r="QNV236" s="269"/>
      <c r="QNW236" s="269"/>
      <c r="QNX236" s="269"/>
      <c r="QNY236" s="269"/>
      <c r="QNZ236" s="269"/>
      <c r="QOA236" s="269"/>
      <c r="QOB236" s="269"/>
      <c r="QOC236" s="269"/>
      <c r="QOD236" s="269"/>
      <c r="QOE236" s="269"/>
      <c r="QOF236" s="269"/>
      <c r="QOG236" s="269"/>
      <c r="QOH236" s="269"/>
      <c r="QOI236" s="269"/>
      <c r="QOJ236" s="269"/>
      <c r="QOK236" s="269"/>
      <c r="QOL236" s="269"/>
      <c r="QOM236" s="269"/>
      <c r="QON236" s="269"/>
      <c r="QOO236" s="269"/>
      <c r="QOP236" s="269"/>
      <c r="QOQ236" s="269"/>
      <c r="QOR236" s="269"/>
      <c r="QOS236" s="269"/>
      <c r="QOT236" s="269"/>
      <c r="QOU236" s="269"/>
      <c r="QOV236" s="269"/>
      <c r="QOW236" s="269"/>
      <c r="QOX236" s="269"/>
      <c r="QOY236" s="269"/>
      <c r="QOZ236" s="269"/>
      <c r="QPA236" s="269"/>
      <c r="QPB236" s="269"/>
      <c r="QPC236" s="269"/>
      <c r="QPD236" s="269"/>
      <c r="QPE236" s="269"/>
      <c r="QPF236" s="269"/>
      <c r="QPG236" s="269"/>
      <c r="QPH236" s="269"/>
      <c r="QPI236" s="269"/>
      <c r="QPJ236" s="269"/>
      <c r="QPK236" s="269"/>
      <c r="QPL236" s="269"/>
      <c r="QPM236" s="269"/>
      <c r="QPN236" s="269"/>
      <c r="QPO236" s="269"/>
      <c r="QPP236" s="269"/>
      <c r="QPQ236" s="269"/>
      <c r="QPR236" s="269"/>
      <c r="QPS236" s="269"/>
      <c r="QPT236" s="269"/>
      <c r="QPU236" s="269"/>
      <c r="QPV236" s="269"/>
      <c r="QPW236" s="269"/>
      <c r="QPX236" s="269"/>
      <c r="QPY236" s="269"/>
      <c r="QPZ236" s="269"/>
      <c r="QQA236" s="269"/>
      <c r="QQB236" s="269"/>
      <c r="QQC236" s="269"/>
      <c r="QQD236" s="269"/>
      <c r="QQE236" s="269"/>
      <c r="QQF236" s="269"/>
      <c r="QQG236" s="269"/>
      <c r="QQH236" s="269"/>
      <c r="QQI236" s="269"/>
      <c r="QQJ236" s="269"/>
      <c r="QQK236" s="269"/>
      <c r="QQL236" s="269"/>
      <c r="QQM236" s="269"/>
      <c r="QQN236" s="269"/>
      <c r="QQO236" s="269"/>
      <c r="QQP236" s="269"/>
      <c r="QQQ236" s="269"/>
      <c r="QQR236" s="269"/>
      <c r="QQS236" s="269"/>
      <c r="QQT236" s="269"/>
      <c r="QQU236" s="269"/>
      <c r="QQV236" s="269"/>
      <c r="QQW236" s="269"/>
      <c r="QQX236" s="269"/>
      <c r="QQY236" s="269"/>
      <c r="QQZ236" s="269"/>
      <c r="QRA236" s="269"/>
      <c r="QRB236" s="269"/>
      <c r="QRC236" s="269"/>
      <c r="QRD236" s="269"/>
      <c r="QRE236" s="269"/>
      <c r="QRF236" s="269"/>
      <c r="QRG236" s="269"/>
      <c r="QRH236" s="269"/>
      <c r="QRI236" s="269"/>
      <c r="QRJ236" s="269"/>
      <c r="QRK236" s="269"/>
      <c r="QRL236" s="269"/>
      <c r="QRM236" s="269"/>
      <c r="QRN236" s="269"/>
      <c r="QRO236" s="269"/>
      <c r="QRP236" s="269"/>
      <c r="QRQ236" s="269"/>
      <c r="QRR236" s="269"/>
      <c r="QRS236" s="269"/>
      <c r="QRT236" s="269"/>
      <c r="QRU236" s="269"/>
      <c r="QRV236" s="269"/>
      <c r="QRW236" s="269"/>
      <c r="QRX236" s="269"/>
      <c r="QRY236" s="269"/>
      <c r="QRZ236" s="269"/>
      <c r="QSA236" s="269"/>
      <c r="QSB236" s="269"/>
      <c r="QSC236" s="269"/>
      <c r="QSD236" s="269"/>
      <c r="QSE236" s="269"/>
      <c r="QSF236" s="269"/>
      <c r="QSG236" s="269"/>
      <c r="QSH236" s="269"/>
      <c r="QSI236" s="269"/>
      <c r="QSJ236" s="269"/>
      <c r="QSK236" s="269"/>
      <c r="QSL236" s="269"/>
      <c r="QSM236" s="269"/>
      <c r="QSN236" s="269"/>
      <c r="QSO236" s="269"/>
      <c r="QSP236" s="269"/>
      <c r="QSQ236" s="269"/>
      <c r="QSR236" s="269"/>
      <c r="QSS236" s="269"/>
      <c r="QST236" s="269"/>
      <c r="QSU236" s="269"/>
      <c r="QSV236" s="269"/>
      <c r="QSW236" s="269"/>
      <c r="QSX236" s="269"/>
      <c r="QSY236" s="269"/>
      <c r="QSZ236" s="269"/>
      <c r="QTA236" s="269"/>
      <c r="QTB236" s="269"/>
      <c r="QTC236" s="269"/>
      <c r="QTD236" s="269"/>
      <c r="QTE236" s="269"/>
      <c r="QTF236" s="269"/>
      <c r="QTG236" s="269"/>
      <c r="QTH236" s="269"/>
      <c r="QTI236" s="269"/>
      <c r="QTJ236" s="269"/>
      <c r="QTK236" s="269"/>
      <c r="QTL236" s="269"/>
      <c r="QTM236" s="269"/>
      <c r="QTN236" s="269"/>
      <c r="QTO236" s="269"/>
      <c r="QTP236" s="269"/>
      <c r="QTQ236" s="269"/>
      <c r="QTR236" s="269"/>
      <c r="QTS236" s="269"/>
      <c r="QTT236" s="269"/>
      <c r="QTU236" s="269"/>
      <c r="QTV236" s="269"/>
      <c r="QTW236" s="269"/>
      <c r="QTX236" s="269"/>
      <c r="QTY236" s="269"/>
      <c r="QTZ236" s="269"/>
      <c r="QUA236" s="269"/>
      <c r="QUB236" s="269"/>
      <c r="QUC236" s="269"/>
      <c r="QUD236" s="269"/>
      <c r="QUE236" s="269"/>
      <c r="QUF236" s="269"/>
      <c r="QUG236" s="269"/>
      <c r="QUH236" s="269"/>
      <c r="QUI236" s="269"/>
      <c r="QUJ236" s="269"/>
      <c r="QUK236" s="269"/>
      <c r="QUL236" s="269"/>
      <c r="QUM236" s="269"/>
      <c r="QUN236" s="269"/>
      <c r="QUO236" s="269"/>
      <c r="QUP236" s="269"/>
      <c r="QUQ236" s="269"/>
      <c r="QUR236" s="269"/>
      <c r="QUS236" s="269"/>
      <c r="QUT236" s="269"/>
      <c r="QUU236" s="269"/>
      <c r="QUV236" s="269"/>
      <c r="QUW236" s="269"/>
      <c r="QUX236" s="269"/>
      <c r="QUY236" s="269"/>
      <c r="QUZ236" s="269"/>
      <c r="QVA236" s="269"/>
      <c r="QVB236" s="269"/>
      <c r="QVC236" s="269"/>
      <c r="QVD236" s="269"/>
      <c r="QVE236" s="269"/>
      <c r="QVF236" s="269"/>
      <c r="QVG236" s="269"/>
      <c r="QVH236" s="269"/>
      <c r="QVI236" s="269"/>
      <c r="QVJ236" s="269"/>
      <c r="QVK236" s="269"/>
      <c r="QVL236" s="269"/>
      <c r="QVM236" s="269"/>
      <c r="QVN236" s="269"/>
      <c r="QVO236" s="269"/>
      <c r="QVP236" s="269"/>
      <c r="QVQ236" s="269"/>
      <c r="QVR236" s="269"/>
      <c r="QVS236" s="269"/>
      <c r="QVT236" s="269"/>
      <c r="QVU236" s="269"/>
      <c r="QVV236" s="269"/>
      <c r="QVW236" s="269"/>
      <c r="QVX236" s="269"/>
      <c r="QVY236" s="269"/>
      <c r="QVZ236" s="269"/>
      <c r="QWA236" s="269"/>
      <c r="QWB236" s="269"/>
      <c r="QWC236" s="269"/>
      <c r="QWD236" s="269"/>
      <c r="QWE236" s="269"/>
      <c r="QWF236" s="269"/>
      <c r="QWG236" s="269"/>
      <c r="QWH236" s="269"/>
      <c r="QWI236" s="269"/>
      <c r="QWJ236" s="269"/>
      <c r="QWK236" s="269"/>
      <c r="QWL236" s="269"/>
      <c r="QWM236" s="269"/>
      <c r="QWN236" s="269"/>
      <c r="QWO236" s="269"/>
      <c r="QWP236" s="269"/>
      <c r="QWQ236" s="269"/>
      <c r="QWR236" s="269"/>
      <c r="QWS236" s="269"/>
      <c r="QWT236" s="269"/>
      <c r="QWU236" s="269"/>
      <c r="QWV236" s="269"/>
      <c r="QWW236" s="269"/>
      <c r="QWX236" s="269"/>
      <c r="QWY236" s="269"/>
      <c r="QWZ236" s="269"/>
      <c r="QXA236" s="269"/>
      <c r="QXB236" s="269"/>
      <c r="QXC236" s="269"/>
      <c r="QXD236" s="269"/>
      <c r="QXE236" s="269"/>
      <c r="QXF236" s="269"/>
      <c r="QXG236" s="269"/>
      <c r="QXH236" s="269"/>
      <c r="QXI236" s="269"/>
      <c r="QXJ236" s="269"/>
      <c r="QXK236" s="269"/>
      <c r="QXL236" s="269"/>
      <c r="QXM236" s="269"/>
      <c r="QXN236" s="269"/>
      <c r="QXO236" s="269"/>
      <c r="QXP236" s="269"/>
      <c r="QXQ236" s="269"/>
      <c r="QXR236" s="269"/>
      <c r="QXS236" s="269"/>
      <c r="QXT236" s="269"/>
      <c r="QXU236" s="269"/>
      <c r="QXV236" s="269"/>
      <c r="QXW236" s="269"/>
      <c r="QXX236" s="269"/>
      <c r="QXY236" s="269"/>
      <c r="QXZ236" s="269"/>
      <c r="QYA236" s="269"/>
      <c r="QYB236" s="269"/>
      <c r="QYC236" s="269"/>
      <c r="QYD236" s="269"/>
      <c r="QYE236" s="269"/>
      <c r="QYF236" s="269"/>
      <c r="QYG236" s="269"/>
      <c r="QYH236" s="269"/>
      <c r="QYI236" s="269"/>
      <c r="QYJ236" s="269"/>
      <c r="QYK236" s="269"/>
      <c r="QYL236" s="269"/>
      <c r="QYM236" s="269"/>
      <c r="QYN236" s="269"/>
      <c r="QYO236" s="269"/>
      <c r="QYP236" s="269"/>
      <c r="QYQ236" s="269"/>
      <c r="QYR236" s="269"/>
      <c r="QYS236" s="269"/>
      <c r="QYT236" s="269"/>
      <c r="QYU236" s="269"/>
      <c r="QYV236" s="269"/>
      <c r="QYW236" s="269"/>
      <c r="QYX236" s="269"/>
      <c r="QYY236" s="269"/>
      <c r="QYZ236" s="269"/>
      <c r="QZA236" s="269"/>
      <c r="QZB236" s="269"/>
      <c r="QZC236" s="269"/>
      <c r="QZD236" s="269"/>
      <c r="QZE236" s="269"/>
      <c r="QZF236" s="269"/>
      <c r="QZG236" s="269"/>
      <c r="QZH236" s="269"/>
      <c r="QZI236" s="269"/>
      <c r="QZJ236" s="269"/>
      <c r="QZK236" s="269"/>
      <c r="QZL236" s="269"/>
      <c r="QZM236" s="269"/>
      <c r="QZN236" s="269"/>
      <c r="QZO236" s="269"/>
      <c r="QZP236" s="269"/>
      <c r="QZQ236" s="269"/>
      <c r="QZR236" s="269"/>
      <c r="QZS236" s="269"/>
      <c r="QZT236" s="269"/>
      <c r="QZU236" s="269"/>
      <c r="QZV236" s="269"/>
      <c r="QZW236" s="269"/>
      <c r="QZX236" s="269"/>
      <c r="QZY236" s="269"/>
      <c r="QZZ236" s="269"/>
      <c r="RAA236" s="269"/>
      <c r="RAB236" s="269"/>
      <c r="RAC236" s="269"/>
      <c r="RAD236" s="269"/>
      <c r="RAE236" s="269"/>
      <c r="RAF236" s="269"/>
      <c r="RAG236" s="269"/>
      <c r="RAH236" s="269"/>
      <c r="RAI236" s="269"/>
      <c r="RAJ236" s="269"/>
      <c r="RAK236" s="269"/>
      <c r="RAL236" s="269"/>
      <c r="RAM236" s="269"/>
      <c r="RAN236" s="269"/>
      <c r="RAO236" s="269"/>
      <c r="RAP236" s="269"/>
      <c r="RAQ236" s="269"/>
      <c r="RAR236" s="269"/>
      <c r="RAS236" s="269"/>
      <c r="RAT236" s="269"/>
      <c r="RAU236" s="269"/>
      <c r="RAV236" s="269"/>
      <c r="RAW236" s="269"/>
      <c r="RAX236" s="269"/>
      <c r="RAY236" s="269"/>
      <c r="RAZ236" s="269"/>
      <c r="RBA236" s="269"/>
      <c r="RBB236" s="269"/>
      <c r="RBC236" s="269"/>
      <c r="RBD236" s="269"/>
      <c r="RBE236" s="269"/>
      <c r="RBF236" s="269"/>
      <c r="RBG236" s="269"/>
      <c r="RBH236" s="269"/>
      <c r="RBI236" s="269"/>
      <c r="RBJ236" s="269"/>
      <c r="RBK236" s="269"/>
      <c r="RBL236" s="269"/>
      <c r="RBM236" s="269"/>
      <c r="RBN236" s="269"/>
      <c r="RBO236" s="269"/>
      <c r="RBP236" s="269"/>
      <c r="RBQ236" s="269"/>
      <c r="RBR236" s="269"/>
      <c r="RBS236" s="269"/>
      <c r="RBT236" s="269"/>
      <c r="RBU236" s="269"/>
      <c r="RBV236" s="269"/>
      <c r="RBW236" s="269"/>
      <c r="RBX236" s="269"/>
      <c r="RBY236" s="269"/>
      <c r="RBZ236" s="269"/>
      <c r="RCA236" s="269"/>
      <c r="RCB236" s="269"/>
      <c r="RCC236" s="269"/>
      <c r="RCD236" s="269"/>
      <c r="RCE236" s="269"/>
      <c r="RCF236" s="269"/>
      <c r="RCG236" s="269"/>
      <c r="RCH236" s="269"/>
      <c r="RCI236" s="269"/>
      <c r="RCJ236" s="269"/>
      <c r="RCK236" s="269"/>
      <c r="RCL236" s="269"/>
      <c r="RCM236" s="269"/>
      <c r="RCN236" s="269"/>
      <c r="RCO236" s="269"/>
      <c r="RCP236" s="269"/>
      <c r="RCQ236" s="269"/>
      <c r="RCR236" s="269"/>
      <c r="RCS236" s="269"/>
      <c r="RCT236" s="269"/>
      <c r="RCU236" s="269"/>
      <c r="RCV236" s="269"/>
      <c r="RCW236" s="269"/>
      <c r="RCX236" s="269"/>
      <c r="RCY236" s="269"/>
      <c r="RCZ236" s="269"/>
      <c r="RDA236" s="269"/>
      <c r="RDB236" s="269"/>
      <c r="RDC236" s="269"/>
      <c r="RDD236" s="269"/>
      <c r="RDE236" s="269"/>
      <c r="RDF236" s="269"/>
      <c r="RDG236" s="269"/>
      <c r="RDH236" s="269"/>
      <c r="RDI236" s="269"/>
      <c r="RDJ236" s="269"/>
      <c r="RDK236" s="269"/>
      <c r="RDL236" s="269"/>
      <c r="RDM236" s="269"/>
      <c r="RDN236" s="269"/>
      <c r="RDO236" s="269"/>
      <c r="RDP236" s="269"/>
      <c r="RDQ236" s="269"/>
      <c r="RDR236" s="269"/>
      <c r="RDS236" s="269"/>
      <c r="RDT236" s="269"/>
      <c r="RDU236" s="269"/>
      <c r="RDV236" s="269"/>
      <c r="RDW236" s="269"/>
      <c r="RDX236" s="269"/>
      <c r="RDY236" s="269"/>
      <c r="RDZ236" s="269"/>
      <c r="REA236" s="269"/>
      <c r="REB236" s="269"/>
      <c r="REC236" s="269"/>
      <c r="RED236" s="269"/>
      <c r="REE236" s="269"/>
      <c r="REF236" s="269"/>
      <c r="REG236" s="269"/>
      <c r="REH236" s="269"/>
      <c r="REI236" s="269"/>
      <c r="REJ236" s="269"/>
      <c r="REK236" s="269"/>
      <c r="REL236" s="269"/>
      <c r="REM236" s="269"/>
      <c r="REN236" s="269"/>
      <c r="REO236" s="269"/>
      <c r="REP236" s="269"/>
      <c r="REQ236" s="269"/>
      <c r="RER236" s="269"/>
      <c r="RES236" s="269"/>
      <c r="RET236" s="269"/>
      <c r="REU236" s="269"/>
      <c r="REV236" s="269"/>
      <c r="REW236" s="269"/>
      <c r="REX236" s="269"/>
      <c r="REY236" s="269"/>
      <c r="REZ236" s="269"/>
      <c r="RFA236" s="269"/>
      <c r="RFB236" s="269"/>
      <c r="RFC236" s="269"/>
      <c r="RFD236" s="269"/>
      <c r="RFE236" s="269"/>
      <c r="RFF236" s="269"/>
      <c r="RFG236" s="269"/>
      <c r="RFH236" s="269"/>
      <c r="RFI236" s="269"/>
      <c r="RFJ236" s="269"/>
      <c r="RFK236" s="269"/>
      <c r="RFL236" s="269"/>
      <c r="RFM236" s="269"/>
      <c r="RFN236" s="269"/>
      <c r="RFO236" s="269"/>
      <c r="RFP236" s="269"/>
      <c r="RFQ236" s="269"/>
      <c r="RFR236" s="269"/>
      <c r="RFS236" s="269"/>
      <c r="RFT236" s="269"/>
      <c r="RFU236" s="269"/>
      <c r="RFV236" s="269"/>
      <c r="RFW236" s="269"/>
      <c r="RFX236" s="269"/>
      <c r="RFY236" s="269"/>
      <c r="RFZ236" s="269"/>
      <c r="RGA236" s="269"/>
      <c r="RGB236" s="269"/>
      <c r="RGC236" s="269"/>
      <c r="RGD236" s="269"/>
      <c r="RGE236" s="269"/>
      <c r="RGF236" s="269"/>
      <c r="RGG236" s="269"/>
      <c r="RGH236" s="269"/>
      <c r="RGI236" s="269"/>
      <c r="RGJ236" s="269"/>
      <c r="RGK236" s="269"/>
      <c r="RGL236" s="269"/>
      <c r="RGM236" s="269"/>
      <c r="RGN236" s="269"/>
      <c r="RGO236" s="269"/>
      <c r="RGP236" s="269"/>
      <c r="RGQ236" s="269"/>
      <c r="RGR236" s="269"/>
      <c r="RGS236" s="269"/>
      <c r="RGT236" s="269"/>
      <c r="RGU236" s="269"/>
      <c r="RGV236" s="269"/>
      <c r="RGW236" s="269"/>
      <c r="RGX236" s="269"/>
      <c r="RGY236" s="269"/>
      <c r="RGZ236" s="269"/>
      <c r="RHA236" s="269"/>
      <c r="RHB236" s="269"/>
      <c r="RHC236" s="269"/>
      <c r="RHD236" s="269"/>
      <c r="RHE236" s="269"/>
      <c r="RHF236" s="269"/>
      <c r="RHG236" s="269"/>
      <c r="RHH236" s="269"/>
      <c r="RHI236" s="269"/>
      <c r="RHJ236" s="269"/>
      <c r="RHK236" s="269"/>
      <c r="RHL236" s="269"/>
      <c r="RHM236" s="269"/>
      <c r="RHN236" s="269"/>
      <c r="RHO236" s="269"/>
      <c r="RHP236" s="269"/>
      <c r="RHQ236" s="269"/>
      <c r="RHR236" s="269"/>
      <c r="RHS236" s="269"/>
      <c r="RHT236" s="269"/>
      <c r="RHU236" s="269"/>
      <c r="RHV236" s="269"/>
      <c r="RHW236" s="269"/>
      <c r="RHX236" s="269"/>
      <c r="RHY236" s="269"/>
      <c r="RHZ236" s="269"/>
      <c r="RIA236" s="269"/>
      <c r="RIB236" s="269"/>
      <c r="RIC236" s="269"/>
      <c r="RID236" s="269"/>
      <c r="RIE236" s="269"/>
      <c r="RIF236" s="269"/>
      <c r="RIG236" s="269"/>
      <c r="RIH236" s="269"/>
      <c r="RII236" s="269"/>
      <c r="RIJ236" s="269"/>
      <c r="RIK236" s="269"/>
      <c r="RIL236" s="269"/>
      <c r="RIM236" s="269"/>
      <c r="RIN236" s="269"/>
      <c r="RIO236" s="269"/>
      <c r="RIP236" s="269"/>
      <c r="RIQ236" s="269"/>
      <c r="RIR236" s="269"/>
      <c r="RIS236" s="269"/>
      <c r="RIT236" s="269"/>
      <c r="RIU236" s="269"/>
      <c r="RIV236" s="269"/>
      <c r="RIW236" s="269"/>
      <c r="RIX236" s="269"/>
      <c r="RIY236" s="269"/>
      <c r="RIZ236" s="269"/>
      <c r="RJA236" s="269"/>
      <c r="RJB236" s="269"/>
      <c r="RJC236" s="269"/>
      <c r="RJD236" s="269"/>
      <c r="RJE236" s="269"/>
      <c r="RJF236" s="269"/>
      <c r="RJG236" s="269"/>
      <c r="RJH236" s="269"/>
      <c r="RJI236" s="269"/>
      <c r="RJJ236" s="269"/>
      <c r="RJK236" s="269"/>
      <c r="RJL236" s="269"/>
      <c r="RJM236" s="269"/>
      <c r="RJN236" s="269"/>
      <c r="RJO236" s="269"/>
      <c r="RJP236" s="269"/>
      <c r="RJQ236" s="269"/>
      <c r="RJR236" s="269"/>
      <c r="RJS236" s="269"/>
      <c r="RJT236" s="269"/>
      <c r="RJU236" s="269"/>
      <c r="RJV236" s="269"/>
      <c r="RJW236" s="269"/>
      <c r="RJX236" s="269"/>
      <c r="RJY236" s="269"/>
      <c r="RJZ236" s="269"/>
      <c r="RKA236" s="269"/>
      <c r="RKB236" s="269"/>
      <c r="RKC236" s="269"/>
      <c r="RKD236" s="269"/>
      <c r="RKE236" s="269"/>
      <c r="RKF236" s="269"/>
      <c r="RKG236" s="269"/>
      <c r="RKH236" s="269"/>
      <c r="RKI236" s="269"/>
      <c r="RKJ236" s="269"/>
      <c r="RKK236" s="269"/>
      <c r="RKL236" s="269"/>
      <c r="RKM236" s="269"/>
      <c r="RKN236" s="269"/>
      <c r="RKO236" s="269"/>
      <c r="RKP236" s="269"/>
      <c r="RKQ236" s="269"/>
      <c r="RKR236" s="269"/>
      <c r="RKS236" s="269"/>
      <c r="RKT236" s="269"/>
      <c r="RKU236" s="269"/>
      <c r="RKV236" s="269"/>
      <c r="RKW236" s="269"/>
      <c r="RKX236" s="269"/>
      <c r="RKY236" s="269"/>
      <c r="RKZ236" s="269"/>
      <c r="RLA236" s="269"/>
      <c r="RLB236" s="269"/>
      <c r="RLC236" s="269"/>
      <c r="RLD236" s="269"/>
      <c r="RLE236" s="269"/>
      <c r="RLF236" s="269"/>
      <c r="RLG236" s="269"/>
      <c r="RLH236" s="269"/>
      <c r="RLI236" s="269"/>
      <c r="RLJ236" s="269"/>
      <c r="RLK236" s="269"/>
      <c r="RLL236" s="269"/>
      <c r="RLM236" s="269"/>
      <c r="RLN236" s="269"/>
      <c r="RLO236" s="269"/>
      <c r="RLP236" s="269"/>
      <c r="RLQ236" s="269"/>
      <c r="RLR236" s="269"/>
      <c r="RLS236" s="269"/>
      <c r="RLT236" s="269"/>
      <c r="RLU236" s="269"/>
      <c r="RLV236" s="269"/>
      <c r="RLW236" s="269"/>
      <c r="RLX236" s="269"/>
      <c r="RLY236" s="269"/>
      <c r="RLZ236" s="269"/>
      <c r="RMA236" s="269"/>
      <c r="RMB236" s="269"/>
      <c r="RMC236" s="269"/>
      <c r="RMD236" s="269"/>
      <c r="RME236" s="269"/>
      <c r="RMF236" s="269"/>
      <c r="RMG236" s="269"/>
      <c r="RMH236" s="269"/>
      <c r="RMI236" s="269"/>
      <c r="RMJ236" s="269"/>
      <c r="RMK236" s="269"/>
      <c r="RML236" s="269"/>
      <c r="RMM236" s="269"/>
      <c r="RMN236" s="269"/>
      <c r="RMO236" s="269"/>
      <c r="RMP236" s="269"/>
      <c r="RMQ236" s="269"/>
      <c r="RMR236" s="269"/>
      <c r="RMS236" s="269"/>
      <c r="RMT236" s="269"/>
      <c r="RMU236" s="269"/>
      <c r="RMV236" s="269"/>
      <c r="RMW236" s="269"/>
      <c r="RMX236" s="269"/>
      <c r="RMY236" s="269"/>
      <c r="RMZ236" s="269"/>
      <c r="RNA236" s="269"/>
      <c r="RNB236" s="269"/>
      <c r="RNC236" s="269"/>
      <c r="RND236" s="269"/>
      <c r="RNE236" s="269"/>
      <c r="RNF236" s="269"/>
      <c r="RNG236" s="269"/>
      <c r="RNH236" s="269"/>
      <c r="RNI236" s="269"/>
      <c r="RNJ236" s="269"/>
      <c r="RNK236" s="269"/>
      <c r="RNL236" s="269"/>
      <c r="RNM236" s="269"/>
      <c r="RNN236" s="269"/>
      <c r="RNO236" s="269"/>
      <c r="RNP236" s="269"/>
      <c r="RNQ236" s="269"/>
      <c r="RNR236" s="269"/>
      <c r="RNS236" s="269"/>
      <c r="RNT236" s="269"/>
      <c r="RNU236" s="269"/>
      <c r="RNV236" s="269"/>
      <c r="RNW236" s="269"/>
      <c r="RNX236" s="269"/>
      <c r="RNY236" s="269"/>
      <c r="RNZ236" s="269"/>
      <c r="ROA236" s="269"/>
      <c r="ROB236" s="269"/>
      <c r="ROC236" s="269"/>
      <c r="ROD236" s="269"/>
      <c r="ROE236" s="269"/>
      <c r="ROF236" s="269"/>
      <c r="ROG236" s="269"/>
      <c r="ROH236" s="269"/>
      <c r="ROI236" s="269"/>
      <c r="ROJ236" s="269"/>
      <c r="ROK236" s="269"/>
      <c r="ROL236" s="269"/>
      <c r="ROM236" s="269"/>
      <c r="RON236" s="269"/>
      <c r="ROO236" s="269"/>
      <c r="ROP236" s="269"/>
      <c r="ROQ236" s="269"/>
      <c r="ROR236" s="269"/>
      <c r="ROS236" s="269"/>
      <c r="ROT236" s="269"/>
      <c r="ROU236" s="269"/>
      <c r="ROV236" s="269"/>
      <c r="ROW236" s="269"/>
      <c r="ROX236" s="269"/>
      <c r="ROY236" s="269"/>
      <c r="ROZ236" s="269"/>
      <c r="RPA236" s="269"/>
      <c r="RPB236" s="269"/>
      <c r="RPC236" s="269"/>
      <c r="RPD236" s="269"/>
      <c r="RPE236" s="269"/>
      <c r="RPF236" s="269"/>
      <c r="RPG236" s="269"/>
      <c r="RPH236" s="269"/>
      <c r="RPI236" s="269"/>
      <c r="RPJ236" s="269"/>
      <c r="RPK236" s="269"/>
      <c r="RPL236" s="269"/>
      <c r="RPM236" s="269"/>
      <c r="RPN236" s="269"/>
      <c r="RPO236" s="269"/>
      <c r="RPP236" s="269"/>
      <c r="RPQ236" s="269"/>
      <c r="RPR236" s="269"/>
      <c r="RPS236" s="269"/>
      <c r="RPT236" s="269"/>
      <c r="RPU236" s="269"/>
      <c r="RPV236" s="269"/>
      <c r="RPW236" s="269"/>
      <c r="RPX236" s="269"/>
      <c r="RPY236" s="269"/>
      <c r="RPZ236" s="269"/>
      <c r="RQA236" s="269"/>
      <c r="RQB236" s="269"/>
      <c r="RQC236" s="269"/>
      <c r="RQD236" s="269"/>
      <c r="RQE236" s="269"/>
      <c r="RQF236" s="269"/>
      <c r="RQG236" s="269"/>
      <c r="RQH236" s="269"/>
      <c r="RQI236" s="269"/>
      <c r="RQJ236" s="269"/>
      <c r="RQK236" s="269"/>
      <c r="RQL236" s="269"/>
      <c r="RQM236" s="269"/>
      <c r="RQN236" s="269"/>
      <c r="RQO236" s="269"/>
      <c r="RQP236" s="269"/>
      <c r="RQQ236" s="269"/>
      <c r="RQR236" s="269"/>
      <c r="RQS236" s="269"/>
      <c r="RQT236" s="269"/>
      <c r="RQU236" s="269"/>
      <c r="RQV236" s="269"/>
      <c r="RQW236" s="269"/>
      <c r="RQX236" s="269"/>
      <c r="RQY236" s="269"/>
      <c r="RQZ236" s="269"/>
      <c r="RRA236" s="269"/>
      <c r="RRB236" s="269"/>
      <c r="RRC236" s="269"/>
      <c r="RRD236" s="269"/>
      <c r="RRE236" s="269"/>
      <c r="RRF236" s="269"/>
      <c r="RRG236" s="269"/>
      <c r="RRH236" s="269"/>
      <c r="RRI236" s="269"/>
      <c r="RRJ236" s="269"/>
      <c r="RRK236" s="269"/>
      <c r="RRL236" s="269"/>
      <c r="RRM236" s="269"/>
      <c r="RRN236" s="269"/>
      <c r="RRO236" s="269"/>
      <c r="RRP236" s="269"/>
      <c r="RRQ236" s="269"/>
      <c r="RRR236" s="269"/>
      <c r="RRS236" s="269"/>
      <c r="RRT236" s="269"/>
      <c r="RRU236" s="269"/>
      <c r="RRV236" s="269"/>
      <c r="RRW236" s="269"/>
      <c r="RRX236" s="269"/>
      <c r="RRY236" s="269"/>
      <c r="RRZ236" s="269"/>
      <c r="RSA236" s="269"/>
      <c r="RSB236" s="269"/>
      <c r="RSC236" s="269"/>
      <c r="RSD236" s="269"/>
      <c r="RSE236" s="269"/>
      <c r="RSF236" s="269"/>
      <c r="RSG236" s="269"/>
      <c r="RSH236" s="269"/>
      <c r="RSI236" s="269"/>
      <c r="RSJ236" s="269"/>
      <c r="RSK236" s="269"/>
      <c r="RSL236" s="269"/>
      <c r="RSM236" s="269"/>
      <c r="RSN236" s="269"/>
      <c r="RSO236" s="269"/>
      <c r="RSP236" s="269"/>
      <c r="RSQ236" s="269"/>
      <c r="RSR236" s="269"/>
      <c r="RSS236" s="269"/>
      <c r="RST236" s="269"/>
      <c r="RSU236" s="269"/>
      <c r="RSV236" s="269"/>
      <c r="RSW236" s="269"/>
      <c r="RSX236" s="269"/>
      <c r="RSY236" s="269"/>
      <c r="RSZ236" s="269"/>
      <c r="RTA236" s="269"/>
      <c r="RTB236" s="269"/>
      <c r="RTC236" s="269"/>
      <c r="RTD236" s="269"/>
      <c r="RTE236" s="269"/>
      <c r="RTF236" s="269"/>
      <c r="RTG236" s="269"/>
      <c r="RTH236" s="269"/>
      <c r="RTI236" s="269"/>
      <c r="RTJ236" s="269"/>
      <c r="RTK236" s="269"/>
      <c r="RTL236" s="269"/>
      <c r="RTM236" s="269"/>
      <c r="RTN236" s="269"/>
      <c r="RTO236" s="269"/>
      <c r="RTP236" s="269"/>
      <c r="RTQ236" s="269"/>
      <c r="RTR236" s="269"/>
      <c r="RTS236" s="269"/>
      <c r="RTT236" s="269"/>
      <c r="RTU236" s="269"/>
      <c r="RTV236" s="269"/>
      <c r="RTW236" s="269"/>
      <c r="RTX236" s="269"/>
      <c r="RTY236" s="269"/>
      <c r="RTZ236" s="269"/>
      <c r="RUA236" s="269"/>
      <c r="RUB236" s="269"/>
      <c r="RUC236" s="269"/>
      <c r="RUD236" s="269"/>
      <c r="RUE236" s="269"/>
      <c r="RUF236" s="269"/>
      <c r="RUG236" s="269"/>
      <c r="RUH236" s="269"/>
      <c r="RUI236" s="269"/>
      <c r="RUJ236" s="269"/>
      <c r="RUK236" s="269"/>
      <c r="RUL236" s="269"/>
      <c r="RUM236" s="269"/>
      <c r="RUN236" s="269"/>
      <c r="RUO236" s="269"/>
      <c r="RUP236" s="269"/>
      <c r="RUQ236" s="269"/>
      <c r="RUR236" s="269"/>
      <c r="RUS236" s="269"/>
      <c r="RUT236" s="269"/>
      <c r="RUU236" s="269"/>
      <c r="RUV236" s="269"/>
      <c r="RUW236" s="269"/>
      <c r="RUX236" s="269"/>
      <c r="RUY236" s="269"/>
      <c r="RUZ236" s="269"/>
      <c r="RVA236" s="269"/>
      <c r="RVB236" s="269"/>
      <c r="RVC236" s="269"/>
      <c r="RVD236" s="269"/>
      <c r="RVE236" s="269"/>
      <c r="RVF236" s="269"/>
      <c r="RVG236" s="269"/>
      <c r="RVH236" s="269"/>
      <c r="RVI236" s="269"/>
      <c r="RVJ236" s="269"/>
      <c r="RVK236" s="269"/>
      <c r="RVL236" s="269"/>
      <c r="RVM236" s="269"/>
      <c r="RVN236" s="269"/>
      <c r="RVO236" s="269"/>
      <c r="RVP236" s="269"/>
      <c r="RVQ236" s="269"/>
      <c r="RVR236" s="269"/>
      <c r="RVS236" s="269"/>
      <c r="RVT236" s="269"/>
      <c r="RVU236" s="269"/>
      <c r="RVV236" s="269"/>
      <c r="RVW236" s="269"/>
      <c r="RVX236" s="269"/>
      <c r="RVY236" s="269"/>
      <c r="RVZ236" s="269"/>
      <c r="RWA236" s="269"/>
      <c r="RWB236" s="269"/>
      <c r="RWC236" s="269"/>
      <c r="RWD236" s="269"/>
      <c r="RWE236" s="269"/>
      <c r="RWF236" s="269"/>
      <c r="RWG236" s="269"/>
      <c r="RWH236" s="269"/>
      <c r="RWI236" s="269"/>
      <c r="RWJ236" s="269"/>
      <c r="RWK236" s="269"/>
      <c r="RWL236" s="269"/>
      <c r="RWM236" s="269"/>
      <c r="RWN236" s="269"/>
      <c r="RWO236" s="269"/>
      <c r="RWP236" s="269"/>
      <c r="RWQ236" s="269"/>
      <c r="RWR236" s="269"/>
      <c r="RWS236" s="269"/>
      <c r="RWT236" s="269"/>
      <c r="RWU236" s="269"/>
      <c r="RWV236" s="269"/>
      <c r="RWW236" s="269"/>
      <c r="RWX236" s="269"/>
      <c r="RWY236" s="269"/>
      <c r="RWZ236" s="269"/>
      <c r="RXA236" s="269"/>
      <c r="RXB236" s="269"/>
      <c r="RXC236" s="269"/>
      <c r="RXD236" s="269"/>
      <c r="RXE236" s="269"/>
      <c r="RXF236" s="269"/>
      <c r="RXG236" s="269"/>
      <c r="RXH236" s="269"/>
      <c r="RXI236" s="269"/>
      <c r="RXJ236" s="269"/>
      <c r="RXK236" s="269"/>
      <c r="RXL236" s="269"/>
      <c r="RXM236" s="269"/>
      <c r="RXN236" s="269"/>
      <c r="RXO236" s="269"/>
      <c r="RXP236" s="269"/>
      <c r="RXQ236" s="269"/>
      <c r="RXR236" s="269"/>
      <c r="RXS236" s="269"/>
      <c r="RXT236" s="269"/>
      <c r="RXU236" s="269"/>
      <c r="RXV236" s="269"/>
      <c r="RXW236" s="269"/>
      <c r="RXX236" s="269"/>
      <c r="RXY236" s="269"/>
      <c r="RXZ236" s="269"/>
      <c r="RYA236" s="269"/>
      <c r="RYB236" s="269"/>
      <c r="RYC236" s="269"/>
      <c r="RYD236" s="269"/>
      <c r="RYE236" s="269"/>
      <c r="RYF236" s="269"/>
      <c r="RYG236" s="269"/>
      <c r="RYH236" s="269"/>
      <c r="RYI236" s="269"/>
      <c r="RYJ236" s="269"/>
      <c r="RYK236" s="269"/>
      <c r="RYL236" s="269"/>
      <c r="RYM236" s="269"/>
      <c r="RYN236" s="269"/>
      <c r="RYO236" s="269"/>
      <c r="RYP236" s="269"/>
      <c r="RYQ236" s="269"/>
      <c r="RYR236" s="269"/>
      <c r="RYS236" s="269"/>
      <c r="RYT236" s="269"/>
      <c r="RYU236" s="269"/>
      <c r="RYV236" s="269"/>
      <c r="RYW236" s="269"/>
      <c r="RYX236" s="269"/>
      <c r="RYY236" s="269"/>
      <c r="RYZ236" s="269"/>
      <c r="RZA236" s="269"/>
      <c r="RZB236" s="269"/>
      <c r="RZC236" s="269"/>
      <c r="RZD236" s="269"/>
      <c r="RZE236" s="269"/>
      <c r="RZF236" s="269"/>
      <c r="RZG236" s="269"/>
      <c r="RZH236" s="269"/>
      <c r="RZI236" s="269"/>
      <c r="RZJ236" s="269"/>
      <c r="RZK236" s="269"/>
      <c r="RZL236" s="269"/>
      <c r="RZM236" s="269"/>
      <c r="RZN236" s="269"/>
      <c r="RZO236" s="269"/>
      <c r="RZP236" s="269"/>
      <c r="RZQ236" s="269"/>
      <c r="RZR236" s="269"/>
      <c r="RZS236" s="269"/>
      <c r="RZT236" s="269"/>
      <c r="RZU236" s="269"/>
      <c r="RZV236" s="269"/>
      <c r="RZW236" s="269"/>
      <c r="RZX236" s="269"/>
      <c r="RZY236" s="269"/>
      <c r="RZZ236" s="269"/>
      <c r="SAA236" s="269"/>
      <c r="SAB236" s="269"/>
      <c r="SAC236" s="269"/>
      <c r="SAD236" s="269"/>
      <c r="SAE236" s="269"/>
      <c r="SAF236" s="269"/>
      <c r="SAG236" s="269"/>
      <c r="SAH236" s="269"/>
      <c r="SAI236" s="269"/>
      <c r="SAJ236" s="269"/>
      <c r="SAK236" s="269"/>
      <c r="SAL236" s="269"/>
      <c r="SAM236" s="269"/>
      <c r="SAN236" s="269"/>
      <c r="SAO236" s="269"/>
      <c r="SAP236" s="269"/>
      <c r="SAQ236" s="269"/>
      <c r="SAR236" s="269"/>
      <c r="SAS236" s="269"/>
      <c r="SAT236" s="269"/>
      <c r="SAU236" s="269"/>
      <c r="SAV236" s="269"/>
      <c r="SAW236" s="269"/>
      <c r="SAX236" s="269"/>
      <c r="SAY236" s="269"/>
      <c r="SAZ236" s="269"/>
      <c r="SBA236" s="269"/>
      <c r="SBB236" s="269"/>
      <c r="SBC236" s="269"/>
      <c r="SBD236" s="269"/>
      <c r="SBE236" s="269"/>
      <c r="SBF236" s="269"/>
      <c r="SBG236" s="269"/>
      <c r="SBH236" s="269"/>
      <c r="SBI236" s="269"/>
      <c r="SBJ236" s="269"/>
      <c r="SBK236" s="269"/>
      <c r="SBL236" s="269"/>
      <c r="SBM236" s="269"/>
      <c r="SBN236" s="269"/>
      <c r="SBO236" s="269"/>
      <c r="SBP236" s="269"/>
      <c r="SBQ236" s="269"/>
      <c r="SBR236" s="269"/>
      <c r="SBS236" s="269"/>
      <c r="SBT236" s="269"/>
      <c r="SBU236" s="269"/>
      <c r="SBV236" s="269"/>
      <c r="SBW236" s="269"/>
      <c r="SBX236" s="269"/>
      <c r="SBY236" s="269"/>
      <c r="SBZ236" s="269"/>
      <c r="SCA236" s="269"/>
      <c r="SCB236" s="269"/>
      <c r="SCC236" s="269"/>
      <c r="SCD236" s="269"/>
      <c r="SCE236" s="269"/>
      <c r="SCF236" s="269"/>
      <c r="SCG236" s="269"/>
      <c r="SCH236" s="269"/>
      <c r="SCI236" s="269"/>
      <c r="SCJ236" s="269"/>
      <c r="SCK236" s="269"/>
      <c r="SCL236" s="269"/>
      <c r="SCM236" s="269"/>
      <c r="SCN236" s="269"/>
      <c r="SCO236" s="269"/>
      <c r="SCP236" s="269"/>
      <c r="SCQ236" s="269"/>
      <c r="SCR236" s="269"/>
      <c r="SCS236" s="269"/>
      <c r="SCT236" s="269"/>
      <c r="SCU236" s="269"/>
      <c r="SCV236" s="269"/>
      <c r="SCW236" s="269"/>
      <c r="SCX236" s="269"/>
      <c r="SCY236" s="269"/>
      <c r="SCZ236" s="269"/>
      <c r="SDA236" s="269"/>
      <c r="SDB236" s="269"/>
      <c r="SDC236" s="269"/>
      <c r="SDD236" s="269"/>
      <c r="SDE236" s="269"/>
      <c r="SDF236" s="269"/>
      <c r="SDG236" s="269"/>
      <c r="SDH236" s="269"/>
      <c r="SDI236" s="269"/>
      <c r="SDJ236" s="269"/>
      <c r="SDK236" s="269"/>
      <c r="SDL236" s="269"/>
      <c r="SDM236" s="269"/>
      <c r="SDN236" s="269"/>
      <c r="SDO236" s="269"/>
      <c r="SDP236" s="269"/>
      <c r="SDQ236" s="269"/>
      <c r="SDR236" s="269"/>
      <c r="SDS236" s="269"/>
      <c r="SDT236" s="269"/>
      <c r="SDU236" s="269"/>
      <c r="SDV236" s="269"/>
      <c r="SDW236" s="269"/>
      <c r="SDX236" s="269"/>
      <c r="SDY236" s="269"/>
      <c r="SDZ236" s="269"/>
      <c r="SEA236" s="269"/>
      <c r="SEB236" s="269"/>
      <c r="SEC236" s="269"/>
      <c r="SED236" s="269"/>
      <c r="SEE236" s="269"/>
      <c r="SEF236" s="269"/>
      <c r="SEG236" s="269"/>
      <c r="SEH236" s="269"/>
      <c r="SEI236" s="269"/>
      <c r="SEJ236" s="269"/>
      <c r="SEK236" s="269"/>
      <c r="SEL236" s="269"/>
      <c r="SEM236" s="269"/>
      <c r="SEN236" s="269"/>
      <c r="SEO236" s="269"/>
      <c r="SEP236" s="269"/>
      <c r="SEQ236" s="269"/>
      <c r="SER236" s="269"/>
      <c r="SES236" s="269"/>
      <c r="SET236" s="269"/>
      <c r="SEU236" s="269"/>
      <c r="SEV236" s="269"/>
      <c r="SEW236" s="269"/>
      <c r="SEX236" s="269"/>
      <c r="SEY236" s="269"/>
      <c r="SEZ236" s="269"/>
      <c r="SFA236" s="269"/>
      <c r="SFB236" s="269"/>
      <c r="SFC236" s="269"/>
      <c r="SFD236" s="269"/>
      <c r="SFE236" s="269"/>
      <c r="SFF236" s="269"/>
      <c r="SFG236" s="269"/>
      <c r="SFH236" s="269"/>
      <c r="SFI236" s="269"/>
      <c r="SFJ236" s="269"/>
      <c r="SFK236" s="269"/>
      <c r="SFL236" s="269"/>
      <c r="SFM236" s="269"/>
      <c r="SFN236" s="269"/>
      <c r="SFO236" s="269"/>
      <c r="SFP236" s="269"/>
      <c r="SFQ236" s="269"/>
      <c r="SFR236" s="269"/>
      <c r="SFS236" s="269"/>
      <c r="SFT236" s="269"/>
      <c r="SFU236" s="269"/>
      <c r="SFV236" s="269"/>
      <c r="SFW236" s="269"/>
      <c r="SFX236" s="269"/>
      <c r="SFY236" s="269"/>
      <c r="SFZ236" s="269"/>
      <c r="SGA236" s="269"/>
      <c r="SGB236" s="269"/>
      <c r="SGC236" s="269"/>
      <c r="SGD236" s="269"/>
      <c r="SGE236" s="269"/>
      <c r="SGF236" s="269"/>
      <c r="SGG236" s="269"/>
      <c r="SGH236" s="269"/>
      <c r="SGI236" s="269"/>
      <c r="SGJ236" s="269"/>
      <c r="SGK236" s="269"/>
      <c r="SGL236" s="269"/>
      <c r="SGM236" s="269"/>
      <c r="SGN236" s="269"/>
      <c r="SGO236" s="269"/>
      <c r="SGP236" s="269"/>
      <c r="SGQ236" s="269"/>
      <c r="SGR236" s="269"/>
      <c r="SGS236" s="269"/>
      <c r="SGT236" s="269"/>
      <c r="SGU236" s="269"/>
      <c r="SGV236" s="269"/>
      <c r="SGW236" s="269"/>
      <c r="SGX236" s="269"/>
      <c r="SGY236" s="269"/>
      <c r="SGZ236" s="269"/>
      <c r="SHA236" s="269"/>
      <c r="SHB236" s="269"/>
      <c r="SHC236" s="269"/>
      <c r="SHD236" s="269"/>
      <c r="SHE236" s="269"/>
      <c r="SHF236" s="269"/>
      <c r="SHG236" s="269"/>
      <c r="SHH236" s="269"/>
      <c r="SHI236" s="269"/>
      <c r="SHJ236" s="269"/>
      <c r="SHK236" s="269"/>
      <c r="SHL236" s="269"/>
      <c r="SHM236" s="269"/>
      <c r="SHN236" s="269"/>
      <c r="SHO236" s="269"/>
      <c r="SHP236" s="269"/>
      <c r="SHQ236" s="269"/>
      <c r="SHR236" s="269"/>
      <c r="SHS236" s="269"/>
      <c r="SHT236" s="269"/>
      <c r="SHU236" s="269"/>
      <c r="SHV236" s="269"/>
      <c r="SHW236" s="269"/>
      <c r="SHX236" s="269"/>
      <c r="SHY236" s="269"/>
      <c r="SHZ236" s="269"/>
      <c r="SIA236" s="269"/>
      <c r="SIB236" s="269"/>
      <c r="SIC236" s="269"/>
      <c r="SID236" s="269"/>
      <c r="SIE236" s="269"/>
      <c r="SIF236" s="269"/>
      <c r="SIG236" s="269"/>
      <c r="SIH236" s="269"/>
      <c r="SII236" s="269"/>
      <c r="SIJ236" s="269"/>
      <c r="SIK236" s="269"/>
      <c r="SIL236" s="269"/>
      <c r="SIM236" s="269"/>
      <c r="SIN236" s="269"/>
      <c r="SIO236" s="269"/>
      <c r="SIP236" s="269"/>
      <c r="SIQ236" s="269"/>
      <c r="SIR236" s="269"/>
      <c r="SIS236" s="269"/>
      <c r="SIT236" s="269"/>
      <c r="SIU236" s="269"/>
      <c r="SIV236" s="269"/>
      <c r="SIW236" s="269"/>
      <c r="SIX236" s="269"/>
      <c r="SIY236" s="269"/>
      <c r="SIZ236" s="269"/>
      <c r="SJA236" s="269"/>
      <c r="SJB236" s="269"/>
      <c r="SJC236" s="269"/>
      <c r="SJD236" s="269"/>
      <c r="SJE236" s="269"/>
      <c r="SJF236" s="269"/>
      <c r="SJG236" s="269"/>
      <c r="SJH236" s="269"/>
      <c r="SJI236" s="269"/>
      <c r="SJJ236" s="269"/>
      <c r="SJK236" s="269"/>
      <c r="SJL236" s="269"/>
      <c r="SJM236" s="269"/>
      <c r="SJN236" s="269"/>
      <c r="SJO236" s="269"/>
      <c r="SJP236" s="269"/>
      <c r="SJQ236" s="269"/>
      <c r="SJR236" s="269"/>
      <c r="SJS236" s="269"/>
      <c r="SJT236" s="269"/>
      <c r="SJU236" s="269"/>
      <c r="SJV236" s="269"/>
      <c r="SJW236" s="269"/>
      <c r="SJX236" s="269"/>
      <c r="SJY236" s="269"/>
      <c r="SJZ236" s="269"/>
      <c r="SKA236" s="269"/>
      <c r="SKB236" s="269"/>
      <c r="SKC236" s="269"/>
      <c r="SKD236" s="269"/>
      <c r="SKE236" s="269"/>
      <c r="SKF236" s="269"/>
      <c r="SKG236" s="269"/>
      <c r="SKH236" s="269"/>
      <c r="SKI236" s="269"/>
      <c r="SKJ236" s="269"/>
      <c r="SKK236" s="269"/>
      <c r="SKL236" s="269"/>
      <c r="SKM236" s="269"/>
      <c r="SKN236" s="269"/>
      <c r="SKO236" s="269"/>
      <c r="SKP236" s="269"/>
      <c r="SKQ236" s="269"/>
      <c r="SKR236" s="269"/>
      <c r="SKS236" s="269"/>
      <c r="SKT236" s="269"/>
      <c r="SKU236" s="269"/>
      <c r="SKV236" s="269"/>
      <c r="SKW236" s="269"/>
      <c r="SKX236" s="269"/>
      <c r="SKY236" s="269"/>
      <c r="SKZ236" s="269"/>
      <c r="SLA236" s="269"/>
      <c r="SLB236" s="269"/>
      <c r="SLC236" s="269"/>
      <c r="SLD236" s="269"/>
      <c r="SLE236" s="269"/>
      <c r="SLF236" s="269"/>
      <c r="SLG236" s="269"/>
      <c r="SLH236" s="269"/>
      <c r="SLI236" s="269"/>
      <c r="SLJ236" s="269"/>
      <c r="SLK236" s="269"/>
      <c r="SLL236" s="269"/>
      <c r="SLM236" s="269"/>
      <c r="SLN236" s="269"/>
      <c r="SLO236" s="269"/>
      <c r="SLP236" s="269"/>
      <c r="SLQ236" s="269"/>
      <c r="SLR236" s="269"/>
      <c r="SLS236" s="269"/>
      <c r="SLT236" s="269"/>
      <c r="SLU236" s="269"/>
      <c r="SLV236" s="269"/>
      <c r="SLW236" s="269"/>
      <c r="SLX236" s="269"/>
      <c r="SLY236" s="269"/>
      <c r="SLZ236" s="269"/>
      <c r="SMA236" s="269"/>
      <c r="SMB236" s="269"/>
      <c r="SMC236" s="269"/>
      <c r="SMD236" s="269"/>
      <c r="SME236" s="269"/>
      <c r="SMF236" s="269"/>
      <c r="SMG236" s="269"/>
      <c r="SMH236" s="269"/>
      <c r="SMI236" s="269"/>
      <c r="SMJ236" s="269"/>
      <c r="SMK236" s="269"/>
      <c r="SML236" s="269"/>
      <c r="SMM236" s="269"/>
      <c r="SMN236" s="269"/>
      <c r="SMO236" s="269"/>
      <c r="SMP236" s="269"/>
      <c r="SMQ236" s="269"/>
      <c r="SMR236" s="269"/>
      <c r="SMS236" s="269"/>
      <c r="SMT236" s="269"/>
      <c r="SMU236" s="269"/>
      <c r="SMV236" s="269"/>
      <c r="SMW236" s="269"/>
      <c r="SMX236" s="269"/>
      <c r="SMY236" s="269"/>
      <c r="SMZ236" s="269"/>
      <c r="SNA236" s="269"/>
      <c r="SNB236" s="269"/>
      <c r="SNC236" s="269"/>
      <c r="SND236" s="269"/>
      <c r="SNE236" s="269"/>
      <c r="SNF236" s="269"/>
      <c r="SNG236" s="269"/>
      <c r="SNH236" s="269"/>
      <c r="SNI236" s="269"/>
      <c r="SNJ236" s="269"/>
      <c r="SNK236" s="269"/>
      <c r="SNL236" s="269"/>
      <c r="SNM236" s="269"/>
      <c r="SNN236" s="269"/>
      <c r="SNO236" s="269"/>
      <c r="SNP236" s="269"/>
      <c r="SNQ236" s="269"/>
      <c r="SNR236" s="269"/>
      <c r="SNS236" s="269"/>
      <c r="SNT236" s="269"/>
      <c r="SNU236" s="269"/>
      <c r="SNV236" s="269"/>
      <c r="SNW236" s="269"/>
      <c r="SNX236" s="269"/>
      <c r="SNY236" s="269"/>
      <c r="SNZ236" s="269"/>
      <c r="SOA236" s="269"/>
      <c r="SOB236" s="269"/>
      <c r="SOC236" s="269"/>
      <c r="SOD236" s="269"/>
      <c r="SOE236" s="269"/>
      <c r="SOF236" s="269"/>
      <c r="SOG236" s="269"/>
      <c r="SOH236" s="269"/>
      <c r="SOI236" s="269"/>
      <c r="SOJ236" s="269"/>
      <c r="SOK236" s="269"/>
      <c r="SOL236" s="269"/>
      <c r="SOM236" s="269"/>
      <c r="SON236" s="269"/>
      <c r="SOO236" s="269"/>
      <c r="SOP236" s="269"/>
      <c r="SOQ236" s="269"/>
      <c r="SOR236" s="269"/>
      <c r="SOS236" s="269"/>
      <c r="SOT236" s="269"/>
      <c r="SOU236" s="269"/>
      <c r="SOV236" s="269"/>
      <c r="SOW236" s="269"/>
      <c r="SOX236" s="269"/>
      <c r="SOY236" s="269"/>
      <c r="SOZ236" s="269"/>
      <c r="SPA236" s="269"/>
      <c r="SPB236" s="269"/>
      <c r="SPC236" s="269"/>
      <c r="SPD236" s="269"/>
      <c r="SPE236" s="269"/>
      <c r="SPF236" s="269"/>
      <c r="SPG236" s="269"/>
      <c r="SPH236" s="269"/>
      <c r="SPI236" s="269"/>
      <c r="SPJ236" s="269"/>
      <c r="SPK236" s="269"/>
      <c r="SPL236" s="269"/>
      <c r="SPM236" s="269"/>
      <c r="SPN236" s="269"/>
      <c r="SPO236" s="269"/>
      <c r="SPP236" s="269"/>
      <c r="SPQ236" s="269"/>
      <c r="SPR236" s="269"/>
      <c r="SPS236" s="269"/>
      <c r="SPT236" s="269"/>
      <c r="SPU236" s="269"/>
      <c r="SPV236" s="269"/>
      <c r="SPW236" s="269"/>
      <c r="SPX236" s="269"/>
      <c r="SPY236" s="269"/>
      <c r="SPZ236" s="269"/>
      <c r="SQA236" s="269"/>
      <c r="SQB236" s="269"/>
      <c r="SQC236" s="269"/>
      <c r="SQD236" s="269"/>
      <c r="SQE236" s="269"/>
      <c r="SQF236" s="269"/>
      <c r="SQG236" s="269"/>
      <c r="SQH236" s="269"/>
      <c r="SQI236" s="269"/>
      <c r="SQJ236" s="269"/>
      <c r="SQK236" s="269"/>
      <c r="SQL236" s="269"/>
      <c r="SQM236" s="269"/>
      <c r="SQN236" s="269"/>
      <c r="SQO236" s="269"/>
      <c r="SQP236" s="269"/>
      <c r="SQQ236" s="269"/>
      <c r="SQR236" s="269"/>
      <c r="SQS236" s="269"/>
      <c r="SQT236" s="269"/>
      <c r="SQU236" s="269"/>
      <c r="SQV236" s="269"/>
      <c r="SQW236" s="269"/>
      <c r="SQX236" s="269"/>
      <c r="SQY236" s="269"/>
      <c r="SQZ236" s="269"/>
      <c r="SRA236" s="269"/>
      <c r="SRB236" s="269"/>
      <c r="SRC236" s="269"/>
      <c r="SRD236" s="269"/>
      <c r="SRE236" s="269"/>
      <c r="SRF236" s="269"/>
      <c r="SRG236" s="269"/>
      <c r="SRH236" s="269"/>
      <c r="SRI236" s="269"/>
      <c r="SRJ236" s="269"/>
      <c r="SRK236" s="269"/>
      <c r="SRL236" s="269"/>
      <c r="SRM236" s="269"/>
      <c r="SRN236" s="269"/>
      <c r="SRO236" s="269"/>
      <c r="SRP236" s="269"/>
      <c r="SRQ236" s="269"/>
      <c r="SRR236" s="269"/>
      <c r="SRS236" s="269"/>
      <c r="SRT236" s="269"/>
      <c r="SRU236" s="269"/>
      <c r="SRV236" s="269"/>
      <c r="SRW236" s="269"/>
      <c r="SRX236" s="269"/>
      <c r="SRY236" s="269"/>
      <c r="SRZ236" s="269"/>
      <c r="SSA236" s="269"/>
      <c r="SSB236" s="269"/>
      <c r="SSC236" s="269"/>
      <c r="SSD236" s="269"/>
      <c r="SSE236" s="269"/>
      <c r="SSF236" s="269"/>
      <c r="SSG236" s="269"/>
      <c r="SSH236" s="269"/>
      <c r="SSI236" s="269"/>
      <c r="SSJ236" s="269"/>
      <c r="SSK236" s="269"/>
      <c r="SSL236" s="269"/>
      <c r="SSM236" s="269"/>
      <c r="SSN236" s="269"/>
      <c r="SSO236" s="269"/>
      <c r="SSP236" s="269"/>
      <c r="SSQ236" s="269"/>
      <c r="SSR236" s="269"/>
      <c r="SSS236" s="269"/>
      <c r="SST236" s="269"/>
      <c r="SSU236" s="269"/>
      <c r="SSV236" s="269"/>
      <c r="SSW236" s="269"/>
      <c r="SSX236" s="269"/>
      <c r="SSY236" s="269"/>
      <c r="SSZ236" s="269"/>
      <c r="STA236" s="269"/>
      <c r="STB236" s="269"/>
      <c r="STC236" s="269"/>
      <c r="STD236" s="269"/>
      <c r="STE236" s="269"/>
      <c r="STF236" s="269"/>
      <c r="STG236" s="269"/>
      <c r="STH236" s="269"/>
      <c r="STI236" s="269"/>
      <c r="STJ236" s="269"/>
      <c r="STK236" s="269"/>
      <c r="STL236" s="269"/>
      <c r="STM236" s="269"/>
      <c r="STN236" s="269"/>
      <c r="STO236" s="269"/>
      <c r="STP236" s="269"/>
      <c r="STQ236" s="269"/>
      <c r="STR236" s="269"/>
      <c r="STS236" s="269"/>
      <c r="STT236" s="269"/>
      <c r="STU236" s="269"/>
      <c r="STV236" s="269"/>
      <c r="STW236" s="269"/>
      <c r="STX236" s="269"/>
      <c r="STY236" s="269"/>
      <c r="STZ236" s="269"/>
      <c r="SUA236" s="269"/>
      <c r="SUB236" s="269"/>
      <c r="SUC236" s="269"/>
      <c r="SUD236" s="269"/>
      <c r="SUE236" s="269"/>
      <c r="SUF236" s="269"/>
      <c r="SUG236" s="269"/>
      <c r="SUH236" s="269"/>
      <c r="SUI236" s="269"/>
      <c r="SUJ236" s="269"/>
      <c r="SUK236" s="269"/>
      <c r="SUL236" s="269"/>
      <c r="SUM236" s="269"/>
      <c r="SUN236" s="269"/>
      <c r="SUO236" s="269"/>
      <c r="SUP236" s="269"/>
      <c r="SUQ236" s="269"/>
      <c r="SUR236" s="269"/>
      <c r="SUS236" s="269"/>
      <c r="SUT236" s="269"/>
      <c r="SUU236" s="269"/>
      <c r="SUV236" s="269"/>
      <c r="SUW236" s="269"/>
      <c r="SUX236" s="269"/>
      <c r="SUY236" s="269"/>
      <c r="SUZ236" s="269"/>
      <c r="SVA236" s="269"/>
      <c r="SVB236" s="269"/>
      <c r="SVC236" s="269"/>
      <c r="SVD236" s="269"/>
      <c r="SVE236" s="269"/>
      <c r="SVF236" s="269"/>
      <c r="SVG236" s="269"/>
      <c r="SVH236" s="269"/>
      <c r="SVI236" s="269"/>
      <c r="SVJ236" s="269"/>
      <c r="SVK236" s="269"/>
      <c r="SVL236" s="269"/>
      <c r="SVM236" s="269"/>
      <c r="SVN236" s="269"/>
      <c r="SVO236" s="269"/>
      <c r="SVP236" s="269"/>
      <c r="SVQ236" s="269"/>
      <c r="SVR236" s="269"/>
      <c r="SVS236" s="269"/>
      <c r="SVT236" s="269"/>
      <c r="SVU236" s="269"/>
      <c r="SVV236" s="269"/>
      <c r="SVW236" s="269"/>
      <c r="SVX236" s="269"/>
      <c r="SVY236" s="269"/>
      <c r="SVZ236" s="269"/>
      <c r="SWA236" s="269"/>
      <c r="SWB236" s="269"/>
      <c r="SWC236" s="269"/>
      <c r="SWD236" s="269"/>
      <c r="SWE236" s="269"/>
      <c r="SWF236" s="269"/>
      <c r="SWG236" s="269"/>
      <c r="SWH236" s="269"/>
      <c r="SWI236" s="269"/>
      <c r="SWJ236" s="269"/>
      <c r="SWK236" s="269"/>
      <c r="SWL236" s="269"/>
      <c r="SWM236" s="269"/>
      <c r="SWN236" s="269"/>
      <c r="SWO236" s="269"/>
      <c r="SWP236" s="269"/>
      <c r="SWQ236" s="269"/>
      <c r="SWR236" s="269"/>
      <c r="SWS236" s="269"/>
      <c r="SWT236" s="269"/>
      <c r="SWU236" s="269"/>
      <c r="SWV236" s="269"/>
      <c r="SWW236" s="269"/>
      <c r="SWX236" s="269"/>
      <c r="SWY236" s="269"/>
      <c r="SWZ236" s="269"/>
      <c r="SXA236" s="269"/>
      <c r="SXB236" s="269"/>
      <c r="SXC236" s="269"/>
      <c r="SXD236" s="269"/>
      <c r="SXE236" s="269"/>
      <c r="SXF236" s="269"/>
      <c r="SXG236" s="269"/>
      <c r="SXH236" s="269"/>
      <c r="SXI236" s="269"/>
      <c r="SXJ236" s="269"/>
      <c r="SXK236" s="269"/>
      <c r="SXL236" s="269"/>
      <c r="SXM236" s="269"/>
      <c r="SXN236" s="269"/>
      <c r="SXO236" s="269"/>
      <c r="SXP236" s="269"/>
      <c r="SXQ236" s="269"/>
      <c r="SXR236" s="269"/>
      <c r="SXS236" s="269"/>
      <c r="SXT236" s="269"/>
      <c r="SXU236" s="269"/>
      <c r="SXV236" s="269"/>
      <c r="SXW236" s="269"/>
      <c r="SXX236" s="269"/>
      <c r="SXY236" s="269"/>
      <c r="SXZ236" s="269"/>
      <c r="SYA236" s="269"/>
      <c r="SYB236" s="269"/>
      <c r="SYC236" s="269"/>
      <c r="SYD236" s="269"/>
      <c r="SYE236" s="269"/>
      <c r="SYF236" s="269"/>
      <c r="SYG236" s="269"/>
      <c r="SYH236" s="269"/>
      <c r="SYI236" s="269"/>
      <c r="SYJ236" s="269"/>
      <c r="SYK236" s="269"/>
      <c r="SYL236" s="269"/>
      <c r="SYM236" s="269"/>
      <c r="SYN236" s="269"/>
      <c r="SYO236" s="269"/>
      <c r="SYP236" s="269"/>
      <c r="SYQ236" s="269"/>
      <c r="SYR236" s="269"/>
      <c r="SYS236" s="269"/>
      <c r="SYT236" s="269"/>
      <c r="SYU236" s="269"/>
      <c r="SYV236" s="269"/>
      <c r="SYW236" s="269"/>
      <c r="SYX236" s="269"/>
      <c r="SYY236" s="269"/>
      <c r="SYZ236" s="269"/>
      <c r="SZA236" s="269"/>
      <c r="SZB236" s="269"/>
      <c r="SZC236" s="269"/>
      <c r="SZD236" s="269"/>
      <c r="SZE236" s="269"/>
      <c r="SZF236" s="269"/>
      <c r="SZG236" s="269"/>
      <c r="SZH236" s="269"/>
      <c r="SZI236" s="269"/>
      <c r="SZJ236" s="269"/>
      <c r="SZK236" s="269"/>
      <c r="SZL236" s="269"/>
      <c r="SZM236" s="269"/>
      <c r="SZN236" s="269"/>
      <c r="SZO236" s="269"/>
      <c r="SZP236" s="269"/>
      <c r="SZQ236" s="269"/>
      <c r="SZR236" s="269"/>
      <c r="SZS236" s="269"/>
      <c r="SZT236" s="269"/>
      <c r="SZU236" s="269"/>
      <c r="SZV236" s="269"/>
      <c r="SZW236" s="269"/>
      <c r="SZX236" s="269"/>
      <c r="SZY236" s="269"/>
      <c r="SZZ236" s="269"/>
      <c r="TAA236" s="269"/>
      <c r="TAB236" s="269"/>
      <c r="TAC236" s="269"/>
      <c r="TAD236" s="269"/>
      <c r="TAE236" s="269"/>
      <c r="TAF236" s="269"/>
      <c r="TAG236" s="269"/>
      <c r="TAH236" s="269"/>
      <c r="TAI236" s="269"/>
      <c r="TAJ236" s="269"/>
      <c r="TAK236" s="269"/>
      <c r="TAL236" s="269"/>
      <c r="TAM236" s="269"/>
      <c r="TAN236" s="269"/>
      <c r="TAO236" s="269"/>
      <c r="TAP236" s="269"/>
      <c r="TAQ236" s="269"/>
      <c r="TAR236" s="269"/>
      <c r="TAS236" s="269"/>
      <c r="TAT236" s="269"/>
      <c r="TAU236" s="269"/>
      <c r="TAV236" s="269"/>
      <c r="TAW236" s="269"/>
      <c r="TAX236" s="269"/>
      <c r="TAY236" s="269"/>
      <c r="TAZ236" s="269"/>
      <c r="TBA236" s="269"/>
      <c r="TBB236" s="269"/>
      <c r="TBC236" s="269"/>
      <c r="TBD236" s="269"/>
      <c r="TBE236" s="269"/>
      <c r="TBF236" s="269"/>
      <c r="TBG236" s="269"/>
      <c r="TBH236" s="269"/>
      <c r="TBI236" s="269"/>
      <c r="TBJ236" s="269"/>
      <c r="TBK236" s="269"/>
      <c r="TBL236" s="269"/>
      <c r="TBM236" s="269"/>
      <c r="TBN236" s="269"/>
      <c r="TBO236" s="269"/>
      <c r="TBP236" s="269"/>
      <c r="TBQ236" s="269"/>
      <c r="TBR236" s="269"/>
      <c r="TBS236" s="269"/>
      <c r="TBT236" s="269"/>
      <c r="TBU236" s="269"/>
      <c r="TBV236" s="269"/>
      <c r="TBW236" s="269"/>
      <c r="TBX236" s="269"/>
      <c r="TBY236" s="269"/>
      <c r="TBZ236" s="269"/>
      <c r="TCA236" s="269"/>
      <c r="TCB236" s="269"/>
      <c r="TCC236" s="269"/>
      <c r="TCD236" s="269"/>
      <c r="TCE236" s="269"/>
      <c r="TCF236" s="269"/>
      <c r="TCG236" s="269"/>
      <c r="TCH236" s="269"/>
      <c r="TCI236" s="269"/>
      <c r="TCJ236" s="269"/>
      <c r="TCK236" s="269"/>
      <c r="TCL236" s="269"/>
      <c r="TCM236" s="269"/>
      <c r="TCN236" s="269"/>
      <c r="TCO236" s="269"/>
      <c r="TCP236" s="269"/>
      <c r="TCQ236" s="269"/>
      <c r="TCR236" s="269"/>
      <c r="TCS236" s="269"/>
      <c r="TCT236" s="269"/>
      <c r="TCU236" s="269"/>
      <c r="TCV236" s="269"/>
      <c r="TCW236" s="269"/>
      <c r="TCX236" s="269"/>
      <c r="TCY236" s="269"/>
      <c r="TCZ236" s="269"/>
      <c r="TDA236" s="269"/>
      <c r="TDB236" s="269"/>
      <c r="TDC236" s="269"/>
      <c r="TDD236" s="269"/>
      <c r="TDE236" s="269"/>
      <c r="TDF236" s="269"/>
      <c r="TDG236" s="269"/>
      <c r="TDH236" s="269"/>
      <c r="TDI236" s="269"/>
      <c r="TDJ236" s="269"/>
      <c r="TDK236" s="269"/>
      <c r="TDL236" s="269"/>
      <c r="TDM236" s="269"/>
      <c r="TDN236" s="269"/>
      <c r="TDO236" s="269"/>
      <c r="TDP236" s="269"/>
      <c r="TDQ236" s="269"/>
      <c r="TDR236" s="269"/>
      <c r="TDS236" s="269"/>
      <c r="TDT236" s="269"/>
      <c r="TDU236" s="269"/>
      <c r="TDV236" s="269"/>
      <c r="TDW236" s="269"/>
      <c r="TDX236" s="269"/>
      <c r="TDY236" s="269"/>
      <c r="TDZ236" s="269"/>
      <c r="TEA236" s="269"/>
      <c r="TEB236" s="269"/>
      <c r="TEC236" s="269"/>
      <c r="TED236" s="269"/>
      <c r="TEE236" s="269"/>
      <c r="TEF236" s="269"/>
      <c r="TEG236" s="269"/>
      <c r="TEH236" s="269"/>
      <c r="TEI236" s="269"/>
      <c r="TEJ236" s="269"/>
      <c r="TEK236" s="269"/>
      <c r="TEL236" s="269"/>
      <c r="TEM236" s="269"/>
      <c r="TEN236" s="269"/>
      <c r="TEO236" s="269"/>
      <c r="TEP236" s="269"/>
      <c r="TEQ236" s="269"/>
      <c r="TER236" s="269"/>
      <c r="TES236" s="269"/>
      <c r="TET236" s="269"/>
      <c r="TEU236" s="269"/>
      <c r="TEV236" s="269"/>
      <c r="TEW236" s="269"/>
      <c r="TEX236" s="269"/>
      <c r="TEY236" s="269"/>
      <c r="TEZ236" s="269"/>
      <c r="TFA236" s="269"/>
      <c r="TFB236" s="269"/>
      <c r="TFC236" s="269"/>
      <c r="TFD236" s="269"/>
      <c r="TFE236" s="269"/>
      <c r="TFF236" s="269"/>
      <c r="TFG236" s="269"/>
      <c r="TFH236" s="269"/>
      <c r="TFI236" s="269"/>
      <c r="TFJ236" s="269"/>
      <c r="TFK236" s="269"/>
      <c r="TFL236" s="269"/>
      <c r="TFM236" s="269"/>
      <c r="TFN236" s="269"/>
      <c r="TFO236" s="269"/>
      <c r="TFP236" s="269"/>
      <c r="TFQ236" s="269"/>
      <c r="TFR236" s="269"/>
      <c r="TFS236" s="269"/>
      <c r="TFT236" s="269"/>
      <c r="TFU236" s="269"/>
      <c r="TFV236" s="269"/>
      <c r="TFW236" s="269"/>
      <c r="TFX236" s="269"/>
      <c r="TFY236" s="269"/>
      <c r="TFZ236" s="269"/>
      <c r="TGA236" s="269"/>
      <c r="TGB236" s="269"/>
      <c r="TGC236" s="269"/>
      <c r="TGD236" s="269"/>
      <c r="TGE236" s="269"/>
      <c r="TGF236" s="269"/>
      <c r="TGG236" s="269"/>
      <c r="TGH236" s="269"/>
      <c r="TGI236" s="269"/>
      <c r="TGJ236" s="269"/>
      <c r="TGK236" s="269"/>
      <c r="TGL236" s="269"/>
      <c r="TGM236" s="269"/>
      <c r="TGN236" s="269"/>
      <c r="TGO236" s="269"/>
      <c r="TGP236" s="269"/>
      <c r="TGQ236" s="269"/>
      <c r="TGR236" s="269"/>
      <c r="TGS236" s="269"/>
      <c r="TGT236" s="269"/>
      <c r="TGU236" s="269"/>
      <c r="TGV236" s="269"/>
      <c r="TGW236" s="269"/>
      <c r="TGX236" s="269"/>
      <c r="TGY236" s="269"/>
      <c r="TGZ236" s="269"/>
      <c r="THA236" s="269"/>
      <c r="THB236" s="269"/>
      <c r="THC236" s="269"/>
      <c r="THD236" s="269"/>
      <c r="THE236" s="269"/>
      <c r="THF236" s="269"/>
      <c r="THG236" s="269"/>
      <c r="THH236" s="269"/>
      <c r="THI236" s="269"/>
      <c r="THJ236" s="269"/>
      <c r="THK236" s="269"/>
      <c r="THL236" s="269"/>
      <c r="THM236" s="269"/>
      <c r="THN236" s="269"/>
      <c r="THO236" s="269"/>
      <c r="THP236" s="269"/>
      <c r="THQ236" s="269"/>
      <c r="THR236" s="269"/>
      <c r="THS236" s="269"/>
      <c r="THT236" s="269"/>
      <c r="THU236" s="269"/>
      <c r="THV236" s="269"/>
      <c r="THW236" s="269"/>
      <c r="THX236" s="269"/>
      <c r="THY236" s="269"/>
      <c r="THZ236" s="269"/>
      <c r="TIA236" s="269"/>
      <c r="TIB236" s="269"/>
      <c r="TIC236" s="269"/>
      <c r="TID236" s="269"/>
      <c r="TIE236" s="269"/>
      <c r="TIF236" s="269"/>
      <c r="TIG236" s="269"/>
      <c r="TIH236" s="269"/>
      <c r="TII236" s="269"/>
      <c r="TIJ236" s="269"/>
      <c r="TIK236" s="269"/>
      <c r="TIL236" s="269"/>
      <c r="TIM236" s="269"/>
      <c r="TIN236" s="269"/>
      <c r="TIO236" s="269"/>
      <c r="TIP236" s="269"/>
      <c r="TIQ236" s="269"/>
      <c r="TIR236" s="269"/>
      <c r="TIS236" s="269"/>
      <c r="TIT236" s="269"/>
      <c r="TIU236" s="269"/>
      <c r="TIV236" s="269"/>
      <c r="TIW236" s="269"/>
      <c r="TIX236" s="269"/>
      <c r="TIY236" s="269"/>
      <c r="TIZ236" s="269"/>
      <c r="TJA236" s="269"/>
      <c r="TJB236" s="269"/>
      <c r="TJC236" s="269"/>
      <c r="TJD236" s="269"/>
      <c r="TJE236" s="269"/>
      <c r="TJF236" s="269"/>
      <c r="TJG236" s="269"/>
      <c r="TJH236" s="269"/>
      <c r="TJI236" s="269"/>
      <c r="TJJ236" s="269"/>
      <c r="TJK236" s="269"/>
      <c r="TJL236" s="269"/>
      <c r="TJM236" s="269"/>
      <c r="TJN236" s="269"/>
      <c r="TJO236" s="269"/>
      <c r="TJP236" s="269"/>
      <c r="TJQ236" s="269"/>
      <c r="TJR236" s="269"/>
      <c r="TJS236" s="269"/>
      <c r="TJT236" s="269"/>
      <c r="TJU236" s="269"/>
      <c r="TJV236" s="269"/>
      <c r="TJW236" s="269"/>
      <c r="TJX236" s="269"/>
      <c r="TJY236" s="269"/>
      <c r="TJZ236" s="269"/>
      <c r="TKA236" s="269"/>
      <c r="TKB236" s="269"/>
      <c r="TKC236" s="269"/>
      <c r="TKD236" s="269"/>
      <c r="TKE236" s="269"/>
      <c r="TKF236" s="269"/>
      <c r="TKG236" s="269"/>
      <c r="TKH236" s="269"/>
      <c r="TKI236" s="269"/>
      <c r="TKJ236" s="269"/>
      <c r="TKK236" s="269"/>
      <c r="TKL236" s="269"/>
      <c r="TKM236" s="269"/>
      <c r="TKN236" s="269"/>
      <c r="TKO236" s="269"/>
      <c r="TKP236" s="269"/>
      <c r="TKQ236" s="269"/>
      <c r="TKR236" s="269"/>
      <c r="TKS236" s="269"/>
      <c r="TKT236" s="269"/>
      <c r="TKU236" s="269"/>
      <c r="TKV236" s="269"/>
      <c r="TKW236" s="269"/>
      <c r="TKX236" s="269"/>
      <c r="TKY236" s="269"/>
      <c r="TKZ236" s="269"/>
      <c r="TLA236" s="269"/>
      <c r="TLB236" s="269"/>
      <c r="TLC236" s="269"/>
      <c r="TLD236" s="269"/>
      <c r="TLE236" s="269"/>
      <c r="TLF236" s="269"/>
      <c r="TLG236" s="269"/>
      <c r="TLH236" s="269"/>
      <c r="TLI236" s="269"/>
      <c r="TLJ236" s="269"/>
      <c r="TLK236" s="269"/>
      <c r="TLL236" s="269"/>
      <c r="TLM236" s="269"/>
      <c r="TLN236" s="269"/>
      <c r="TLO236" s="269"/>
      <c r="TLP236" s="269"/>
      <c r="TLQ236" s="269"/>
      <c r="TLR236" s="269"/>
      <c r="TLS236" s="269"/>
      <c r="TLT236" s="269"/>
      <c r="TLU236" s="269"/>
      <c r="TLV236" s="269"/>
      <c r="TLW236" s="269"/>
      <c r="TLX236" s="269"/>
      <c r="TLY236" s="269"/>
      <c r="TLZ236" s="269"/>
      <c r="TMA236" s="269"/>
      <c r="TMB236" s="269"/>
      <c r="TMC236" s="269"/>
      <c r="TMD236" s="269"/>
      <c r="TME236" s="269"/>
      <c r="TMF236" s="269"/>
      <c r="TMG236" s="269"/>
      <c r="TMH236" s="269"/>
      <c r="TMI236" s="269"/>
      <c r="TMJ236" s="269"/>
      <c r="TMK236" s="269"/>
      <c r="TML236" s="269"/>
      <c r="TMM236" s="269"/>
      <c r="TMN236" s="269"/>
      <c r="TMO236" s="269"/>
      <c r="TMP236" s="269"/>
      <c r="TMQ236" s="269"/>
      <c r="TMR236" s="269"/>
      <c r="TMS236" s="269"/>
      <c r="TMT236" s="269"/>
      <c r="TMU236" s="269"/>
      <c r="TMV236" s="269"/>
      <c r="TMW236" s="269"/>
      <c r="TMX236" s="269"/>
      <c r="TMY236" s="269"/>
      <c r="TMZ236" s="269"/>
      <c r="TNA236" s="269"/>
      <c r="TNB236" s="269"/>
      <c r="TNC236" s="269"/>
      <c r="TND236" s="269"/>
      <c r="TNE236" s="269"/>
      <c r="TNF236" s="269"/>
      <c r="TNG236" s="269"/>
      <c r="TNH236" s="269"/>
      <c r="TNI236" s="269"/>
      <c r="TNJ236" s="269"/>
      <c r="TNK236" s="269"/>
      <c r="TNL236" s="269"/>
      <c r="TNM236" s="269"/>
      <c r="TNN236" s="269"/>
      <c r="TNO236" s="269"/>
      <c r="TNP236" s="269"/>
      <c r="TNQ236" s="269"/>
      <c r="TNR236" s="269"/>
      <c r="TNS236" s="269"/>
      <c r="TNT236" s="269"/>
      <c r="TNU236" s="269"/>
      <c r="TNV236" s="269"/>
      <c r="TNW236" s="269"/>
      <c r="TNX236" s="269"/>
      <c r="TNY236" s="269"/>
      <c r="TNZ236" s="269"/>
      <c r="TOA236" s="269"/>
      <c r="TOB236" s="269"/>
      <c r="TOC236" s="269"/>
      <c r="TOD236" s="269"/>
      <c r="TOE236" s="269"/>
      <c r="TOF236" s="269"/>
      <c r="TOG236" s="269"/>
      <c r="TOH236" s="269"/>
      <c r="TOI236" s="269"/>
      <c r="TOJ236" s="269"/>
      <c r="TOK236" s="269"/>
      <c r="TOL236" s="269"/>
      <c r="TOM236" s="269"/>
      <c r="TON236" s="269"/>
      <c r="TOO236" s="269"/>
      <c r="TOP236" s="269"/>
      <c r="TOQ236" s="269"/>
      <c r="TOR236" s="269"/>
      <c r="TOS236" s="269"/>
      <c r="TOT236" s="269"/>
      <c r="TOU236" s="269"/>
      <c r="TOV236" s="269"/>
      <c r="TOW236" s="269"/>
      <c r="TOX236" s="269"/>
      <c r="TOY236" s="269"/>
      <c r="TOZ236" s="269"/>
      <c r="TPA236" s="269"/>
      <c r="TPB236" s="269"/>
      <c r="TPC236" s="269"/>
      <c r="TPD236" s="269"/>
      <c r="TPE236" s="269"/>
      <c r="TPF236" s="269"/>
      <c r="TPG236" s="269"/>
      <c r="TPH236" s="269"/>
      <c r="TPI236" s="269"/>
      <c r="TPJ236" s="269"/>
      <c r="TPK236" s="269"/>
      <c r="TPL236" s="269"/>
      <c r="TPM236" s="269"/>
      <c r="TPN236" s="269"/>
      <c r="TPO236" s="269"/>
      <c r="TPP236" s="269"/>
      <c r="TPQ236" s="269"/>
      <c r="TPR236" s="269"/>
      <c r="TPS236" s="269"/>
      <c r="TPT236" s="269"/>
      <c r="TPU236" s="269"/>
      <c r="TPV236" s="269"/>
      <c r="TPW236" s="269"/>
      <c r="TPX236" s="269"/>
      <c r="TPY236" s="269"/>
      <c r="TPZ236" s="269"/>
      <c r="TQA236" s="269"/>
      <c r="TQB236" s="269"/>
      <c r="TQC236" s="269"/>
      <c r="TQD236" s="269"/>
      <c r="TQE236" s="269"/>
      <c r="TQF236" s="269"/>
      <c r="TQG236" s="269"/>
      <c r="TQH236" s="269"/>
      <c r="TQI236" s="269"/>
      <c r="TQJ236" s="269"/>
      <c r="TQK236" s="269"/>
      <c r="TQL236" s="269"/>
      <c r="TQM236" s="269"/>
      <c r="TQN236" s="269"/>
      <c r="TQO236" s="269"/>
      <c r="TQP236" s="269"/>
      <c r="TQQ236" s="269"/>
      <c r="TQR236" s="269"/>
      <c r="TQS236" s="269"/>
      <c r="TQT236" s="269"/>
      <c r="TQU236" s="269"/>
      <c r="TQV236" s="269"/>
      <c r="TQW236" s="269"/>
      <c r="TQX236" s="269"/>
      <c r="TQY236" s="269"/>
      <c r="TQZ236" s="269"/>
      <c r="TRA236" s="269"/>
      <c r="TRB236" s="269"/>
      <c r="TRC236" s="269"/>
      <c r="TRD236" s="269"/>
      <c r="TRE236" s="269"/>
      <c r="TRF236" s="269"/>
      <c r="TRG236" s="269"/>
      <c r="TRH236" s="269"/>
      <c r="TRI236" s="269"/>
      <c r="TRJ236" s="269"/>
      <c r="TRK236" s="269"/>
      <c r="TRL236" s="269"/>
      <c r="TRM236" s="269"/>
      <c r="TRN236" s="269"/>
      <c r="TRO236" s="269"/>
      <c r="TRP236" s="269"/>
      <c r="TRQ236" s="269"/>
      <c r="TRR236" s="269"/>
      <c r="TRS236" s="269"/>
      <c r="TRT236" s="269"/>
      <c r="TRU236" s="269"/>
      <c r="TRV236" s="269"/>
      <c r="TRW236" s="269"/>
      <c r="TRX236" s="269"/>
      <c r="TRY236" s="269"/>
      <c r="TRZ236" s="269"/>
      <c r="TSA236" s="269"/>
      <c r="TSB236" s="269"/>
      <c r="TSC236" s="269"/>
      <c r="TSD236" s="269"/>
      <c r="TSE236" s="269"/>
      <c r="TSF236" s="269"/>
      <c r="TSG236" s="269"/>
      <c r="TSH236" s="269"/>
      <c r="TSI236" s="269"/>
      <c r="TSJ236" s="269"/>
      <c r="TSK236" s="269"/>
      <c r="TSL236" s="269"/>
      <c r="TSM236" s="269"/>
      <c r="TSN236" s="269"/>
      <c r="TSO236" s="269"/>
      <c r="TSP236" s="269"/>
      <c r="TSQ236" s="269"/>
      <c r="TSR236" s="269"/>
      <c r="TSS236" s="269"/>
      <c r="TST236" s="269"/>
      <c r="TSU236" s="269"/>
      <c r="TSV236" s="269"/>
      <c r="TSW236" s="269"/>
      <c r="TSX236" s="269"/>
      <c r="TSY236" s="269"/>
      <c r="TSZ236" s="269"/>
      <c r="TTA236" s="269"/>
      <c r="TTB236" s="269"/>
      <c r="TTC236" s="269"/>
      <c r="TTD236" s="269"/>
      <c r="TTE236" s="269"/>
      <c r="TTF236" s="269"/>
      <c r="TTG236" s="269"/>
      <c r="TTH236" s="269"/>
      <c r="TTI236" s="269"/>
      <c r="TTJ236" s="269"/>
      <c r="TTK236" s="269"/>
      <c r="TTL236" s="269"/>
      <c r="TTM236" s="269"/>
      <c r="TTN236" s="269"/>
      <c r="TTO236" s="269"/>
      <c r="TTP236" s="269"/>
      <c r="TTQ236" s="269"/>
      <c r="TTR236" s="269"/>
      <c r="TTS236" s="269"/>
      <c r="TTT236" s="269"/>
      <c r="TTU236" s="269"/>
      <c r="TTV236" s="269"/>
      <c r="TTW236" s="269"/>
      <c r="TTX236" s="269"/>
      <c r="TTY236" s="269"/>
      <c r="TTZ236" s="269"/>
      <c r="TUA236" s="269"/>
      <c r="TUB236" s="269"/>
      <c r="TUC236" s="269"/>
      <c r="TUD236" s="269"/>
      <c r="TUE236" s="269"/>
      <c r="TUF236" s="269"/>
      <c r="TUG236" s="269"/>
      <c r="TUH236" s="269"/>
      <c r="TUI236" s="269"/>
      <c r="TUJ236" s="269"/>
      <c r="TUK236" s="269"/>
      <c r="TUL236" s="269"/>
      <c r="TUM236" s="269"/>
      <c r="TUN236" s="269"/>
      <c r="TUO236" s="269"/>
      <c r="TUP236" s="269"/>
      <c r="TUQ236" s="269"/>
      <c r="TUR236" s="269"/>
      <c r="TUS236" s="269"/>
      <c r="TUT236" s="269"/>
      <c r="TUU236" s="269"/>
      <c r="TUV236" s="269"/>
      <c r="TUW236" s="269"/>
      <c r="TUX236" s="269"/>
      <c r="TUY236" s="269"/>
      <c r="TUZ236" s="269"/>
      <c r="TVA236" s="269"/>
      <c r="TVB236" s="269"/>
      <c r="TVC236" s="269"/>
      <c r="TVD236" s="269"/>
      <c r="TVE236" s="269"/>
      <c r="TVF236" s="269"/>
      <c r="TVG236" s="269"/>
      <c r="TVH236" s="269"/>
      <c r="TVI236" s="269"/>
      <c r="TVJ236" s="269"/>
      <c r="TVK236" s="269"/>
      <c r="TVL236" s="269"/>
      <c r="TVM236" s="269"/>
      <c r="TVN236" s="269"/>
      <c r="TVO236" s="269"/>
      <c r="TVP236" s="269"/>
      <c r="TVQ236" s="269"/>
      <c r="TVR236" s="269"/>
      <c r="TVS236" s="269"/>
      <c r="TVT236" s="269"/>
      <c r="TVU236" s="269"/>
      <c r="TVV236" s="269"/>
      <c r="TVW236" s="269"/>
      <c r="TVX236" s="269"/>
      <c r="TVY236" s="269"/>
      <c r="TVZ236" s="269"/>
      <c r="TWA236" s="269"/>
      <c r="TWB236" s="269"/>
      <c r="TWC236" s="269"/>
      <c r="TWD236" s="269"/>
      <c r="TWE236" s="269"/>
      <c r="TWF236" s="269"/>
      <c r="TWG236" s="269"/>
      <c r="TWH236" s="269"/>
      <c r="TWI236" s="269"/>
      <c r="TWJ236" s="269"/>
      <c r="TWK236" s="269"/>
      <c r="TWL236" s="269"/>
      <c r="TWM236" s="269"/>
      <c r="TWN236" s="269"/>
      <c r="TWO236" s="269"/>
      <c r="TWP236" s="269"/>
      <c r="TWQ236" s="269"/>
      <c r="TWR236" s="269"/>
      <c r="TWS236" s="269"/>
      <c r="TWT236" s="269"/>
      <c r="TWU236" s="269"/>
      <c r="TWV236" s="269"/>
      <c r="TWW236" s="269"/>
      <c r="TWX236" s="269"/>
      <c r="TWY236" s="269"/>
      <c r="TWZ236" s="269"/>
      <c r="TXA236" s="269"/>
      <c r="TXB236" s="269"/>
      <c r="TXC236" s="269"/>
      <c r="TXD236" s="269"/>
      <c r="TXE236" s="269"/>
      <c r="TXF236" s="269"/>
      <c r="TXG236" s="269"/>
      <c r="TXH236" s="269"/>
      <c r="TXI236" s="269"/>
      <c r="TXJ236" s="269"/>
      <c r="TXK236" s="269"/>
      <c r="TXL236" s="269"/>
      <c r="TXM236" s="269"/>
      <c r="TXN236" s="269"/>
      <c r="TXO236" s="269"/>
      <c r="TXP236" s="269"/>
      <c r="TXQ236" s="269"/>
      <c r="TXR236" s="269"/>
      <c r="TXS236" s="269"/>
      <c r="TXT236" s="269"/>
      <c r="TXU236" s="269"/>
      <c r="TXV236" s="269"/>
      <c r="TXW236" s="269"/>
      <c r="TXX236" s="269"/>
      <c r="TXY236" s="269"/>
      <c r="TXZ236" s="269"/>
      <c r="TYA236" s="269"/>
      <c r="TYB236" s="269"/>
      <c r="TYC236" s="269"/>
      <c r="TYD236" s="269"/>
      <c r="TYE236" s="269"/>
      <c r="TYF236" s="269"/>
      <c r="TYG236" s="269"/>
      <c r="TYH236" s="269"/>
      <c r="TYI236" s="269"/>
      <c r="TYJ236" s="269"/>
      <c r="TYK236" s="269"/>
      <c r="TYL236" s="269"/>
      <c r="TYM236" s="269"/>
      <c r="TYN236" s="269"/>
      <c r="TYO236" s="269"/>
      <c r="TYP236" s="269"/>
      <c r="TYQ236" s="269"/>
      <c r="TYR236" s="269"/>
      <c r="TYS236" s="269"/>
      <c r="TYT236" s="269"/>
      <c r="TYU236" s="269"/>
      <c r="TYV236" s="269"/>
      <c r="TYW236" s="269"/>
      <c r="TYX236" s="269"/>
      <c r="TYY236" s="269"/>
      <c r="TYZ236" s="269"/>
      <c r="TZA236" s="269"/>
      <c r="TZB236" s="269"/>
      <c r="TZC236" s="269"/>
      <c r="TZD236" s="269"/>
      <c r="TZE236" s="269"/>
      <c r="TZF236" s="269"/>
      <c r="TZG236" s="269"/>
      <c r="TZH236" s="269"/>
      <c r="TZI236" s="269"/>
      <c r="TZJ236" s="269"/>
      <c r="TZK236" s="269"/>
      <c r="TZL236" s="269"/>
      <c r="TZM236" s="269"/>
      <c r="TZN236" s="269"/>
      <c r="TZO236" s="269"/>
      <c r="TZP236" s="269"/>
      <c r="TZQ236" s="269"/>
      <c r="TZR236" s="269"/>
      <c r="TZS236" s="269"/>
      <c r="TZT236" s="269"/>
      <c r="TZU236" s="269"/>
      <c r="TZV236" s="269"/>
      <c r="TZW236" s="269"/>
      <c r="TZX236" s="269"/>
      <c r="TZY236" s="269"/>
      <c r="TZZ236" s="269"/>
      <c r="UAA236" s="269"/>
      <c r="UAB236" s="269"/>
      <c r="UAC236" s="269"/>
      <c r="UAD236" s="269"/>
      <c r="UAE236" s="269"/>
      <c r="UAF236" s="269"/>
      <c r="UAG236" s="269"/>
      <c r="UAH236" s="269"/>
      <c r="UAI236" s="269"/>
      <c r="UAJ236" s="269"/>
      <c r="UAK236" s="269"/>
      <c r="UAL236" s="269"/>
      <c r="UAM236" s="269"/>
      <c r="UAN236" s="269"/>
      <c r="UAO236" s="269"/>
      <c r="UAP236" s="269"/>
      <c r="UAQ236" s="269"/>
      <c r="UAR236" s="269"/>
      <c r="UAS236" s="269"/>
      <c r="UAT236" s="269"/>
      <c r="UAU236" s="269"/>
      <c r="UAV236" s="269"/>
      <c r="UAW236" s="269"/>
      <c r="UAX236" s="269"/>
      <c r="UAY236" s="269"/>
      <c r="UAZ236" s="269"/>
      <c r="UBA236" s="269"/>
      <c r="UBB236" s="269"/>
      <c r="UBC236" s="269"/>
      <c r="UBD236" s="269"/>
      <c r="UBE236" s="269"/>
      <c r="UBF236" s="269"/>
      <c r="UBG236" s="269"/>
      <c r="UBH236" s="269"/>
      <c r="UBI236" s="269"/>
      <c r="UBJ236" s="269"/>
      <c r="UBK236" s="269"/>
      <c r="UBL236" s="269"/>
      <c r="UBM236" s="269"/>
      <c r="UBN236" s="269"/>
      <c r="UBO236" s="269"/>
      <c r="UBP236" s="269"/>
      <c r="UBQ236" s="269"/>
      <c r="UBR236" s="269"/>
      <c r="UBS236" s="269"/>
      <c r="UBT236" s="269"/>
      <c r="UBU236" s="269"/>
      <c r="UBV236" s="269"/>
      <c r="UBW236" s="269"/>
      <c r="UBX236" s="269"/>
      <c r="UBY236" s="269"/>
      <c r="UBZ236" s="269"/>
      <c r="UCA236" s="269"/>
      <c r="UCB236" s="269"/>
      <c r="UCC236" s="269"/>
      <c r="UCD236" s="269"/>
      <c r="UCE236" s="269"/>
      <c r="UCF236" s="269"/>
      <c r="UCG236" s="269"/>
      <c r="UCH236" s="269"/>
      <c r="UCI236" s="269"/>
      <c r="UCJ236" s="269"/>
      <c r="UCK236" s="269"/>
      <c r="UCL236" s="269"/>
      <c r="UCM236" s="269"/>
      <c r="UCN236" s="269"/>
      <c r="UCO236" s="269"/>
      <c r="UCP236" s="269"/>
      <c r="UCQ236" s="269"/>
      <c r="UCR236" s="269"/>
      <c r="UCS236" s="269"/>
      <c r="UCT236" s="269"/>
      <c r="UCU236" s="269"/>
      <c r="UCV236" s="269"/>
      <c r="UCW236" s="269"/>
      <c r="UCX236" s="269"/>
      <c r="UCY236" s="269"/>
      <c r="UCZ236" s="269"/>
      <c r="UDA236" s="269"/>
      <c r="UDB236" s="269"/>
      <c r="UDC236" s="269"/>
      <c r="UDD236" s="269"/>
      <c r="UDE236" s="269"/>
      <c r="UDF236" s="269"/>
      <c r="UDG236" s="269"/>
      <c r="UDH236" s="269"/>
      <c r="UDI236" s="269"/>
      <c r="UDJ236" s="269"/>
      <c r="UDK236" s="269"/>
      <c r="UDL236" s="269"/>
      <c r="UDM236" s="269"/>
      <c r="UDN236" s="269"/>
      <c r="UDO236" s="269"/>
      <c r="UDP236" s="269"/>
      <c r="UDQ236" s="269"/>
      <c r="UDR236" s="269"/>
      <c r="UDS236" s="269"/>
      <c r="UDT236" s="269"/>
      <c r="UDU236" s="269"/>
      <c r="UDV236" s="269"/>
      <c r="UDW236" s="269"/>
      <c r="UDX236" s="269"/>
      <c r="UDY236" s="269"/>
      <c r="UDZ236" s="269"/>
      <c r="UEA236" s="269"/>
      <c r="UEB236" s="269"/>
      <c r="UEC236" s="269"/>
      <c r="UED236" s="269"/>
      <c r="UEE236" s="269"/>
      <c r="UEF236" s="269"/>
      <c r="UEG236" s="269"/>
      <c r="UEH236" s="269"/>
      <c r="UEI236" s="269"/>
      <c r="UEJ236" s="269"/>
      <c r="UEK236" s="269"/>
      <c r="UEL236" s="269"/>
      <c r="UEM236" s="269"/>
      <c r="UEN236" s="269"/>
      <c r="UEO236" s="269"/>
      <c r="UEP236" s="269"/>
      <c r="UEQ236" s="269"/>
      <c r="UER236" s="269"/>
      <c r="UES236" s="269"/>
      <c r="UET236" s="269"/>
      <c r="UEU236" s="269"/>
      <c r="UEV236" s="269"/>
      <c r="UEW236" s="269"/>
      <c r="UEX236" s="269"/>
      <c r="UEY236" s="269"/>
      <c r="UEZ236" s="269"/>
      <c r="UFA236" s="269"/>
      <c r="UFB236" s="269"/>
      <c r="UFC236" s="269"/>
      <c r="UFD236" s="269"/>
      <c r="UFE236" s="269"/>
      <c r="UFF236" s="269"/>
      <c r="UFG236" s="269"/>
      <c r="UFH236" s="269"/>
      <c r="UFI236" s="269"/>
      <c r="UFJ236" s="269"/>
      <c r="UFK236" s="269"/>
      <c r="UFL236" s="269"/>
      <c r="UFM236" s="269"/>
      <c r="UFN236" s="269"/>
      <c r="UFO236" s="269"/>
      <c r="UFP236" s="269"/>
      <c r="UFQ236" s="269"/>
      <c r="UFR236" s="269"/>
      <c r="UFS236" s="269"/>
      <c r="UFT236" s="269"/>
      <c r="UFU236" s="269"/>
      <c r="UFV236" s="269"/>
      <c r="UFW236" s="269"/>
      <c r="UFX236" s="269"/>
      <c r="UFY236" s="269"/>
      <c r="UFZ236" s="269"/>
      <c r="UGA236" s="269"/>
      <c r="UGB236" s="269"/>
      <c r="UGC236" s="269"/>
      <c r="UGD236" s="269"/>
      <c r="UGE236" s="269"/>
      <c r="UGF236" s="269"/>
      <c r="UGG236" s="269"/>
      <c r="UGH236" s="269"/>
      <c r="UGI236" s="269"/>
      <c r="UGJ236" s="269"/>
      <c r="UGK236" s="269"/>
      <c r="UGL236" s="269"/>
      <c r="UGM236" s="269"/>
      <c r="UGN236" s="269"/>
      <c r="UGO236" s="269"/>
      <c r="UGP236" s="269"/>
      <c r="UGQ236" s="269"/>
      <c r="UGR236" s="269"/>
      <c r="UGS236" s="269"/>
      <c r="UGT236" s="269"/>
      <c r="UGU236" s="269"/>
      <c r="UGV236" s="269"/>
      <c r="UGW236" s="269"/>
      <c r="UGX236" s="269"/>
      <c r="UGY236" s="269"/>
      <c r="UGZ236" s="269"/>
      <c r="UHA236" s="269"/>
      <c r="UHB236" s="269"/>
      <c r="UHC236" s="269"/>
      <c r="UHD236" s="269"/>
      <c r="UHE236" s="269"/>
      <c r="UHF236" s="269"/>
      <c r="UHG236" s="269"/>
      <c r="UHH236" s="269"/>
      <c r="UHI236" s="269"/>
      <c r="UHJ236" s="269"/>
      <c r="UHK236" s="269"/>
      <c r="UHL236" s="269"/>
      <c r="UHM236" s="269"/>
      <c r="UHN236" s="269"/>
      <c r="UHO236" s="269"/>
      <c r="UHP236" s="269"/>
      <c r="UHQ236" s="269"/>
      <c r="UHR236" s="269"/>
      <c r="UHS236" s="269"/>
      <c r="UHT236" s="269"/>
      <c r="UHU236" s="269"/>
      <c r="UHV236" s="269"/>
      <c r="UHW236" s="269"/>
      <c r="UHX236" s="269"/>
      <c r="UHY236" s="269"/>
      <c r="UHZ236" s="269"/>
      <c r="UIA236" s="269"/>
      <c r="UIB236" s="269"/>
      <c r="UIC236" s="269"/>
      <c r="UID236" s="269"/>
      <c r="UIE236" s="269"/>
      <c r="UIF236" s="269"/>
      <c r="UIG236" s="269"/>
      <c r="UIH236" s="269"/>
      <c r="UII236" s="269"/>
      <c r="UIJ236" s="269"/>
      <c r="UIK236" s="269"/>
      <c r="UIL236" s="269"/>
      <c r="UIM236" s="269"/>
      <c r="UIN236" s="269"/>
      <c r="UIO236" s="269"/>
      <c r="UIP236" s="269"/>
      <c r="UIQ236" s="269"/>
      <c r="UIR236" s="269"/>
      <c r="UIS236" s="269"/>
      <c r="UIT236" s="269"/>
      <c r="UIU236" s="269"/>
      <c r="UIV236" s="269"/>
      <c r="UIW236" s="269"/>
      <c r="UIX236" s="269"/>
      <c r="UIY236" s="269"/>
      <c r="UIZ236" s="269"/>
      <c r="UJA236" s="269"/>
      <c r="UJB236" s="269"/>
      <c r="UJC236" s="269"/>
      <c r="UJD236" s="269"/>
      <c r="UJE236" s="269"/>
      <c r="UJF236" s="269"/>
      <c r="UJG236" s="269"/>
      <c r="UJH236" s="269"/>
      <c r="UJI236" s="269"/>
      <c r="UJJ236" s="269"/>
      <c r="UJK236" s="269"/>
      <c r="UJL236" s="269"/>
      <c r="UJM236" s="269"/>
      <c r="UJN236" s="269"/>
      <c r="UJO236" s="269"/>
      <c r="UJP236" s="269"/>
      <c r="UJQ236" s="269"/>
      <c r="UJR236" s="269"/>
      <c r="UJS236" s="269"/>
      <c r="UJT236" s="269"/>
      <c r="UJU236" s="269"/>
      <c r="UJV236" s="269"/>
      <c r="UJW236" s="269"/>
      <c r="UJX236" s="269"/>
      <c r="UJY236" s="269"/>
      <c r="UJZ236" s="269"/>
      <c r="UKA236" s="269"/>
      <c r="UKB236" s="269"/>
      <c r="UKC236" s="269"/>
      <c r="UKD236" s="269"/>
      <c r="UKE236" s="269"/>
      <c r="UKF236" s="269"/>
      <c r="UKG236" s="269"/>
      <c r="UKH236" s="269"/>
      <c r="UKI236" s="269"/>
      <c r="UKJ236" s="269"/>
      <c r="UKK236" s="269"/>
      <c r="UKL236" s="269"/>
      <c r="UKM236" s="269"/>
      <c r="UKN236" s="269"/>
      <c r="UKO236" s="269"/>
      <c r="UKP236" s="269"/>
      <c r="UKQ236" s="269"/>
      <c r="UKR236" s="269"/>
      <c r="UKS236" s="269"/>
      <c r="UKT236" s="269"/>
      <c r="UKU236" s="269"/>
      <c r="UKV236" s="269"/>
      <c r="UKW236" s="269"/>
      <c r="UKX236" s="269"/>
      <c r="UKY236" s="269"/>
      <c r="UKZ236" s="269"/>
      <c r="ULA236" s="269"/>
      <c r="ULB236" s="269"/>
      <c r="ULC236" s="269"/>
      <c r="ULD236" s="269"/>
      <c r="ULE236" s="269"/>
      <c r="ULF236" s="269"/>
      <c r="ULG236" s="269"/>
      <c r="ULH236" s="269"/>
      <c r="ULI236" s="269"/>
      <c r="ULJ236" s="269"/>
      <c r="ULK236" s="269"/>
      <c r="ULL236" s="269"/>
      <c r="ULM236" s="269"/>
      <c r="ULN236" s="269"/>
      <c r="ULO236" s="269"/>
      <c r="ULP236" s="269"/>
      <c r="ULQ236" s="269"/>
      <c r="ULR236" s="269"/>
      <c r="ULS236" s="269"/>
      <c r="ULT236" s="269"/>
      <c r="ULU236" s="269"/>
      <c r="ULV236" s="269"/>
      <c r="ULW236" s="269"/>
      <c r="ULX236" s="269"/>
      <c r="ULY236" s="269"/>
      <c r="ULZ236" s="269"/>
      <c r="UMA236" s="269"/>
      <c r="UMB236" s="269"/>
      <c r="UMC236" s="269"/>
      <c r="UMD236" s="269"/>
      <c r="UME236" s="269"/>
      <c r="UMF236" s="269"/>
      <c r="UMG236" s="269"/>
      <c r="UMH236" s="269"/>
      <c r="UMI236" s="269"/>
      <c r="UMJ236" s="269"/>
      <c r="UMK236" s="269"/>
      <c r="UML236" s="269"/>
      <c r="UMM236" s="269"/>
      <c r="UMN236" s="269"/>
      <c r="UMO236" s="269"/>
      <c r="UMP236" s="269"/>
      <c r="UMQ236" s="269"/>
      <c r="UMR236" s="269"/>
      <c r="UMS236" s="269"/>
      <c r="UMT236" s="269"/>
      <c r="UMU236" s="269"/>
      <c r="UMV236" s="269"/>
      <c r="UMW236" s="269"/>
      <c r="UMX236" s="269"/>
      <c r="UMY236" s="269"/>
      <c r="UMZ236" s="269"/>
      <c r="UNA236" s="269"/>
      <c r="UNB236" s="269"/>
      <c r="UNC236" s="269"/>
      <c r="UND236" s="269"/>
      <c r="UNE236" s="269"/>
      <c r="UNF236" s="269"/>
      <c r="UNG236" s="269"/>
      <c r="UNH236" s="269"/>
      <c r="UNI236" s="269"/>
      <c r="UNJ236" s="269"/>
      <c r="UNK236" s="269"/>
      <c r="UNL236" s="269"/>
      <c r="UNM236" s="269"/>
      <c r="UNN236" s="269"/>
      <c r="UNO236" s="269"/>
      <c r="UNP236" s="269"/>
      <c r="UNQ236" s="269"/>
      <c r="UNR236" s="269"/>
      <c r="UNS236" s="269"/>
      <c r="UNT236" s="269"/>
      <c r="UNU236" s="269"/>
      <c r="UNV236" s="269"/>
      <c r="UNW236" s="269"/>
      <c r="UNX236" s="269"/>
      <c r="UNY236" s="269"/>
      <c r="UNZ236" s="269"/>
      <c r="UOA236" s="269"/>
      <c r="UOB236" s="269"/>
      <c r="UOC236" s="269"/>
      <c r="UOD236" s="269"/>
      <c r="UOE236" s="269"/>
      <c r="UOF236" s="269"/>
      <c r="UOG236" s="269"/>
      <c r="UOH236" s="269"/>
      <c r="UOI236" s="269"/>
      <c r="UOJ236" s="269"/>
      <c r="UOK236" s="269"/>
      <c r="UOL236" s="269"/>
      <c r="UOM236" s="269"/>
      <c r="UON236" s="269"/>
      <c r="UOO236" s="269"/>
      <c r="UOP236" s="269"/>
      <c r="UOQ236" s="269"/>
      <c r="UOR236" s="269"/>
      <c r="UOS236" s="269"/>
      <c r="UOT236" s="269"/>
      <c r="UOU236" s="269"/>
      <c r="UOV236" s="269"/>
      <c r="UOW236" s="269"/>
      <c r="UOX236" s="269"/>
      <c r="UOY236" s="269"/>
      <c r="UOZ236" s="269"/>
      <c r="UPA236" s="269"/>
      <c r="UPB236" s="269"/>
      <c r="UPC236" s="269"/>
      <c r="UPD236" s="269"/>
      <c r="UPE236" s="269"/>
      <c r="UPF236" s="269"/>
      <c r="UPG236" s="269"/>
      <c r="UPH236" s="269"/>
      <c r="UPI236" s="269"/>
      <c r="UPJ236" s="269"/>
      <c r="UPK236" s="269"/>
      <c r="UPL236" s="269"/>
      <c r="UPM236" s="269"/>
      <c r="UPN236" s="269"/>
      <c r="UPO236" s="269"/>
      <c r="UPP236" s="269"/>
      <c r="UPQ236" s="269"/>
      <c r="UPR236" s="269"/>
      <c r="UPS236" s="269"/>
      <c r="UPT236" s="269"/>
      <c r="UPU236" s="269"/>
      <c r="UPV236" s="269"/>
      <c r="UPW236" s="269"/>
      <c r="UPX236" s="269"/>
      <c r="UPY236" s="269"/>
      <c r="UPZ236" s="269"/>
      <c r="UQA236" s="269"/>
      <c r="UQB236" s="269"/>
      <c r="UQC236" s="269"/>
      <c r="UQD236" s="269"/>
      <c r="UQE236" s="269"/>
      <c r="UQF236" s="269"/>
      <c r="UQG236" s="269"/>
      <c r="UQH236" s="269"/>
      <c r="UQI236" s="269"/>
      <c r="UQJ236" s="269"/>
      <c r="UQK236" s="269"/>
      <c r="UQL236" s="269"/>
      <c r="UQM236" s="269"/>
      <c r="UQN236" s="269"/>
      <c r="UQO236" s="269"/>
      <c r="UQP236" s="269"/>
      <c r="UQQ236" s="269"/>
      <c r="UQR236" s="269"/>
      <c r="UQS236" s="269"/>
      <c r="UQT236" s="269"/>
      <c r="UQU236" s="269"/>
      <c r="UQV236" s="269"/>
      <c r="UQW236" s="269"/>
      <c r="UQX236" s="269"/>
      <c r="UQY236" s="269"/>
      <c r="UQZ236" s="269"/>
      <c r="URA236" s="269"/>
      <c r="URB236" s="269"/>
      <c r="URC236" s="269"/>
      <c r="URD236" s="269"/>
      <c r="URE236" s="269"/>
      <c r="URF236" s="269"/>
      <c r="URG236" s="269"/>
      <c r="URH236" s="269"/>
      <c r="URI236" s="269"/>
      <c r="URJ236" s="269"/>
      <c r="URK236" s="269"/>
      <c r="URL236" s="269"/>
      <c r="URM236" s="269"/>
      <c r="URN236" s="269"/>
      <c r="URO236" s="269"/>
      <c r="URP236" s="269"/>
      <c r="URQ236" s="269"/>
      <c r="URR236" s="269"/>
      <c r="URS236" s="269"/>
      <c r="URT236" s="269"/>
      <c r="URU236" s="269"/>
      <c r="URV236" s="269"/>
      <c r="URW236" s="269"/>
      <c r="URX236" s="269"/>
      <c r="URY236" s="269"/>
      <c r="URZ236" s="269"/>
      <c r="USA236" s="269"/>
      <c r="USB236" s="269"/>
      <c r="USC236" s="269"/>
      <c r="USD236" s="269"/>
      <c r="USE236" s="269"/>
      <c r="USF236" s="269"/>
      <c r="USG236" s="269"/>
      <c r="USH236" s="269"/>
      <c r="USI236" s="269"/>
      <c r="USJ236" s="269"/>
      <c r="USK236" s="269"/>
      <c r="USL236" s="269"/>
      <c r="USM236" s="269"/>
      <c r="USN236" s="269"/>
      <c r="USO236" s="269"/>
      <c r="USP236" s="269"/>
      <c r="USQ236" s="269"/>
      <c r="USR236" s="269"/>
      <c r="USS236" s="269"/>
      <c r="UST236" s="269"/>
      <c r="USU236" s="269"/>
      <c r="USV236" s="269"/>
      <c r="USW236" s="269"/>
      <c r="USX236" s="269"/>
      <c r="USY236" s="269"/>
      <c r="USZ236" s="269"/>
      <c r="UTA236" s="269"/>
      <c r="UTB236" s="269"/>
      <c r="UTC236" s="269"/>
      <c r="UTD236" s="269"/>
      <c r="UTE236" s="269"/>
      <c r="UTF236" s="269"/>
      <c r="UTG236" s="269"/>
      <c r="UTH236" s="269"/>
      <c r="UTI236" s="269"/>
      <c r="UTJ236" s="269"/>
      <c r="UTK236" s="269"/>
      <c r="UTL236" s="269"/>
      <c r="UTM236" s="269"/>
      <c r="UTN236" s="269"/>
      <c r="UTO236" s="269"/>
      <c r="UTP236" s="269"/>
      <c r="UTQ236" s="269"/>
      <c r="UTR236" s="269"/>
      <c r="UTS236" s="269"/>
      <c r="UTT236" s="269"/>
      <c r="UTU236" s="269"/>
      <c r="UTV236" s="269"/>
      <c r="UTW236" s="269"/>
      <c r="UTX236" s="269"/>
      <c r="UTY236" s="269"/>
      <c r="UTZ236" s="269"/>
      <c r="UUA236" s="269"/>
      <c r="UUB236" s="269"/>
      <c r="UUC236" s="269"/>
      <c r="UUD236" s="269"/>
      <c r="UUE236" s="269"/>
      <c r="UUF236" s="269"/>
      <c r="UUG236" s="269"/>
      <c r="UUH236" s="269"/>
      <c r="UUI236" s="269"/>
      <c r="UUJ236" s="269"/>
      <c r="UUK236" s="269"/>
      <c r="UUL236" s="269"/>
      <c r="UUM236" s="269"/>
      <c r="UUN236" s="269"/>
      <c r="UUO236" s="269"/>
      <c r="UUP236" s="269"/>
      <c r="UUQ236" s="269"/>
      <c r="UUR236" s="269"/>
      <c r="UUS236" s="269"/>
      <c r="UUT236" s="269"/>
      <c r="UUU236" s="269"/>
      <c r="UUV236" s="269"/>
      <c r="UUW236" s="269"/>
      <c r="UUX236" s="269"/>
      <c r="UUY236" s="269"/>
      <c r="UUZ236" s="269"/>
      <c r="UVA236" s="269"/>
      <c r="UVB236" s="269"/>
      <c r="UVC236" s="269"/>
      <c r="UVD236" s="269"/>
      <c r="UVE236" s="269"/>
      <c r="UVF236" s="269"/>
      <c r="UVG236" s="269"/>
      <c r="UVH236" s="269"/>
      <c r="UVI236" s="269"/>
      <c r="UVJ236" s="269"/>
      <c r="UVK236" s="269"/>
      <c r="UVL236" s="269"/>
      <c r="UVM236" s="269"/>
      <c r="UVN236" s="269"/>
      <c r="UVO236" s="269"/>
      <c r="UVP236" s="269"/>
      <c r="UVQ236" s="269"/>
      <c r="UVR236" s="269"/>
      <c r="UVS236" s="269"/>
      <c r="UVT236" s="269"/>
      <c r="UVU236" s="269"/>
      <c r="UVV236" s="269"/>
      <c r="UVW236" s="269"/>
      <c r="UVX236" s="269"/>
      <c r="UVY236" s="269"/>
      <c r="UVZ236" s="269"/>
      <c r="UWA236" s="269"/>
      <c r="UWB236" s="269"/>
      <c r="UWC236" s="269"/>
      <c r="UWD236" s="269"/>
      <c r="UWE236" s="269"/>
      <c r="UWF236" s="269"/>
      <c r="UWG236" s="269"/>
      <c r="UWH236" s="269"/>
      <c r="UWI236" s="269"/>
      <c r="UWJ236" s="269"/>
      <c r="UWK236" s="269"/>
      <c r="UWL236" s="269"/>
      <c r="UWM236" s="269"/>
      <c r="UWN236" s="269"/>
      <c r="UWO236" s="269"/>
      <c r="UWP236" s="269"/>
      <c r="UWQ236" s="269"/>
      <c r="UWR236" s="269"/>
      <c r="UWS236" s="269"/>
      <c r="UWT236" s="269"/>
      <c r="UWU236" s="269"/>
      <c r="UWV236" s="269"/>
      <c r="UWW236" s="269"/>
      <c r="UWX236" s="269"/>
      <c r="UWY236" s="269"/>
      <c r="UWZ236" s="269"/>
      <c r="UXA236" s="269"/>
      <c r="UXB236" s="269"/>
      <c r="UXC236" s="269"/>
      <c r="UXD236" s="269"/>
      <c r="UXE236" s="269"/>
      <c r="UXF236" s="269"/>
      <c r="UXG236" s="269"/>
      <c r="UXH236" s="269"/>
      <c r="UXI236" s="269"/>
      <c r="UXJ236" s="269"/>
      <c r="UXK236" s="269"/>
      <c r="UXL236" s="269"/>
      <c r="UXM236" s="269"/>
      <c r="UXN236" s="269"/>
      <c r="UXO236" s="269"/>
      <c r="UXP236" s="269"/>
      <c r="UXQ236" s="269"/>
      <c r="UXR236" s="269"/>
      <c r="UXS236" s="269"/>
      <c r="UXT236" s="269"/>
      <c r="UXU236" s="269"/>
      <c r="UXV236" s="269"/>
      <c r="UXW236" s="269"/>
      <c r="UXX236" s="269"/>
      <c r="UXY236" s="269"/>
      <c r="UXZ236" s="269"/>
      <c r="UYA236" s="269"/>
      <c r="UYB236" s="269"/>
      <c r="UYC236" s="269"/>
      <c r="UYD236" s="269"/>
      <c r="UYE236" s="269"/>
      <c r="UYF236" s="269"/>
      <c r="UYG236" s="269"/>
      <c r="UYH236" s="269"/>
      <c r="UYI236" s="269"/>
      <c r="UYJ236" s="269"/>
      <c r="UYK236" s="269"/>
      <c r="UYL236" s="269"/>
      <c r="UYM236" s="269"/>
      <c r="UYN236" s="269"/>
      <c r="UYO236" s="269"/>
      <c r="UYP236" s="269"/>
      <c r="UYQ236" s="269"/>
      <c r="UYR236" s="269"/>
      <c r="UYS236" s="269"/>
      <c r="UYT236" s="269"/>
      <c r="UYU236" s="269"/>
      <c r="UYV236" s="269"/>
      <c r="UYW236" s="269"/>
      <c r="UYX236" s="269"/>
      <c r="UYY236" s="269"/>
      <c r="UYZ236" s="269"/>
      <c r="UZA236" s="269"/>
      <c r="UZB236" s="269"/>
      <c r="UZC236" s="269"/>
      <c r="UZD236" s="269"/>
      <c r="UZE236" s="269"/>
      <c r="UZF236" s="269"/>
      <c r="UZG236" s="269"/>
      <c r="UZH236" s="269"/>
      <c r="UZI236" s="269"/>
      <c r="UZJ236" s="269"/>
      <c r="UZK236" s="269"/>
      <c r="UZL236" s="269"/>
      <c r="UZM236" s="269"/>
      <c r="UZN236" s="269"/>
      <c r="UZO236" s="269"/>
      <c r="UZP236" s="269"/>
      <c r="UZQ236" s="269"/>
      <c r="UZR236" s="269"/>
      <c r="UZS236" s="269"/>
      <c r="UZT236" s="269"/>
      <c r="UZU236" s="269"/>
      <c r="UZV236" s="269"/>
      <c r="UZW236" s="269"/>
      <c r="UZX236" s="269"/>
      <c r="UZY236" s="269"/>
      <c r="UZZ236" s="269"/>
      <c r="VAA236" s="269"/>
      <c r="VAB236" s="269"/>
      <c r="VAC236" s="269"/>
      <c r="VAD236" s="269"/>
      <c r="VAE236" s="269"/>
      <c r="VAF236" s="269"/>
      <c r="VAG236" s="269"/>
      <c r="VAH236" s="269"/>
      <c r="VAI236" s="269"/>
      <c r="VAJ236" s="269"/>
      <c r="VAK236" s="269"/>
      <c r="VAL236" s="269"/>
      <c r="VAM236" s="269"/>
      <c r="VAN236" s="269"/>
      <c r="VAO236" s="269"/>
      <c r="VAP236" s="269"/>
      <c r="VAQ236" s="269"/>
      <c r="VAR236" s="269"/>
      <c r="VAS236" s="269"/>
      <c r="VAT236" s="269"/>
      <c r="VAU236" s="269"/>
      <c r="VAV236" s="269"/>
      <c r="VAW236" s="269"/>
      <c r="VAX236" s="269"/>
      <c r="VAY236" s="269"/>
      <c r="VAZ236" s="269"/>
      <c r="VBA236" s="269"/>
      <c r="VBB236" s="269"/>
      <c r="VBC236" s="269"/>
      <c r="VBD236" s="269"/>
      <c r="VBE236" s="269"/>
      <c r="VBF236" s="269"/>
      <c r="VBG236" s="269"/>
      <c r="VBH236" s="269"/>
      <c r="VBI236" s="269"/>
      <c r="VBJ236" s="269"/>
      <c r="VBK236" s="269"/>
      <c r="VBL236" s="269"/>
      <c r="VBM236" s="269"/>
      <c r="VBN236" s="269"/>
      <c r="VBO236" s="269"/>
      <c r="VBP236" s="269"/>
      <c r="VBQ236" s="269"/>
      <c r="VBR236" s="269"/>
      <c r="VBS236" s="269"/>
      <c r="VBT236" s="269"/>
      <c r="VBU236" s="269"/>
      <c r="VBV236" s="269"/>
      <c r="VBW236" s="269"/>
      <c r="VBX236" s="269"/>
      <c r="VBY236" s="269"/>
      <c r="VBZ236" s="269"/>
      <c r="VCA236" s="269"/>
      <c r="VCB236" s="269"/>
      <c r="VCC236" s="269"/>
      <c r="VCD236" s="269"/>
      <c r="VCE236" s="269"/>
      <c r="VCF236" s="269"/>
      <c r="VCG236" s="269"/>
      <c r="VCH236" s="269"/>
      <c r="VCI236" s="269"/>
      <c r="VCJ236" s="269"/>
      <c r="VCK236" s="269"/>
      <c r="VCL236" s="269"/>
      <c r="VCM236" s="269"/>
      <c r="VCN236" s="269"/>
      <c r="VCO236" s="269"/>
      <c r="VCP236" s="269"/>
      <c r="VCQ236" s="269"/>
      <c r="VCR236" s="269"/>
      <c r="VCS236" s="269"/>
      <c r="VCT236" s="269"/>
      <c r="VCU236" s="269"/>
      <c r="VCV236" s="269"/>
      <c r="VCW236" s="269"/>
      <c r="VCX236" s="269"/>
      <c r="VCY236" s="269"/>
      <c r="VCZ236" s="269"/>
      <c r="VDA236" s="269"/>
      <c r="VDB236" s="269"/>
      <c r="VDC236" s="269"/>
      <c r="VDD236" s="269"/>
      <c r="VDE236" s="269"/>
      <c r="VDF236" s="269"/>
      <c r="VDG236" s="269"/>
      <c r="VDH236" s="269"/>
      <c r="VDI236" s="269"/>
      <c r="VDJ236" s="269"/>
      <c r="VDK236" s="269"/>
      <c r="VDL236" s="269"/>
      <c r="VDM236" s="269"/>
      <c r="VDN236" s="269"/>
      <c r="VDO236" s="269"/>
      <c r="VDP236" s="269"/>
      <c r="VDQ236" s="269"/>
      <c r="VDR236" s="269"/>
      <c r="VDS236" s="269"/>
      <c r="VDT236" s="269"/>
      <c r="VDU236" s="269"/>
      <c r="VDV236" s="269"/>
      <c r="VDW236" s="269"/>
      <c r="VDX236" s="269"/>
      <c r="VDY236" s="269"/>
      <c r="VDZ236" s="269"/>
      <c r="VEA236" s="269"/>
      <c r="VEB236" s="269"/>
      <c r="VEC236" s="269"/>
      <c r="VED236" s="269"/>
      <c r="VEE236" s="269"/>
      <c r="VEF236" s="269"/>
      <c r="VEG236" s="269"/>
      <c r="VEH236" s="269"/>
      <c r="VEI236" s="269"/>
      <c r="VEJ236" s="269"/>
      <c r="VEK236" s="269"/>
      <c r="VEL236" s="269"/>
      <c r="VEM236" s="269"/>
      <c r="VEN236" s="269"/>
      <c r="VEO236" s="269"/>
      <c r="VEP236" s="269"/>
      <c r="VEQ236" s="269"/>
      <c r="VER236" s="269"/>
      <c r="VES236" s="269"/>
      <c r="VET236" s="269"/>
      <c r="VEU236" s="269"/>
      <c r="VEV236" s="269"/>
      <c r="VEW236" s="269"/>
      <c r="VEX236" s="269"/>
      <c r="VEY236" s="269"/>
      <c r="VEZ236" s="269"/>
      <c r="VFA236" s="269"/>
      <c r="VFB236" s="269"/>
      <c r="VFC236" s="269"/>
      <c r="VFD236" s="269"/>
      <c r="VFE236" s="269"/>
      <c r="VFF236" s="269"/>
      <c r="VFG236" s="269"/>
      <c r="VFH236" s="269"/>
      <c r="VFI236" s="269"/>
      <c r="VFJ236" s="269"/>
      <c r="VFK236" s="269"/>
      <c r="VFL236" s="269"/>
      <c r="VFM236" s="269"/>
      <c r="VFN236" s="269"/>
      <c r="VFO236" s="269"/>
      <c r="VFP236" s="269"/>
      <c r="VFQ236" s="269"/>
      <c r="VFR236" s="269"/>
      <c r="VFS236" s="269"/>
      <c r="VFT236" s="269"/>
      <c r="VFU236" s="269"/>
      <c r="VFV236" s="269"/>
      <c r="VFW236" s="269"/>
      <c r="VFX236" s="269"/>
      <c r="VFY236" s="269"/>
      <c r="VFZ236" s="269"/>
      <c r="VGA236" s="269"/>
      <c r="VGB236" s="269"/>
      <c r="VGC236" s="269"/>
      <c r="VGD236" s="269"/>
      <c r="VGE236" s="269"/>
      <c r="VGF236" s="269"/>
      <c r="VGG236" s="269"/>
      <c r="VGH236" s="269"/>
      <c r="VGI236" s="269"/>
      <c r="VGJ236" s="269"/>
      <c r="VGK236" s="269"/>
      <c r="VGL236" s="269"/>
      <c r="VGM236" s="269"/>
      <c r="VGN236" s="269"/>
      <c r="VGO236" s="269"/>
      <c r="VGP236" s="269"/>
      <c r="VGQ236" s="269"/>
      <c r="VGR236" s="269"/>
      <c r="VGS236" s="269"/>
      <c r="VGT236" s="269"/>
      <c r="VGU236" s="269"/>
      <c r="VGV236" s="269"/>
      <c r="VGW236" s="269"/>
      <c r="VGX236" s="269"/>
      <c r="VGY236" s="269"/>
      <c r="VGZ236" s="269"/>
      <c r="VHA236" s="269"/>
      <c r="VHB236" s="269"/>
      <c r="VHC236" s="269"/>
      <c r="VHD236" s="269"/>
      <c r="VHE236" s="269"/>
      <c r="VHF236" s="269"/>
      <c r="VHG236" s="269"/>
      <c r="VHH236" s="269"/>
      <c r="VHI236" s="269"/>
      <c r="VHJ236" s="269"/>
      <c r="VHK236" s="269"/>
      <c r="VHL236" s="269"/>
      <c r="VHM236" s="269"/>
      <c r="VHN236" s="269"/>
      <c r="VHO236" s="269"/>
      <c r="VHP236" s="269"/>
      <c r="VHQ236" s="269"/>
      <c r="VHR236" s="269"/>
      <c r="VHS236" s="269"/>
      <c r="VHT236" s="269"/>
      <c r="VHU236" s="269"/>
      <c r="VHV236" s="269"/>
      <c r="VHW236" s="269"/>
      <c r="VHX236" s="269"/>
      <c r="VHY236" s="269"/>
      <c r="VHZ236" s="269"/>
      <c r="VIA236" s="269"/>
      <c r="VIB236" s="269"/>
      <c r="VIC236" s="269"/>
      <c r="VID236" s="269"/>
      <c r="VIE236" s="269"/>
      <c r="VIF236" s="269"/>
      <c r="VIG236" s="269"/>
      <c r="VIH236" s="269"/>
      <c r="VII236" s="269"/>
      <c r="VIJ236" s="269"/>
      <c r="VIK236" s="269"/>
      <c r="VIL236" s="269"/>
      <c r="VIM236" s="269"/>
      <c r="VIN236" s="269"/>
      <c r="VIO236" s="269"/>
      <c r="VIP236" s="269"/>
      <c r="VIQ236" s="269"/>
      <c r="VIR236" s="269"/>
      <c r="VIS236" s="269"/>
      <c r="VIT236" s="269"/>
      <c r="VIU236" s="269"/>
      <c r="VIV236" s="269"/>
      <c r="VIW236" s="269"/>
      <c r="VIX236" s="269"/>
      <c r="VIY236" s="269"/>
      <c r="VIZ236" s="269"/>
      <c r="VJA236" s="269"/>
      <c r="VJB236" s="269"/>
      <c r="VJC236" s="269"/>
      <c r="VJD236" s="269"/>
      <c r="VJE236" s="269"/>
      <c r="VJF236" s="269"/>
      <c r="VJG236" s="269"/>
      <c r="VJH236" s="269"/>
      <c r="VJI236" s="269"/>
      <c r="VJJ236" s="269"/>
      <c r="VJK236" s="269"/>
      <c r="VJL236" s="269"/>
      <c r="VJM236" s="269"/>
      <c r="VJN236" s="269"/>
      <c r="VJO236" s="269"/>
      <c r="VJP236" s="269"/>
      <c r="VJQ236" s="269"/>
      <c r="VJR236" s="269"/>
      <c r="VJS236" s="269"/>
      <c r="VJT236" s="269"/>
      <c r="VJU236" s="269"/>
      <c r="VJV236" s="269"/>
      <c r="VJW236" s="269"/>
      <c r="VJX236" s="269"/>
      <c r="VJY236" s="269"/>
      <c r="VJZ236" s="269"/>
      <c r="VKA236" s="269"/>
      <c r="VKB236" s="269"/>
      <c r="VKC236" s="269"/>
      <c r="VKD236" s="269"/>
      <c r="VKE236" s="269"/>
      <c r="VKF236" s="269"/>
      <c r="VKG236" s="269"/>
      <c r="VKH236" s="269"/>
      <c r="VKI236" s="269"/>
      <c r="VKJ236" s="269"/>
      <c r="VKK236" s="269"/>
      <c r="VKL236" s="269"/>
      <c r="VKM236" s="269"/>
      <c r="VKN236" s="269"/>
      <c r="VKO236" s="269"/>
      <c r="VKP236" s="269"/>
      <c r="VKQ236" s="269"/>
      <c r="VKR236" s="269"/>
      <c r="VKS236" s="269"/>
      <c r="VKT236" s="269"/>
      <c r="VKU236" s="269"/>
      <c r="VKV236" s="269"/>
      <c r="VKW236" s="269"/>
      <c r="VKX236" s="269"/>
      <c r="VKY236" s="269"/>
      <c r="VKZ236" s="269"/>
      <c r="VLA236" s="269"/>
      <c r="VLB236" s="269"/>
      <c r="VLC236" s="269"/>
      <c r="VLD236" s="269"/>
      <c r="VLE236" s="269"/>
      <c r="VLF236" s="269"/>
      <c r="VLG236" s="269"/>
      <c r="VLH236" s="269"/>
      <c r="VLI236" s="269"/>
      <c r="VLJ236" s="269"/>
      <c r="VLK236" s="269"/>
      <c r="VLL236" s="269"/>
      <c r="VLM236" s="269"/>
      <c r="VLN236" s="269"/>
      <c r="VLO236" s="269"/>
      <c r="VLP236" s="269"/>
      <c r="VLQ236" s="269"/>
      <c r="VLR236" s="269"/>
      <c r="VLS236" s="269"/>
      <c r="VLT236" s="269"/>
      <c r="VLU236" s="269"/>
      <c r="VLV236" s="269"/>
      <c r="VLW236" s="269"/>
      <c r="VLX236" s="269"/>
      <c r="VLY236" s="269"/>
      <c r="VLZ236" s="269"/>
      <c r="VMA236" s="269"/>
      <c r="VMB236" s="269"/>
      <c r="VMC236" s="269"/>
      <c r="VMD236" s="269"/>
      <c r="VME236" s="269"/>
      <c r="VMF236" s="269"/>
      <c r="VMG236" s="269"/>
      <c r="VMH236" s="269"/>
      <c r="VMI236" s="269"/>
      <c r="VMJ236" s="269"/>
      <c r="VMK236" s="269"/>
      <c r="VML236" s="269"/>
      <c r="VMM236" s="269"/>
      <c r="VMN236" s="269"/>
      <c r="VMO236" s="269"/>
      <c r="VMP236" s="269"/>
      <c r="VMQ236" s="269"/>
      <c r="VMR236" s="269"/>
      <c r="VMS236" s="269"/>
      <c r="VMT236" s="269"/>
      <c r="VMU236" s="269"/>
      <c r="VMV236" s="269"/>
      <c r="VMW236" s="269"/>
      <c r="VMX236" s="269"/>
      <c r="VMY236" s="269"/>
      <c r="VMZ236" s="269"/>
      <c r="VNA236" s="269"/>
      <c r="VNB236" s="269"/>
      <c r="VNC236" s="269"/>
      <c r="VND236" s="269"/>
      <c r="VNE236" s="269"/>
      <c r="VNF236" s="269"/>
      <c r="VNG236" s="269"/>
      <c r="VNH236" s="269"/>
      <c r="VNI236" s="269"/>
      <c r="VNJ236" s="269"/>
      <c r="VNK236" s="269"/>
      <c r="VNL236" s="269"/>
      <c r="VNM236" s="269"/>
      <c r="VNN236" s="269"/>
      <c r="VNO236" s="269"/>
      <c r="VNP236" s="269"/>
      <c r="VNQ236" s="269"/>
      <c r="VNR236" s="269"/>
      <c r="VNS236" s="269"/>
      <c r="VNT236" s="269"/>
      <c r="VNU236" s="269"/>
      <c r="VNV236" s="269"/>
      <c r="VNW236" s="269"/>
      <c r="VNX236" s="269"/>
      <c r="VNY236" s="269"/>
      <c r="VNZ236" s="269"/>
      <c r="VOA236" s="269"/>
      <c r="VOB236" s="269"/>
      <c r="VOC236" s="269"/>
      <c r="VOD236" s="269"/>
      <c r="VOE236" s="269"/>
      <c r="VOF236" s="269"/>
      <c r="VOG236" s="269"/>
      <c r="VOH236" s="269"/>
      <c r="VOI236" s="269"/>
      <c r="VOJ236" s="269"/>
      <c r="VOK236" s="269"/>
      <c r="VOL236" s="269"/>
      <c r="VOM236" s="269"/>
      <c r="VON236" s="269"/>
      <c r="VOO236" s="269"/>
      <c r="VOP236" s="269"/>
      <c r="VOQ236" s="269"/>
      <c r="VOR236" s="269"/>
      <c r="VOS236" s="269"/>
      <c r="VOT236" s="269"/>
      <c r="VOU236" s="269"/>
      <c r="VOV236" s="269"/>
      <c r="VOW236" s="269"/>
      <c r="VOX236" s="269"/>
      <c r="VOY236" s="269"/>
      <c r="VOZ236" s="269"/>
      <c r="VPA236" s="269"/>
      <c r="VPB236" s="269"/>
      <c r="VPC236" s="269"/>
      <c r="VPD236" s="269"/>
      <c r="VPE236" s="269"/>
      <c r="VPF236" s="269"/>
      <c r="VPG236" s="269"/>
      <c r="VPH236" s="269"/>
      <c r="VPI236" s="269"/>
      <c r="VPJ236" s="269"/>
      <c r="VPK236" s="269"/>
      <c r="VPL236" s="269"/>
      <c r="VPM236" s="269"/>
      <c r="VPN236" s="269"/>
      <c r="VPO236" s="269"/>
      <c r="VPP236" s="269"/>
      <c r="VPQ236" s="269"/>
      <c r="VPR236" s="269"/>
      <c r="VPS236" s="269"/>
      <c r="VPT236" s="269"/>
      <c r="VPU236" s="269"/>
      <c r="VPV236" s="269"/>
      <c r="VPW236" s="269"/>
      <c r="VPX236" s="269"/>
      <c r="VPY236" s="269"/>
      <c r="VPZ236" s="269"/>
      <c r="VQA236" s="269"/>
      <c r="VQB236" s="269"/>
      <c r="VQC236" s="269"/>
      <c r="VQD236" s="269"/>
      <c r="VQE236" s="269"/>
      <c r="VQF236" s="269"/>
      <c r="VQG236" s="269"/>
      <c r="VQH236" s="269"/>
      <c r="VQI236" s="269"/>
      <c r="VQJ236" s="269"/>
      <c r="VQK236" s="269"/>
      <c r="VQL236" s="269"/>
      <c r="VQM236" s="269"/>
      <c r="VQN236" s="269"/>
      <c r="VQO236" s="269"/>
      <c r="VQP236" s="269"/>
      <c r="VQQ236" s="269"/>
      <c r="VQR236" s="269"/>
      <c r="VQS236" s="269"/>
      <c r="VQT236" s="269"/>
      <c r="VQU236" s="269"/>
      <c r="VQV236" s="269"/>
      <c r="VQW236" s="269"/>
      <c r="VQX236" s="269"/>
      <c r="VQY236" s="269"/>
      <c r="VQZ236" s="269"/>
      <c r="VRA236" s="269"/>
      <c r="VRB236" s="269"/>
      <c r="VRC236" s="269"/>
      <c r="VRD236" s="269"/>
      <c r="VRE236" s="269"/>
      <c r="VRF236" s="269"/>
      <c r="VRG236" s="269"/>
      <c r="VRH236" s="269"/>
      <c r="VRI236" s="269"/>
      <c r="VRJ236" s="269"/>
      <c r="VRK236" s="269"/>
      <c r="VRL236" s="269"/>
      <c r="VRM236" s="269"/>
      <c r="VRN236" s="269"/>
      <c r="VRO236" s="269"/>
      <c r="VRP236" s="269"/>
      <c r="VRQ236" s="269"/>
      <c r="VRR236" s="269"/>
      <c r="VRS236" s="269"/>
      <c r="VRT236" s="269"/>
      <c r="VRU236" s="269"/>
      <c r="VRV236" s="269"/>
      <c r="VRW236" s="269"/>
      <c r="VRX236" s="269"/>
      <c r="VRY236" s="269"/>
      <c r="VRZ236" s="269"/>
      <c r="VSA236" s="269"/>
      <c r="VSB236" s="269"/>
      <c r="VSC236" s="269"/>
      <c r="VSD236" s="269"/>
      <c r="VSE236" s="269"/>
      <c r="VSF236" s="269"/>
      <c r="VSG236" s="269"/>
      <c r="VSH236" s="269"/>
      <c r="VSI236" s="269"/>
      <c r="VSJ236" s="269"/>
      <c r="VSK236" s="269"/>
      <c r="VSL236" s="269"/>
      <c r="VSM236" s="269"/>
      <c r="VSN236" s="269"/>
      <c r="VSO236" s="269"/>
      <c r="VSP236" s="269"/>
      <c r="VSQ236" s="269"/>
      <c r="VSR236" s="269"/>
      <c r="VSS236" s="269"/>
      <c r="VST236" s="269"/>
      <c r="VSU236" s="269"/>
      <c r="VSV236" s="269"/>
      <c r="VSW236" s="269"/>
      <c r="VSX236" s="269"/>
      <c r="VSY236" s="269"/>
      <c r="VSZ236" s="269"/>
      <c r="VTA236" s="269"/>
      <c r="VTB236" s="269"/>
      <c r="VTC236" s="269"/>
      <c r="VTD236" s="269"/>
      <c r="VTE236" s="269"/>
      <c r="VTF236" s="269"/>
      <c r="VTG236" s="269"/>
      <c r="VTH236" s="269"/>
      <c r="VTI236" s="269"/>
      <c r="VTJ236" s="269"/>
      <c r="VTK236" s="269"/>
      <c r="VTL236" s="269"/>
      <c r="VTM236" s="269"/>
      <c r="VTN236" s="269"/>
      <c r="VTO236" s="269"/>
      <c r="VTP236" s="269"/>
      <c r="VTQ236" s="269"/>
      <c r="VTR236" s="269"/>
      <c r="VTS236" s="269"/>
      <c r="VTT236" s="269"/>
      <c r="VTU236" s="269"/>
      <c r="VTV236" s="269"/>
      <c r="VTW236" s="269"/>
      <c r="VTX236" s="269"/>
      <c r="VTY236" s="269"/>
      <c r="VTZ236" s="269"/>
      <c r="VUA236" s="269"/>
      <c r="VUB236" s="269"/>
      <c r="VUC236" s="269"/>
      <c r="VUD236" s="269"/>
      <c r="VUE236" s="269"/>
      <c r="VUF236" s="269"/>
      <c r="VUG236" s="269"/>
      <c r="VUH236" s="269"/>
      <c r="VUI236" s="269"/>
      <c r="VUJ236" s="269"/>
      <c r="VUK236" s="269"/>
      <c r="VUL236" s="269"/>
      <c r="VUM236" s="269"/>
      <c r="VUN236" s="269"/>
      <c r="VUO236" s="269"/>
      <c r="VUP236" s="269"/>
      <c r="VUQ236" s="269"/>
      <c r="VUR236" s="269"/>
      <c r="VUS236" s="269"/>
      <c r="VUT236" s="269"/>
      <c r="VUU236" s="269"/>
      <c r="VUV236" s="269"/>
      <c r="VUW236" s="269"/>
      <c r="VUX236" s="269"/>
      <c r="VUY236" s="269"/>
      <c r="VUZ236" s="269"/>
      <c r="VVA236" s="269"/>
      <c r="VVB236" s="269"/>
      <c r="VVC236" s="269"/>
      <c r="VVD236" s="269"/>
      <c r="VVE236" s="269"/>
      <c r="VVF236" s="269"/>
      <c r="VVG236" s="269"/>
      <c r="VVH236" s="269"/>
      <c r="VVI236" s="269"/>
      <c r="VVJ236" s="269"/>
      <c r="VVK236" s="269"/>
      <c r="VVL236" s="269"/>
      <c r="VVM236" s="269"/>
      <c r="VVN236" s="269"/>
      <c r="VVO236" s="269"/>
      <c r="VVP236" s="269"/>
      <c r="VVQ236" s="269"/>
      <c r="VVR236" s="269"/>
      <c r="VVS236" s="269"/>
      <c r="VVT236" s="269"/>
      <c r="VVU236" s="269"/>
      <c r="VVV236" s="269"/>
      <c r="VVW236" s="269"/>
      <c r="VVX236" s="269"/>
      <c r="VVY236" s="269"/>
      <c r="VVZ236" s="269"/>
      <c r="VWA236" s="269"/>
      <c r="VWB236" s="269"/>
      <c r="VWC236" s="269"/>
      <c r="VWD236" s="269"/>
      <c r="VWE236" s="269"/>
      <c r="VWF236" s="269"/>
      <c r="VWG236" s="269"/>
      <c r="VWH236" s="269"/>
      <c r="VWI236" s="269"/>
      <c r="VWJ236" s="269"/>
      <c r="VWK236" s="269"/>
      <c r="VWL236" s="269"/>
      <c r="VWM236" s="269"/>
      <c r="VWN236" s="269"/>
      <c r="VWO236" s="269"/>
      <c r="VWP236" s="269"/>
      <c r="VWQ236" s="269"/>
      <c r="VWR236" s="269"/>
      <c r="VWS236" s="269"/>
      <c r="VWT236" s="269"/>
      <c r="VWU236" s="269"/>
      <c r="VWV236" s="269"/>
      <c r="VWW236" s="269"/>
      <c r="VWX236" s="269"/>
      <c r="VWY236" s="269"/>
      <c r="VWZ236" s="269"/>
      <c r="VXA236" s="269"/>
      <c r="VXB236" s="269"/>
      <c r="VXC236" s="269"/>
      <c r="VXD236" s="269"/>
      <c r="VXE236" s="269"/>
      <c r="VXF236" s="269"/>
      <c r="VXG236" s="269"/>
      <c r="VXH236" s="269"/>
      <c r="VXI236" s="269"/>
      <c r="VXJ236" s="269"/>
      <c r="VXK236" s="269"/>
      <c r="VXL236" s="269"/>
      <c r="VXM236" s="269"/>
      <c r="VXN236" s="269"/>
      <c r="VXO236" s="269"/>
      <c r="VXP236" s="269"/>
      <c r="VXQ236" s="269"/>
      <c r="VXR236" s="269"/>
      <c r="VXS236" s="269"/>
      <c r="VXT236" s="269"/>
      <c r="VXU236" s="269"/>
      <c r="VXV236" s="269"/>
      <c r="VXW236" s="269"/>
      <c r="VXX236" s="269"/>
      <c r="VXY236" s="269"/>
      <c r="VXZ236" s="269"/>
      <c r="VYA236" s="269"/>
      <c r="VYB236" s="269"/>
      <c r="VYC236" s="269"/>
      <c r="VYD236" s="269"/>
      <c r="VYE236" s="269"/>
      <c r="VYF236" s="269"/>
      <c r="VYG236" s="269"/>
      <c r="VYH236" s="269"/>
      <c r="VYI236" s="269"/>
      <c r="VYJ236" s="269"/>
      <c r="VYK236" s="269"/>
      <c r="VYL236" s="269"/>
      <c r="VYM236" s="269"/>
      <c r="VYN236" s="269"/>
      <c r="VYO236" s="269"/>
      <c r="VYP236" s="269"/>
      <c r="VYQ236" s="269"/>
      <c r="VYR236" s="269"/>
      <c r="VYS236" s="269"/>
      <c r="VYT236" s="269"/>
      <c r="VYU236" s="269"/>
      <c r="VYV236" s="269"/>
      <c r="VYW236" s="269"/>
      <c r="VYX236" s="269"/>
      <c r="VYY236" s="269"/>
      <c r="VYZ236" s="269"/>
      <c r="VZA236" s="269"/>
      <c r="VZB236" s="269"/>
      <c r="VZC236" s="269"/>
      <c r="VZD236" s="269"/>
      <c r="VZE236" s="269"/>
      <c r="VZF236" s="269"/>
      <c r="VZG236" s="269"/>
      <c r="VZH236" s="269"/>
      <c r="VZI236" s="269"/>
      <c r="VZJ236" s="269"/>
      <c r="VZK236" s="269"/>
      <c r="VZL236" s="269"/>
      <c r="VZM236" s="269"/>
      <c r="VZN236" s="269"/>
      <c r="VZO236" s="269"/>
      <c r="VZP236" s="269"/>
      <c r="VZQ236" s="269"/>
      <c r="VZR236" s="269"/>
      <c r="VZS236" s="269"/>
      <c r="VZT236" s="269"/>
      <c r="VZU236" s="269"/>
      <c r="VZV236" s="269"/>
      <c r="VZW236" s="269"/>
      <c r="VZX236" s="269"/>
      <c r="VZY236" s="269"/>
      <c r="VZZ236" s="269"/>
      <c r="WAA236" s="269"/>
      <c r="WAB236" s="269"/>
      <c r="WAC236" s="269"/>
      <c r="WAD236" s="269"/>
      <c r="WAE236" s="269"/>
      <c r="WAF236" s="269"/>
      <c r="WAG236" s="269"/>
      <c r="WAH236" s="269"/>
      <c r="WAI236" s="269"/>
      <c r="WAJ236" s="269"/>
      <c r="WAK236" s="269"/>
      <c r="WAL236" s="269"/>
      <c r="WAM236" s="269"/>
      <c r="WAN236" s="269"/>
      <c r="WAO236" s="269"/>
      <c r="WAP236" s="269"/>
      <c r="WAQ236" s="269"/>
      <c r="WAR236" s="269"/>
      <c r="WAS236" s="269"/>
      <c r="WAT236" s="269"/>
      <c r="WAU236" s="269"/>
      <c r="WAV236" s="269"/>
      <c r="WAW236" s="269"/>
      <c r="WAX236" s="269"/>
      <c r="WAY236" s="269"/>
      <c r="WAZ236" s="269"/>
      <c r="WBA236" s="269"/>
      <c r="WBB236" s="269"/>
      <c r="WBC236" s="269"/>
      <c r="WBD236" s="269"/>
      <c r="WBE236" s="269"/>
      <c r="WBF236" s="269"/>
      <c r="WBG236" s="269"/>
      <c r="WBH236" s="269"/>
      <c r="WBI236" s="269"/>
      <c r="WBJ236" s="269"/>
      <c r="WBK236" s="269"/>
      <c r="WBL236" s="269"/>
      <c r="WBM236" s="269"/>
      <c r="WBN236" s="269"/>
      <c r="WBO236" s="269"/>
      <c r="WBP236" s="269"/>
      <c r="WBQ236" s="269"/>
      <c r="WBR236" s="269"/>
      <c r="WBS236" s="269"/>
      <c r="WBT236" s="269"/>
      <c r="WBU236" s="269"/>
      <c r="WBV236" s="269"/>
      <c r="WBW236" s="269"/>
      <c r="WBX236" s="269"/>
      <c r="WBY236" s="269"/>
      <c r="WBZ236" s="269"/>
      <c r="WCA236" s="269"/>
      <c r="WCB236" s="269"/>
      <c r="WCC236" s="269"/>
      <c r="WCD236" s="269"/>
      <c r="WCE236" s="269"/>
      <c r="WCF236" s="269"/>
      <c r="WCG236" s="269"/>
      <c r="WCH236" s="269"/>
      <c r="WCI236" s="269"/>
      <c r="WCJ236" s="269"/>
      <c r="WCK236" s="269"/>
      <c r="WCL236" s="269"/>
      <c r="WCM236" s="269"/>
      <c r="WCN236" s="269"/>
      <c r="WCO236" s="269"/>
      <c r="WCP236" s="269"/>
      <c r="WCQ236" s="269"/>
      <c r="WCR236" s="269"/>
      <c r="WCS236" s="269"/>
      <c r="WCT236" s="269"/>
      <c r="WCU236" s="269"/>
      <c r="WCV236" s="269"/>
      <c r="WCW236" s="269"/>
      <c r="WCX236" s="269"/>
      <c r="WCY236" s="269"/>
      <c r="WCZ236" s="269"/>
      <c r="WDA236" s="269"/>
      <c r="WDB236" s="269"/>
      <c r="WDC236" s="269"/>
      <c r="WDD236" s="269"/>
      <c r="WDE236" s="269"/>
      <c r="WDF236" s="269"/>
      <c r="WDG236" s="269"/>
      <c r="WDH236" s="269"/>
      <c r="WDI236" s="269"/>
      <c r="WDJ236" s="269"/>
      <c r="WDK236" s="269"/>
      <c r="WDL236" s="269"/>
      <c r="WDM236" s="269"/>
      <c r="WDN236" s="269"/>
      <c r="WDO236" s="269"/>
      <c r="WDP236" s="269"/>
      <c r="WDQ236" s="269"/>
      <c r="WDR236" s="269"/>
      <c r="WDS236" s="269"/>
      <c r="WDT236" s="269"/>
      <c r="WDU236" s="269"/>
      <c r="WDV236" s="269"/>
      <c r="WDW236" s="269"/>
      <c r="WDX236" s="269"/>
      <c r="WDY236" s="269"/>
      <c r="WDZ236" s="269"/>
      <c r="WEA236" s="269"/>
      <c r="WEB236" s="269"/>
      <c r="WEC236" s="269"/>
      <c r="WED236" s="269"/>
      <c r="WEE236" s="269"/>
      <c r="WEF236" s="269"/>
      <c r="WEG236" s="269"/>
      <c r="WEH236" s="269"/>
      <c r="WEI236" s="269"/>
      <c r="WEJ236" s="269"/>
      <c r="WEK236" s="269"/>
      <c r="WEL236" s="269"/>
      <c r="WEM236" s="269"/>
      <c r="WEN236" s="269"/>
      <c r="WEO236" s="269"/>
      <c r="WEP236" s="269"/>
      <c r="WEQ236" s="269"/>
      <c r="WER236" s="269"/>
      <c r="WES236" s="269"/>
      <c r="WET236" s="269"/>
      <c r="WEU236" s="269"/>
      <c r="WEV236" s="269"/>
      <c r="WEW236" s="269"/>
      <c r="WEX236" s="269"/>
      <c r="WEY236" s="269"/>
      <c r="WEZ236" s="269"/>
      <c r="WFA236" s="269"/>
      <c r="WFB236" s="269"/>
      <c r="WFC236" s="269"/>
      <c r="WFD236" s="269"/>
      <c r="WFE236" s="269"/>
      <c r="WFF236" s="269"/>
      <c r="WFG236" s="269"/>
      <c r="WFH236" s="269"/>
      <c r="WFI236" s="269"/>
      <c r="WFJ236" s="269"/>
      <c r="WFK236" s="269"/>
      <c r="WFL236" s="269"/>
      <c r="WFM236" s="269"/>
      <c r="WFN236" s="269"/>
      <c r="WFO236" s="269"/>
      <c r="WFP236" s="269"/>
      <c r="WFQ236" s="269"/>
      <c r="WFR236" s="269"/>
      <c r="WFS236" s="269"/>
      <c r="WFT236" s="269"/>
      <c r="WFU236" s="269"/>
      <c r="WFV236" s="269"/>
      <c r="WFW236" s="269"/>
      <c r="WFX236" s="269"/>
      <c r="WFY236" s="269"/>
      <c r="WFZ236" s="269"/>
      <c r="WGA236" s="269"/>
      <c r="WGB236" s="269"/>
      <c r="WGC236" s="269"/>
      <c r="WGD236" s="269"/>
      <c r="WGE236" s="269"/>
      <c r="WGF236" s="269"/>
      <c r="WGG236" s="269"/>
      <c r="WGH236" s="269"/>
      <c r="WGI236" s="269"/>
      <c r="WGJ236" s="269"/>
      <c r="WGK236" s="269"/>
      <c r="WGL236" s="269"/>
      <c r="WGM236" s="269"/>
      <c r="WGN236" s="269"/>
      <c r="WGO236" s="269"/>
      <c r="WGP236" s="269"/>
      <c r="WGQ236" s="269"/>
      <c r="WGR236" s="269"/>
      <c r="WGS236" s="269"/>
      <c r="WGT236" s="269"/>
      <c r="WGU236" s="269"/>
      <c r="WGV236" s="269"/>
      <c r="WGW236" s="269"/>
      <c r="WGX236" s="269"/>
      <c r="WGY236" s="269"/>
      <c r="WGZ236" s="269"/>
      <c r="WHA236" s="269"/>
      <c r="WHB236" s="269"/>
      <c r="WHC236" s="269"/>
      <c r="WHD236" s="269"/>
      <c r="WHE236" s="269"/>
      <c r="WHF236" s="269"/>
      <c r="WHG236" s="269"/>
      <c r="WHH236" s="269"/>
      <c r="WHI236" s="269"/>
      <c r="WHJ236" s="269"/>
      <c r="WHK236" s="269"/>
      <c r="WHL236" s="269"/>
      <c r="WHM236" s="269"/>
      <c r="WHN236" s="269"/>
      <c r="WHO236" s="269"/>
      <c r="WHP236" s="269"/>
      <c r="WHQ236" s="269"/>
      <c r="WHR236" s="269"/>
      <c r="WHS236" s="269"/>
      <c r="WHT236" s="269"/>
      <c r="WHU236" s="269"/>
      <c r="WHV236" s="269"/>
      <c r="WHW236" s="269"/>
      <c r="WHX236" s="269"/>
      <c r="WHY236" s="269"/>
      <c r="WHZ236" s="269"/>
      <c r="WIA236" s="269"/>
      <c r="WIB236" s="269"/>
      <c r="WIC236" s="269"/>
      <c r="WID236" s="269"/>
      <c r="WIE236" s="269"/>
      <c r="WIF236" s="269"/>
      <c r="WIG236" s="269"/>
      <c r="WIH236" s="269"/>
      <c r="WII236" s="269"/>
      <c r="WIJ236" s="269"/>
      <c r="WIK236" s="269"/>
      <c r="WIL236" s="269"/>
      <c r="WIM236" s="269"/>
      <c r="WIN236" s="269"/>
      <c r="WIO236" s="269"/>
      <c r="WIP236" s="269"/>
      <c r="WIQ236" s="269"/>
      <c r="WIR236" s="269"/>
      <c r="WIS236" s="269"/>
      <c r="WIT236" s="269"/>
      <c r="WIU236" s="269"/>
      <c r="WIV236" s="269"/>
      <c r="WIW236" s="269"/>
      <c r="WIX236" s="269"/>
      <c r="WIY236" s="269"/>
      <c r="WIZ236" s="269"/>
      <c r="WJA236" s="269"/>
      <c r="WJB236" s="269"/>
      <c r="WJC236" s="269"/>
      <c r="WJD236" s="269"/>
      <c r="WJE236" s="269"/>
      <c r="WJF236" s="269"/>
      <c r="WJG236" s="269"/>
      <c r="WJH236" s="269"/>
      <c r="WJI236" s="269"/>
      <c r="WJJ236" s="269"/>
      <c r="WJK236" s="269"/>
      <c r="WJL236" s="269"/>
      <c r="WJM236" s="269"/>
      <c r="WJN236" s="269"/>
      <c r="WJO236" s="269"/>
      <c r="WJP236" s="269"/>
      <c r="WJQ236" s="269"/>
      <c r="WJR236" s="269"/>
      <c r="WJS236" s="269"/>
      <c r="WJT236" s="269"/>
      <c r="WJU236" s="269"/>
      <c r="WJV236" s="269"/>
      <c r="WJW236" s="269"/>
      <c r="WJX236" s="269"/>
      <c r="WJY236" s="269"/>
      <c r="WJZ236" s="269"/>
      <c r="WKA236" s="269"/>
      <c r="WKB236" s="269"/>
      <c r="WKC236" s="269"/>
      <c r="WKD236" s="269"/>
      <c r="WKE236" s="269"/>
      <c r="WKF236" s="269"/>
      <c r="WKG236" s="269"/>
      <c r="WKH236" s="269"/>
      <c r="WKI236" s="269"/>
      <c r="WKJ236" s="269"/>
      <c r="WKK236" s="269"/>
      <c r="WKL236" s="269"/>
      <c r="WKM236" s="269"/>
      <c r="WKN236" s="269"/>
      <c r="WKO236" s="269"/>
      <c r="WKP236" s="269"/>
      <c r="WKQ236" s="269"/>
      <c r="WKR236" s="269"/>
      <c r="WKS236" s="269"/>
      <c r="WKT236" s="269"/>
      <c r="WKU236" s="269"/>
      <c r="WKV236" s="269"/>
      <c r="WKW236" s="269"/>
      <c r="WKX236" s="269"/>
      <c r="WKY236" s="269"/>
      <c r="WKZ236" s="269"/>
      <c r="WLA236" s="269"/>
      <c r="WLB236" s="269"/>
      <c r="WLC236" s="269"/>
      <c r="WLD236" s="269"/>
      <c r="WLE236" s="269"/>
      <c r="WLF236" s="269"/>
      <c r="WLG236" s="269"/>
      <c r="WLH236" s="269"/>
      <c r="WLI236" s="269"/>
      <c r="WLJ236" s="269"/>
      <c r="WLK236" s="269"/>
      <c r="WLL236" s="269"/>
      <c r="WLM236" s="269"/>
      <c r="WLN236" s="269"/>
      <c r="WLO236" s="269"/>
      <c r="WLP236" s="269"/>
      <c r="WLQ236" s="269"/>
      <c r="WLR236" s="269"/>
      <c r="WLS236" s="269"/>
      <c r="WLT236" s="269"/>
      <c r="WLU236" s="269"/>
      <c r="WLV236" s="269"/>
      <c r="WLW236" s="269"/>
      <c r="WLX236" s="269"/>
      <c r="WLY236" s="269"/>
      <c r="WLZ236" s="269"/>
      <c r="WMA236" s="269"/>
      <c r="WMB236" s="269"/>
      <c r="WMC236" s="269"/>
      <c r="WMD236" s="269"/>
      <c r="WME236" s="269"/>
      <c r="WMF236" s="269"/>
      <c r="WMG236" s="269"/>
      <c r="WMH236" s="269"/>
      <c r="WMI236" s="269"/>
      <c r="WMJ236" s="269"/>
      <c r="WMK236" s="269"/>
      <c r="WML236" s="269"/>
      <c r="WMM236" s="269"/>
      <c r="WMN236" s="269"/>
      <c r="WMO236" s="269"/>
      <c r="WMP236" s="269"/>
      <c r="WMQ236" s="269"/>
      <c r="WMR236" s="269"/>
      <c r="WMS236" s="269"/>
      <c r="WMT236" s="269"/>
      <c r="WMU236" s="269"/>
      <c r="WMV236" s="269"/>
      <c r="WMW236" s="269"/>
      <c r="WMX236" s="269"/>
      <c r="WMY236" s="269"/>
      <c r="WMZ236" s="269"/>
      <c r="WNA236" s="269"/>
      <c r="WNB236" s="269"/>
      <c r="WNC236" s="269"/>
      <c r="WND236" s="269"/>
      <c r="WNE236" s="269"/>
      <c r="WNF236" s="269"/>
      <c r="WNG236" s="269"/>
      <c r="WNH236" s="269"/>
      <c r="WNI236" s="269"/>
      <c r="WNJ236" s="269"/>
      <c r="WNK236" s="269"/>
      <c r="WNL236" s="269"/>
      <c r="WNM236" s="269"/>
      <c r="WNN236" s="269"/>
      <c r="WNO236" s="269"/>
      <c r="WNP236" s="269"/>
      <c r="WNQ236" s="269"/>
      <c r="WNR236" s="269"/>
      <c r="WNS236" s="269"/>
      <c r="WNT236" s="269"/>
      <c r="WNU236" s="269"/>
      <c r="WNV236" s="269"/>
      <c r="WNW236" s="269"/>
      <c r="WNX236" s="269"/>
      <c r="WNY236" s="269"/>
      <c r="WNZ236" s="269"/>
      <c r="WOA236" s="269"/>
      <c r="WOB236" s="269"/>
      <c r="WOC236" s="269"/>
      <c r="WOD236" s="269"/>
      <c r="WOE236" s="269"/>
      <c r="WOF236" s="269"/>
      <c r="WOG236" s="269"/>
      <c r="WOH236" s="269"/>
      <c r="WOI236" s="269"/>
      <c r="WOJ236" s="269"/>
      <c r="WOK236" s="269"/>
      <c r="WOL236" s="269"/>
      <c r="WOM236" s="269"/>
      <c r="WON236" s="269"/>
      <c r="WOO236" s="269"/>
      <c r="WOP236" s="269"/>
      <c r="WOQ236" s="269"/>
      <c r="WOR236" s="269"/>
      <c r="WOS236" s="269"/>
      <c r="WOT236" s="269"/>
      <c r="WOU236" s="269"/>
      <c r="WOV236" s="269"/>
      <c r="WOW236" s="269"/>
      <c r="WOX236" s="269"/>
      <c r="WOY236" s="269"/>
      <c r="WOZ236" s="269"/>
      <c r="WPA236" s="269"/>
      <c r="WPB236" s="269"/>
      <c r="WPC236" s="269"/>
      <c r="WPD236" s="269"/>
      <c r="WPE236" s="269"/>
      <c r="WPF236" s="269"/>
      <c r="WPG236" s="269"/>
      <c r="WPH236" s="269"/>
      <c r="WPI236" s="269"/>
      <c r="WPJ236" s="269"/>
      <c r="WPK236" s="269"/>
      <c r="WPL236" s="269"/>
      <c r="WPM236" s="269"/>
      <c r="WPN236" s="269"/>
      <c r="WPO236" s="269"/>
      <c r="WPP236" s="269"/>
      <c r="WPQ236" s="269"/>
      <c r="WPR236" s="269"/>
      <c r="WPS236" s="269"/>
      <c r="WPT236" s="269"/>
      <c r="WPU236" s="269"/>
      <c r="WPV236" s="269"/>
      <c r="WPW236" s="269"/>
      <c r="WPX236" s="269"/>
      <c r="WPY236" s="269"/>
      <c r="WPZ236" s="269"/>
      <c r="WQA236" s="269"/>
      <c r="WQB236" s="269"/>
      <c r="WQC236" s="269"/>
      <c r="WQD236" s="269"/>
      <c r="WQE236" s="269"/>
      <c r="WQF236" s="269"/>
      <c r="WQG236" s="269"/>
      <c r="WQH236" s="269"/>
      <c r="WQI236" s="269"/>
      <c r="WQJ236" s="269"/>
      <c r="WQK236" s="269"/>
      <c r="WQL236" s="269"/>
      <c r="WQM236" s="269"/>
      <c r="WQN236" s="269"/>
      <c r="WQO236" s="269"/>
      <c r="WQP236" s="269"/>
      <c r="WQQ236" s="269"/>
      <c r="WQR236" s="269"/>
      <c r="WQS236" s="269"/>
      <c r="WQT236" s="269"/>
      <c r="WQU236" s="269"/>
      <c r="WQV236" s="269"/>
      <c r="WQW236" s="269"/>
      <c r="WQX236" s="269"/>
      <c r="WQY236" s="269"/>
      <c r="WQZ236" s="269"/>
      <c r="WRA236" s="269"/>
      <c r="WRB236" s="269"/>
      <c r="WRC236" s="269"/>
      <c r="WRD236" s="269"/>
      <c r="WRE236" s="269"/>
      <c r="WRF236" s="269"/>
      <c r="WRG236" s="269"/>
      <c r="WRH236" s="269"/>
      <c r="WRI236" s="269"/>
      <c r="WRJ236" s="269"/>
      <c r="WRK236" s="269"/>
      <c r="WRL236" s="269"/>
      <c r="WRM236" s="269"/>
      <c r="WRN236" s="269"/>
      <c r="WRO236" s="269"/>
      <c r="WRP236" s="269"/>
      <c r="WRQ236" s="269"/>
      <c r="WRR236" s="269"/>
      <c r="WRS236" s="269"/>
      <c r="WRT236" s="269"/>
      <c r="WRU236" s="269"/>
      <c r="WRV236" s="269"/>
      <c r="WRW236" s="269"/>
      <c r="WRX236" s="269"/>
      <c r="WRY236" s="269"/>
      <c r="WRZ236" s="269"/>
      <c r="WSA236" s="269"/>
      <c r="WSB236" s="269"/>
      <c r="WSC236" s="269"/>
      <c r="WSD236" s="269"/>
      <c r="WSE236" s="269"/>
      <c r="WSF236" s="269"/>
      <c r="WSG236" s="269"/>
      <c r="WSH236" s="269"/>
      <c r="WSI236" s="269"/>
      <c r="WSJ236" s="269"/>
      <c r="WSK236" s="269"/>
      <c r="WSL236" s="269"/>
      <c r="WSM236" s="269"/>
      <c r="WSN236" s="269"/>
      <c r="WSO236" s="269"/>
      <c r="WSP236" s="269"/>
      <c r="WSQ236" s="269"/>
      <c r="WSR236" s="269"/>
      <c r="WSS236" s="269"/>
      <c r="WST236" s="269"/>
      <c r="WSU236" s="269"/>
      <c r="WSV236" s="269"/>
      <c r="WSW236" s="269"/>
      <c r="WSX236" s="269"/>
      <c r="WSY236" s="269"/>
      <c r="WSZ236" s="269"/>
      <c r="WTA236" s="269"/>
      <c r="WTB236" s="269"/>
      <c r="WTC236" s="269"/>
      <c r="WTD236" s="269"/>
      <c r="WTE236" s="269"/>
      <c r="WTF236" s="269"/>
      <c r="WTG236" s="269"/>
      <c r="WTH236" s="269"/>
      <c r="WTI236" s="269"/>
      <c r="WTJ236" s="269"/>
      <c r="WTK236" s="269"/>
      <c r="WTL236" s="269"/>
      <c r="WTM236" s="269"/>
      <c r="WTN236" s="269"/>
      <c r="WTO236" s="269"/>
      <c r="WTP236" s="269"/>
      <c r="WTQ236" s="269"/>
      <c r="WTR236" s="269"/>
      <c r="WTS236" s="269"/>
      <c r="WTT236" s="269"/>
      <c r="WTU236" s="269"/>
      <c r="WTV236" s="269"/>
      <c r="WTW236" s="269"/>
      <c r="WTX236" s="269"/>
      <c r="WTY236" s="269"/>
      <c r="WTZ236" s="269"/>
      <c r="WUA236" s="269"/>
      <c r="WUB236" s="269"/>
      <c r="WUC236" s="269"/>
      <c r="WUD236" s="269"/>
      <c r="WUE236" s="269"/>
      <c r="WUF236" s="269"/>
      <c r="WUG236" s="269"/>
      <c r="WUH236" s="269"/>
      <c r="WUI236" s="269"/>
      <c r="WUJ236" s="269"/>
      <c r="WUK236" s="269"/>
      <c r="WUL236" s="269"/>
      <c r="WUM236" s="269"/>
      <c r="WUN236" s="269"/>
      <c r="WUO236" s="269"/>
      <c r="WUP236" s="269"/>
      <c r="WUQ236" s="269"/>
      <c r="WUR236" s="269"/>
      <c r="WUS236" s="269"/>
      <c r="WUT236" s="269"/>
      <c r="WUU236" s="269"/>
      <c r="WUV236" s="269"/>
      <c r="WUW236" s="269"/>
      <c r="WUX236" s="269"/>
      <c r="WUY236" s="269"/>
      <c r="WUZ236" s="269"/>
      <c r="WVA236" s="269"/>
      <c r="WVB236" s="269"/>
      <c r="WVC236" s="269"/>
      <c r="WVD236" s="269"/>
      <c r="WVE236" s="269"/>
      <c r="WVF236" s="269"/>
      <c r="WVG236" s="269"/>
      <c r="WVH236" s="269"/>
      <c r="WVI236" s="269"/>
      <c r="WVJ236" s="269"/>
      <c r="WVK236" s="269"/>
      <c r="WVL236" s="269"/>
      <c r="WVM236" s="269"/>
      <c r="WVN236" s="269"/>
      <c r="WVO236" s="269"/>
      <c r="WVP236" s="269"/>
      <c r="WVQ236" s="269"/>
      <c r="WVR236" s="269"/>
      <c r="WVS236" s="269"/>
      <c r="WVT236" s="269"/>
      <c r="WVU236" s="269"/>
      <c r="WVV236" s="269"/>
      <c r="WVW236" s="269"/>
      <c r="WVX236" s="269"/>
      <c r="WVY236" s="269"/>
      <c r="WVZ236" s="269"/>
      <c r="WWA236" s="269"/>
      <c r="WWB236" s="269"/>
      <c r="WWC236" s="269"/>
      <c r="WWD236" s="269"/>
      <c r="WWE236" s="269"/>
      <c r="WWF236" s="269"/>
      <c r="WWG236" s="269"/>
      <c r="WWH236" s="269"/>
      <c r="WWI236" s="269"/>
      <c r="WWJ236" s="269"/>
      <c r="WWK236" s="269"/>
      <c r="WWL236" s="269"/>
      <c r="WWM236" s="269"/>
      <c r="WWN236" s="269"/>
      <c r="WWO236" s="269"/>
      <c r="WWP236" s="269"/>
      <c r="WWQ236" s="269"/>
      <c r="WWR236" s="269"/>
      <c r="WWS236" s="269"/>
      <c r="WWT236" s="269"/>
      <c r="WWU236" s="269"/>
      <c r="WWV236" s="269"/>
      <c r="WWW236" s="269"/>
      <c r="WWX236" s="269"/>
      <c r="WWY236" s="269"/>
      <c r="WWZ236" s="269"/>
      <c r="WXA236" s="269"/>
      <c r="WXB236" s="269"/>
      <c r="WXC236" s="269"/>
      <c r="WXD236" s="269"/>
      <c r="WXE236" s="269"/>
      <c r="WXF236" s="269"/>
      <c r="WXG236" s="269"/>
      <c r="WXH236" s="269"/>
      <c r="WXI236" s="269"/>
      <c r="WXJ236" s="269"/>
      <c r="WXK236" s="269"/>
      <c r="WXL236" s="269"/>
      <c r="WXM236" s="269"/>
      <c r="WXN236" s="269"/>
      <c r="WXO236" s="269"/>
      <c r="WXP236" s="269"/>
      <c r="WXQ236" s="269"/>
      <c r="WXR236" s="269"/>
      <c r="WXS236" s="269"/>
      <c r="WXT236" s="269"/>
      <c r="WXU236" s="269"/>
      <c r="WXV236" s="269"/>
      <c r="WXW236" s="269"/>
      <c r="WXX236" s="269"/>
      <c r="WXY236" s="269"/>
      <c r="WXZ236" s="269"/>
      <c r="WYA236" s="269"/>
      <c r="WYB236" s="269"/>
      <c r="WYC236" s="269"/>
      <c r="WYD236" s="269"/>
      <c r="WYE236" s="269"/>
      <c r="WYF236" s="269"/>
      <c r="WYG236" s="269"/>
      <c r="WYH236" s="269"/>
      <c r="WYI236" s="269"/>
      <c r="WYJ236" s="269"/>
      <c r="WYK236" s="269"/>
      <c r="WYL236" s="269"/>
      <c r="WYM236" s="269"/>
      <c r="WYN236" s="269"/>
      <c r="WYO236" s="269"/>
      <c r="WYP236" s="269"/>
      <c r="WYQ236" s="269"/>
      <c r="WYR236" s="269"/>
      <c r="WYS236" s="269"/>
      <c r="WYT236" s="269"/>
      <c r="WYU236" s="269"/>
      <c r="WYV236" s="269"/>
      <c r="WYW236" s="269"/>
      <c r="WYX236" s="269"/>
      <c r="WYY236" s="269"/>
      <c r="WYZ236" s="269"/>
      <c r="WZA236" s="269"/>
      <c r="WZB236" s="269"/>
      <c r="WZC236" s="269"/>
      <c r="WZD236" s="269"/>
      <c r="WZE236" s="269"/>
      <c r="WZF236" s="269"/>
      <c r="WZG236" s="269"/>
      <c r="WZH236" s="269"/>
      <c r="WZI236" s="269"/>
      <c r="WZJ236" s="269"/>
      <c r="WZK236" s="269"/>
      <c r="WZL236" s="269"/>
      <c r="WZM236" s="269"/>
      <c r="WZN236" s="269"/>
      <c r="WZO236" s="269"/>
      <c r="WZP236" s="269"/>
      <c r="WZQ236" s="269"/>
      <c r="WZR236" s="269"/>
      <c r="WZS236" s="269"/>
      <c r="WZT236" s="269"/>
      <c r="WZU236" s="269"/>
      <c r="WZV236" s="269"/>
      <c r="WZW236" s="269"/>
      <c r="WZX236" s="269"/>
      <c r="WZY236" s="269"/>
      <c r="WZZ236" s="269"/>
      <c r="XAA236" s="269"/>
      <c r="XAB236" s="269"/>
      <c r="XAC236" s="269"/>
      <c r="XAD236" s="269"/>
      <c r="XAE236" s="269"/>
      <c r="XAF236" s="269"/>
      <c r="XAG236" s="269"/>
      <c r="XAH236" s="269"/>
      <c r="XAI236" s="269"/>
      <c r="XAJ236" s="269"/>
      <c r="XAK236" s="269"/>
      <c r="XAL236" s="269"/>
      <c r="XAM236" s="269"/>
      <c r="XAN236" s="269"/>
      <c r="XAO236" s="269"/>
      <c r="XAP236" s="269"/>
      <c r="XAQ236" s="269"/>
      <c r="XAR236" s="269"/>
      <c r="XAS236" s="269"/>
      <c r="XAT236" s="269"/>
      <c r="XAU236" s="269"/>
      <c r="XAV236" s="269"/>
      <c r="XAW236" s="269"/>
      <c r="XAX236" s="269"/>
      <c r="XAY236" s="269"/>
      <c r="XAZ236" s="269"/>
      <c r="XBA236" s="269"/>
      <c r="XBB236" s="269"/>
      <c r="XBC236" s="269"/>
      <c r="XBD236" s="269"/>
      <c r="XBE236" s="269"/>
      <c r="XBF236" s="269"/>
      <c r="XBG236" s="269"/>
      <c r="XBH236" s="269"/>
      <c r="XBI236" s="269"/>
      <c r="XBJ236" s="269"/>
      <c r="XBK236" s="269"/>
      <c r="XBL236" s="269"/>
      <c r="XBM236" s="269"/>
      <c r="XBN236" s="269"/>
      <c r="XBO236" s="269"/>
      <c r="XBP236" s="269"/>
      <c r="XBQ236" s="269"/>
      <c r="XBR236" s="269"/>
      <c r="XBS236" s="269"/>
      <c r="XBT236" s="269"/>
      <c r="XBU236" s="269"/>
      <c r="XBV236" s="269"/>
      <c r="XBW236" s="269"/>
      <c r="XBX236" s="269"/>
      <c r="XBY236" s="269"/>
      <c r="XBZ236" s="269"/>
      <c r="XCA236" s="269"/>
      <c r="XCB236" s="269"/>
      <c r="XCC236" s="269"/>
      <c r="XCD236" s="269"/>
      <c r="XCE236" s="269"/>
      <c r="XCF236" s="269"/>
      <c r="XCG236" s="269"/>
      <c r="XCH236" s="269"/>
      <c r="XCI236" s="269"/>
      <c r="XCJ236" s="269"/>
      <c r="XCK236" s="269"/>
      <c r="XCL236" s="269"/>
      <c r="XCM236" s="269"/>
      <c r="XCN236" s="269"/>
      <c r="XCO236" s="269"/>
      <c r="XCP236" s="269"/>
      <c r="XCQ236" s="269"/>
      <c r="XCR236" s="269"/>
      <c r="XCS236" s="269"/>
      <c r="XCT236" s="269"/>
      <c r="XCU236" s="269"/>
      <c r="XCV236" s="269"/>
      <c r="XCW236" s="269"/>
      <c r="XCX236" s="269"/>
      <c r="XCY236" s="269"/>
      <c r="XCZ236" s="269"/>
      <c r="XDA236" s="269"/>
      <c r="XDB236" s="269"/>
      <c r="XDC236" s="269"/>
      <c r="XDD236" s="269"/>
      <c r="XDE236" s="269"/>
      <c r="XDF236" s="269"/>
      <c r="XDG236" s="269"/>
      <c r="XDH236" s="269"/>
      <c r="XDI236" s="269"/>
      <c r="XDJ236" s="269"/>
      <c r="XDK236" s="269"/>
      <c r="XDL236" s="269"/>
      <c r="XDM236" s="269"/>
      <c r="XDN236" s="269"/>
      <c r="XDO236" s="269"/>
      <c r="XDP236" s="269"/>
      <c r="XDQ236" s="269"/>
      <c r="XDR236" s="269"/>
      <c r="XDS236" s="269"/>
      <c r="XDT236" s="269"/>
      <c r="XDU236" s="269"/>
      <c r="XDV236" s="269"/>
      <c r="XDW236" s="269"/>
      <c r="XDX236" s="269"/>
      <c r="XDY236" s="269"/>
      <c r="XDZ236" s="269"/>
      <c r="XEA236" s="269"/>
      <c r="XEB236" s="269"/>
      <c r="XEC236" s="269"/>
      <c r="XED236" s="269"/>
      <c r="XEE236" s="269"/>
      <c r="XEF236" s="269"/>
      <c r="XEG236" s="269"/>
      <c r="XEH236" s="269"/>
      <c r="XEI236" s="269"/>
      <c r="XEJ236" s="269"/>
      <c r="XEK236" s="269"/>
      <c r="XEL236" s="269"/>
      <c r="XEM236" s="269"/>
      <c r="XEN236" s="269"/>
      <c r="XEO236" s="269"/>
      <c r="XEP236" s="269"/>
      <c r="XEQ236" s="269"/>
      <c r="XER236" s="269"/>
      <c r="XES236" s="269"/>
      <c r="XET236" s="269"/>
      <c r="XEU236" s="269"/>
      <c r="XEV236" s="269"/>
    </row>
    <row r="237" spans="1:16376" hidden="1" x14ac:dyDescent="0.15">
      <c r="A237" s="131" t="s">
        <v>769</v>
      </c>
      <c r="B237" s="261"/>
      <c r="C237" s="192"/>
      <c r="D237" s="192"/>
      <c r="E237" s="270"/>
      <c r="F237" s="162"/>
      <c r="G237" s="193">
        <v>187.99241393980128</v>
      </c>
      <c r="H237" s="194">
        <v>467.59119337907703</v>
      </c>
      <c r="I237" s="194">
        <v>1467.8438054245992</v>
      </c>
      <c r="J237" s="217" t="s">
        <v>672</v>
      </c>
      <c r="K237" s="192">
        <v>532.96543073118312</v>
      </c>
      <c r="L237" s="192">
        <v>1130.5518308858095</v>
      </c>
      <c r="M237" s="192">
        <v>3837.7854706132662</v>
      </c>
      <c r="N237" s="216" t="s">
        <v>672</v>
      </c>
      <c r="O237" s="193">
        <v>863.15161637953827</v>
      </c>
      <c r="P237" s="194">
        <v>953.6061278699209</v>
      </c>
      <c r="Q237" s="194">
        <v>2615.6119903965709</v>
      </c>
      <c r="R237" s="217" t="s">
        <v>672</v>
      </c>
      <c r="S237" s="191">
        <v>138.85471933149572</v>
      </c>
      <c r="T237" s="192">
        <v>338.37723779548395</v>
      </c>
      <c r="U237" s="192">
        <v>1209.9659213873733</v>
      </c>
      <c r="V237" s="216" t="s">
        <v>672</v>
      </c>
      <c r="W237" s="193">
        <v>100.36770942179977</v>
      </c>
      <c r="X237" s="194">
        <v>192.24064242408872</v>
      </c>
      <c r="Y237" s="194">
        <v>953.52499636038181</v>
      </c>
      <c r="Z237" s="217" t="s">
        <v>672</v>
      </c>
      <c r="AA237" s="191">
        <v>104.43304503166085</v>
      </c>
      <c r="AB237" s="192">
        <v>320.86304808014819</v>
      </c>
      <c r="AC237" s="192">
        <v>1222.4079155203485</v>
      </c>
      <c r="AD237" s="216" t="s">
        <v>672</v>
      </c>
      <c r="AE237" s="195">
        <v>243.43788210422289</v>
      </c>
      <c r="AF237" s="196">
        <v>529.37288418038042</v>
      </c>
      <c r="AG237" s="196">
        <v>1479.0215464256476</v>
      </c>
      <c r="AH237" s="218" t="s">
        <v>672</v>
      </c>
      <c r="AI237" s="269"/>
      <c r="AJ237" s="269"/>
      <c r="AK237" s="269"/>
      <c r="AL237" s="269"/>
      <c r="AM237" s="269"/>
      <c r="AN237" s="269"/>
      <c r="AO237" s="269"/>
      <c r="AP237" s="269"/>
      <c r="AQ237" s="269"/>
      <c r="AR237" s="269"/>
      <c r="AS237" s="269"/>
      <c r="AT237" s="269"/>
      <c r="AU237" s="269"/>
      <c r="AV237" s="269"/>
      <c r="AW237" s="269"/>
      <c r="AX237" s="269"/>
      <c r="AY237" s="269"/>
      <c r="AZ237" s="269"/>
      <c r="BA237" s="269"/>
      <c r="BB237" s="269"/>
      <c r="BC237" s="269"/>
      <c r="BD237" s="269"/>
      <c r="BE237" s="269"/>
      <c r="BF237" s="269"/>
      <c r="BG237" s="269"/>
      <c r="BH237" s="269"/>
      <c r="BI237" s="269"/>
      <c r="BJ237" s="269"/>
      <c r="BK237" s="269"/>
      <c r="BL237" s="269"/>
      <c r="BM237" s="269"/>
      <c r="BN237" s="269"/>
      <c r="BO237" s="269"/>
      <c r="BP237" s="269"/>
      <c r="BQ237" s="269"/>
      <c r="BR237" s="269"/>
      <c r="BS237" s="269"/>
      <c r="BT237" s="269"/>
      <c r="BU237" s="269"/>
      <c r="BV237" s="269"/>
      <c r="BW237" s="269"/>
      <c r="BX237" s="269"/>
      <c r="BY237" s="269"/>
      <c r="BZ237" s="269"/>
      <c r="CA237" s="269"/>
      <c r="CB237" s="269"/>
      <c r="CC237" s="269"/>
      <c r="CD237" s="269"/>
      <c r="CE237" s="269"/>
      <c r="CF237" s="269"/>
      <c r="CG237" s="269"/>
      <c r="CH237" s="269"/>
      <c r="CI237" s="269"/>
      <c r="CJ237" s="269"/>
      <c r="CK237" s="269"/>
      <c r="CL237" s="269"/>
      <c r="CM237" s="269"/>
      <c r="CN237" s="269"/>
      <c r="CO237" s="269"/>
      <c r="CP237" s="269"/>
      <c r="CQ237" s="269"/>
      <c r="CR237" s="269"/>
      <c r="CS237" s="269"/>
      <c r="CT237" s="269"/>
      <c r="CU237" s="269"/>
      <c r="CV237" s="269"/>
      <c r="CW237" s="269"/>
      <c r="CX237" s="269"/>
      <c r="CY237" s="269"/>
      <c r="CZ237" s="269"/>
      <c r="DA237" s="269"/>
      <c r="DB237" s="269"/>
      <c r="DC237" s="269"/>
      <c r="DD237" s="269"/>
      <c r="DE237" s="269"/>
      <c r="DF237" s="269"/>
      <c r="DG237" s="269"/>
      <c r="DH237" s="269"/>
      <c r="DI237" s="269"/>
      <c r="DJ237" s="269"/>
      <c r="DK237" s="269"/>
      <c r="DL237" s="269"/>
      <c r="DM237" s="269"/>
      <c r="DN237" s="269"/>
      <c r="DO237" s="269"/>
      <c r="DP237" s="269"/>
      <c r="DQ237" s="269"/>
      <c r="DR237" s="269"/>
      <c r="DS237" s="269"/>
      <c r="DT237" s="269"/>
      <c r="DU237" s="269"/>
      <c r="DV237" s="269"/>
      <c r="DW237" s="269"/>
      <c r="DX237" s="269"/>
      <c r="DY237" s="269"/>
      <c r="DZ237" s="269"/>
      <c r="EA237" s="269"/>
      <c r="EB237" s="269"/>
      <c r="EC237" s="269"/>
      <c r="ED237" s="269"/>
      <c r="EE237" s="269"/>
      <c r="EF237" s="269"/>
      <c r="EG237" s="269"/>
      <c r="EH237" s="269"/>
      <c r="EI237" s="269"/>
      <c r="EJ237" s="269"/>
      <c r="EK237" s="269"/>
      <c r="EL237" s="269"/>
      <c r="EM237" s="269"/>
      <c r="EN237" s="269"/>
      <c r="EO237" s="269"/>
      <c r="EP237" s="269"/>
      <c r="EQ237" s="269"/>
      <c r="ER237" s="269"/>
      <c r="ES237" s="269"/>
      <c r="ET237" s="269"/>
      <c r="EU237" s="269"/>
      <c r="EV237" s="269"/>
      <c r="EW237" s="269"/>
      <c r="EX237" s="269"/>
      <c r="EY237" s="269"/>
      <c r="EZ237" s="269"/>
      <c r="FA237" s="269"/>
      <c r="FB237" s="269"/>
      <c r="FC237" s="269"/>
      <c r="FD237" s="269"/>
      <c r="FE237" s="269"/>
      <c r="FF237" s="269"/>
      <c r="FG237" s="269"/>
      <c r="FH237" s="269"/>
      <c r="FI237" s="269"/>
      <c r="FJ237" s="269"/>
      <c r="FK237" s="269"/>
      <c r="FL237" s="269"/>
      <c r="FM237" s="269"/>
      <c r="FN237" s="269"/>
      <c r="FO237" s="269"/>
      <c r="FP237" s="269"/>
      <c r="FQ237" s="269"/>
      <c r="FR237" s="269"/>
      <c r="FS237" s="269"/>
      <c r="FT237" s="269"/>
      <c r="FU237" s="269"/>
      <c r="FV237" s="269"/>
      <c r="FW237" s="269"/>
      <c r="FX237" s="269"/>
      <c r="FY237" s="269"/>
      <c r="FZ237" s="269"/>
      <c r="GA237" s="269"/>
      <c r="GB237" s="269"/>
      <c r="GC237" s="269"/>
      <c r="GD237" s="269"/>
      <c r="GE237" s="269"/>
      <c r="GF237" s="269"/>
      <c r="GG237" s="269"/>
      <c r="GH237" s="269"/>
      <c r="GI237" s="269"/>
      <c r="GJ237" s="269"/>
      <c r="GK237" s="269"/>
      <c r="GL237" s="269"/>
      <c r="GM237" s="269"/>
      <c r="GN237" s="269"/>
      <c r="GO237" s="269"/>
      <c r="GP237" s="269"/>
      <c r="GQ237" s="269"/>
      <c r="GR237" s="269"/>
      <c r="GS237" s="269"/>
      <c r="GT237" s="269"/>
      <c r="GU237" s="269"/>
      <c r="GV237" s="269"/>
      <c r="GW237" s="269"/>
      <c r="GX237" s="269"/>
      <c r="GY237" s="269"/>
      <c r="GZ237" s="269"/>
      <c r="HA237" s="269"/>
      <c r="HB237" s="269"/>
      <c r="HC237" s="269"/>
      <c r="HD237" s="269"/>
      <c r="HE237" s="269"/>
      <c r="HF237" s="269"/>
      <c r="HG237" s="269"/>
      <c r="HH237" s="269"/>
      <c r="HI237" s="269"/>
      <c r="HJ237" s="269"/>
      <c r="HK237" s="269"/>
      <c r="HL237" s="269"/>
      <c r="HM237" s="269"/>
      <c r="HN237" s="269"/>
      <c r="HO237" s="269"/>
      <c r="HP237" s="269"/>
      <c r="HQ237" s="269"/>
      <c r="HR237" s="269"/>
      <c r="HS237" s="269"/>
      <c r="HT237" s="269"/>
      <c r="HU237" s="269"/>
      <c r="HV237" s="269"/>
      <c r="HW237" s="269"/>
      <c r="HX237" s="269"/>
      <c r="HY237" s="269"/>
      <c r="HZ237" s="269"/>
      <c r="IA237" s="269"/>
      <c r="IB237" s="269"/>
      <c r="IC237" s="269"/>
      <c r="ID237" s="269"/>
      <c r="IE237" s="269"/>
      <c r="IF237" s="269"/>
      <c r="IG237" s="269"/>
      <c r="IH237" s="269"/>
      <c r="II237" s="269"/>
      <c r="IJ237" s="269"/>
      <c r="IK237" s="269"/>
      <c r="IL237" s="269"/>
      <c r="IM237" s="269"/>
      <c r="IN237" s="269"/>
      <c r="IO237" s="269"/>
      <c r="IP237" s="269"/>
      <c r="IQ237" s="269"/>
      <c r="IR237" s="269"/>
      <c r="IS237" s="269"/>
      <c r="IT237" s="269"/>
      <c r="IU237" s="269"/>
      <c r="IV237" s="269"/>
      <c r="IW237" s="269"/>
      <c r="IX237" s="269"/>
      <c r="IY237" s="269"/>
      <c r="IZ237" s="269"/>
      <c r="JA237" s="269"/>
      <c r="JB237" s="269"/>
      <c r="JC237" s="269"/>
      <c r="JD237" s="269"/>
      <c r="JE237" s="269"/>
      <c r="JF237" s="269"/>
      <c r="JG237" s="269"/>
      <c r="JH237" s="269"/>
      <c r="JI237" s="269"/>
      <c r="JJ237" s="269"/>
      <c r="JK237" s="269"/>
      <c r="JL237" s="269"/>
      <c r="JM237" s="269"/>
      <c r="JN237" s="269"/>
      <c r="JO237" s="269"/>
      <c r="JP237" s="269"/>
      <c r="JQ237" s="269"/>
      <c r="JR237" s="269"/>
      <c r="JS237" s="269"/>
      <c r="JT237" s="269"/>
      <c r="JU237" s="269"/>
      <c r="JV237" s="269"/>
      <c r="JW237" s="269"/>
      <c r="JX237" s="269"/>
      <c r="JY237" s="269"/>
      <c r="JZ237" s="269"/>
      <c r="KA237" s="269"/>
      <c r="KB237" s="269"/>
      <c r="KC237" s="269"/>
      <c r="KD237" s="269"/>
      <c r="KE237" s="269"/>
      <c r="KF237" s="269"/>
      <c r="KG237" s="269"/>
      <c r="KH237" s="269"/>
      <c r="KI237" s="269"/>
      <c r="KJ237" s="269"/>
      <c r="KK237" s="269"/>
      <c r="KL237" s="269"/>
      <c r="KM237" s="269"/>
      <c r="KN237" s="269"/>
      <c r="KO237" s="269"/>
      <c r="KP237" s="269"/>
      <c r="KQ237" s="269"/>
      <c r="KR237" s="269"/>
      <c r="KS237" s="269"/>
      <c r="KT237" s="269"/>
      <c r="KU237" s="269"/>
      <c r="KV237" s="269"/>
      <c r="KW237" s="269"/>
      <c r="KX237" s="269"/>
      <c r="KY237" s="269"/>
      <c r="KZ237" s="269"/>
      <c r="LA237" s="269"/>
      <c r="LB237" s="269"/>
      <c r="LC237" s="269"/>
      <c r="LD237" s="269"/>
      <c r="LE237" s="269"/>
      <c r="LF237" s="269"/>
      <c r="LG237" s="269"/>
      <c r="LH237" s="269"/>
      <c r="LI237" s="269"/>
      <c r="LJ237" s="269"/>
      <c r="LK237" s="269"/>
      <c r="LL237" s="269"/>
      <c r="LM237" s="269"/>
      <c r="LN237" s="269"/>
      <c r="LO237" s="269"/>
      <c r="LP237" s="269"/>
      <c r="LQ237" s="269"/>
      <c r="LR237" s="269"/>
      <c r="LS237" s="269"/>
      <c r="LT237" s="269"/>
      <c r="LU237" s="269"/>
      <c r="LV237" s="269"/>
      <c r="LW237" s="269"/>
      <c r="LX237" s="269"/>
      <c r="LY237" s="269"/>
      <c r="LZ237" s="269"/>
      <c r="MA237" s="269"/>
      <c r="MB237" s="269"/>
      <c r="MC237" s="269"/>
      <c r="MD237" s="269"/>
      <c r="ME237" s="269"/>
      <c r="MF237" s="269"/>
      <c r="MG237" s="269"/>
      <c r="MH237" s="269"/>
      <c r="MI237" s="269"/>
      <c r="MJ237" s="269"/>
      <c r="MK237" s="269"/>
      <c r="ML237" s="269"/>
      <c r="MM237" s="269"/>
      <c r="MN237" s="269"/>
      <c r="MO237" s="269"/>
      <c r="MP237" s="269"/>
      <c r="MQ237" s="269"/>
      <c r="MR237" s="269"/>
      <c r="MS237" s="269"/>
      <c r="MT237" s="269"/>
      <c r="MU237" s="269"/>
      <c r="MV237" s="269"/>
      <c r="MW237" s="269"/>
      <c r="MX237" s="269"/>
      <c r="MY237" s="269"/>
      <c r="MZ237" s="269"/>
      <c r="NA237" s="269"/>
      <c r="NB237" s="269"/>
      <c r="NC237" s="269"/>
      <c r="ND237" s="269"/>
      <c r="NE237" s="269"/>
      <c r="NF237" s="269"/>
      <c r="NG237" s="269"/>
      <c r="NH237" s="269"/>
      <c r="NI237" s="269"/>
      <c r="NJ237" s="269"/>
      <c r="NK237" s="269"/>
      <c r="NL237" s="269"/>
      <c r="NM237" s="269"/>
      <c r="NN237" s="269"/>
      <c r="NO237" s="269"/>
      <c r="NP237" s="269"/>
      <c r="NQ237" s="269"/>
      <c r="NR237" s="269"/>
      <c r="NS237" s="269"/>
      <c r="NT237" s="269"/>
      <c r="NU237" s="269"/>
      <c r="NV237" s="269"/>
      <c r="NW237" s="269"/>
      <c r="NX237" s="269"/>
      <c r="NY237" s="269"/>
      <c r="NZ237" s="269"/>
      <c r="OA237" s="269"/>
      <c r="OB237" s="269"/>
      <c r="OC237" s="269"/>
      <c r="OD237" s="269"/>
      <c r="OE237" s="269"/>
      <c r="OF237" s="269"/>
      <c r="OG237" s="269"/>
      <c r="OH237" s="269"/>
      <c r="OI237" s="269"/>
      <c r="OJ237" s="269"/>
      <c r="OK237" s="269"/>
      <c r="OL237" s="269"/>
      <c r="OM237" s="269"/>
      <c r="ON237" s="269"/>
      <c r="OO237" s="269"/>
      <c r="OP237" s="269"/>
      <c r="OQ237" s="269"/>
      <c r="OR237" s="269"/>
      <c r="OS237" s="269"/>
      <c r="OT237" s="269"/>
      <c r="OU237" s="269"/>
      <c r="OV237" s="269"/>
      <c r="OW237" s="269"/>
      <c r="OX237" s="269"/>
      <c r="OY237" s="269"/>
      <c r="OZ237" s="269"/>
      <c r="PA237" s="269"/>
      <c r="PB237" s="269"/>
      <c r="PC237" s="269"/>
      <c r="PD237" s="269"/>
      <c r="PE237" s="269"/>
      <c r="PF237" s="269"/>
      <c r="PG237" s="269"/>
      <c r="PH237" s="269"/>
      <c r="PI237" s="269"/>
      <c r="PJ237" s="269"/>
      <c r="PK237" s="269"/>
      <c r="PL237" s="269"/>
      <c r="PM237" s="269"/>
      <c r="PN237" s="269"/>
      <c r="PO237" s="269"/>
      <c r="PP237" s="269"/>
      <c r="PQ237" s="269"/>
      <c r="PR237" s="269"/>
      <c r="PS237" s="269"/>
      <c r="PT237" s="269"/>
      <c r="PU237" s="269"/>
      <c r="PV237" s="269"/>
      <c r="PW237" s="269"/>
      <c r="PX237" s="269"/>
      <c r="PY237" s="269"/>
      <c r="PZ237" s="269"/>
      <c r="QA237" s="269"/>
      <c r="QB237" s="269"/>
      <c r="QC237" s="269"/>
      <c r="QD237" s="269"/>
      <c r="QE237" s="269"/>
      <c r="QF237" s="269"/>
      <c r="QG237" s="269"/>
      <c r="QH237" s="269"/>
      <c r="QI237" s="269"/>
      <c r="QJ237" s="269"/>
      <c r="QK237" s="269"/>
      <c r="QL237" s="269"/>
      <c r="QM237" s="269"/>
      <c r="QN237" s="269"/>
      <c r="QO237" s="269"/>
      <c r="QP237" s="269"/>
      <c r="QQ237" s="269"/>
      <c r="QR237" s="269"/>
      <c r="QS237" s="269"/>
      <c r="QT237" s="269"/>
      <c r="QU237" s="269"/>
      <c r="QV237" s="269"/>
      <c r="QW237" s="269"/>
      <c r="QX237" s="269"/>
      <c r="QY237" s="269"/>
      <c r="QZ237" s="269"/>
      <c r="RA237" s="269"/>
      <c r="RB237" s="269"/>
      <c r="RC237" s="269"/>
      <c r="RD237" s="269"/>
      <c r="RE237" s="269"/>
      <c r="RF237" s="269"/>
      <c r="RG237" s="269"/>
      <c r="RH237" s="269"/>
      <c r="RI237" s="269"/>
      <c r="RJ237" s="269"/>
      <c r="RK237" s="269"/>
      <c r="RL237" s="269"/>
      <c r="RM237" s="269"/>
      <c r="RN237" s="269"/>
      <c r="RO237" s="269"/>
      <c r="RP237" s="269"/>
      <c r="RQ237" s="269"/>
      <c r="RR237" s="269"/>
      <c r="RS237" s="269"/>
      <c r="RT237" s="269"/>
      <c r="RU237" s="269"/>
      <c r="RV237" s="269"/>
      <c r="RW237" s="269"/>
      <c r="RX237" s="269"/>
      <c r="RY237" s="269"/>
      <c r="RZ237" s="269"/>
      <c r="SA237" s="269"/>
      <c r="SB237" s="269"/>
      <c r="SC237" s="269"/>
      <c r="SD237" s="269"/>
      <c r="SE237" s="269"/>
      <c r="SF237" s="269"/>
      <c r="SG237" s="269"/>
      <c r="SH237" s="269"/>
      <c r="SI237" s="269"/>
      <c r="SJ237" s="269"/>
      <c r="SK237" s="269"/>
      <c r="SL237" s="269"/>
      <c r="SM237" s="269"/>
      <c r="SN237" s="269"/>
      <c r="SO237" s="269"/>
      <c r="SP237" s="269"/>
      <c r="SQ237" s="269"/>
      <c r="SR237" s="269"/>
      <c r="SS237" s="269"/>
      <c r="ST237" s="269"/>
      <c r="SU237" s="269"/>
      <c r="SV237" s="269"/>
      <c r="SW237" s="269"/>
      <c r="SX237" s="269"/>
      <c r="SY237" s="269"/>
      <c r="SZ237" s="269"/>
      <c r="TA237" s="269"/>
      <c r="TB237" s="269"/>
      <c r="TC237" s="269"/>
      <c r="TD237" s="269"/>
      <c r="TE237" s="269"/>
      <c r="TF237" s="269"/>
      <c r="TG237" s="269"/>
      <c r="TH237" s="269"/>
      <c r="TI237" s="269"/>
      <c r="TJ237" s="269"/>
      <c r="TK237" s="269"/>
      <c r="TL237" s="269"/>
      <c r="TM237" s="269"/>
      <c r="TN237" s="269"/>
      <c r="TO237" s="269"/>
      <c r="TP237" s="269"/>
      <c r="TQ237" s="269"/>
      <c r="TR237" s="269"/>
      <c r="TS237" s="269"/>
      <c r="TT237" s="269"/>
      <c r="TU237" s="269"/>
      <c r="TV237" s="269"/>
      <c r="TW237" s="269"/>
      <c r="TX237" s="269"/>
      <c r="TY237" s="269"/>
      <c r="TZ237" s="269"/>
      <c r="UA237" s="269"/>
      <c r="UB237" s="269"/>
      <c r="UC237" s="269"/>
      <c r="UD237" s="269"/>
      <c r="UE237" s="269"/>
      <c r="UF237" s="269"/>
      <c r="UG237" s="269"/>
      <c r="UH237" s="269"/>
      <c r="UI237" s="269"/>
      <c r="UJ237" s="269"/>
      <c r="UK237" s="269"/>
      <c r="UL237" s="269"/>
      <c r="UM237" s="269"/>
      <c r="UN237" s="269"/>
      <c r="UO237" s="269"/>
      <c r="UP237" s="269"/>
      <c r="UQ237" s="269"/>
      <c r="UR237" s="269"/>
      <c r="US237" s="269"/>
      <c r="UT237" s="269"/>
      <c r="UU237" s="269"/>
      <c r="UV237" s="269"/>
      <c r="UW237" s="269"/>
      <c r="UX237" s="269"/>
      <c r="UY237" s="269"/>
      <c r="UZ237" s="269"/>
      <c r="VA237" s="269"/>
      <c r="VB237" s="269"/>
      <c r="VC237" s="269"/>
      <c r="VD237" s="269"/>
      <c r="VE237" s="269"/>
      <c r="VF237" s="269"/>
      <c r="VG237" s="269"/>
      <c r="VH237" s="269"/>
      <c r="VI237" s="269"/>
      <c r="VJ237" s="269"/>
      <c r="VK237" s="269"/>
      <c r="VL237" s="269"/>
      <c r="VM237" s="269"/>
      <c r="VN237" s="269"/>
      <c r="VO237" s="269"/>
      <c r="VP237" s="269"/>
      <c r="VQ237" s="269"/>
      <c r="VR237" s="269"/>
      <c r="VS237" s="269"/>
      <c r="VT237" s="269"/>
      <c r="VU237" s="269"/>
      <c r="VV237" s="269"/>
      <c r="VW237" s="269"/>
      <c r="VX237" s="269"/>
      <c r="VY237" s="269"/>
      <c r="VZ237" s="269"/>
      <c r="WA237" s="269"/>
      <c r="WB237" s="269"/>
      <c r="WC237" s="269"/>
      <c r="WD237" s="269"/>
      <c r="WE237" s="269"/>
      <c r="WF237" s="269"/>
      <c r="WG237" s="269"/>
      <c r="WH237" s="269"/>
      <c r="WI237" s="269"/>
      <c r="WJ237" s="269"/>
      <c r="WK237" s="269"/>
      <c r="WL237" s="269"/>
      <c r="WM237" s="269"/>
      <c r="WN237" s="269"/>
      <c r="WO237" s="269"/>
      <c r="WP237" s="269"/>
      <c r="WQ237" s="269"/>
      <c r="WR237" s="269"/>
      <c r="WS237" s="269"/>
      <c r="WT237" s="269"/>
      <c r="WU237" s="269"/>
      <c r="WV237" s="269"/>
      <c r="WW237" s="269"/>
      <c r="WX237" s="269"/>
      <c r="WY237" s="269"/>
      <c r="WZ237" s="269"/>
      <c r="XA237" s="269"/>
      <c r="XB237" s="269"/>
      <c r="XC237" s="269"/>
      <c r="XD237" s="269"/>
      <c r="XE237" s="269"/>
      <c r="XF237" s="269"/>
      <c r="XG237" s="269"/>
      <c r="XH237" s="269"/>
      <c r="XI237" s="269"/>
      <c r="XJ237" s="269"/>
      <c r="XK237" s="269"/>
      <c r="XL237" s="269"/>
      <c r="XM237" s="269"/>
      <c r="XN237" s="269"/>
      <c r="XO237" s="269"/>
      <c r="XP237" s="269"/>
      <c r="XQ237" s="269"/>
      <c r="XR237" s="269"/>
      <c r="XS237" s="269"/>
      <c r="XT237" s="269"/>
      <c r="XU237" s="269"/>
      <c r="XV237" s="269"/>
      <c r="XW237" s="269"/>
      <c r="XX237" s="269"/>
      <c r="XY237" s="269"/>
      <c r="XZ237" s="269"/>
      <c r="YA237" s="269"/>
      <c r="YB237" s="269"/>
      <c r="YC237" s="269"/>
      <c r="YD237" s="269"/>
      <c r="YE237" s="269"/>
      <c r="YF237" s="269"/>
      <c r="YG237" s="269"/>
      <c r="YH237" s="269"/>
      <c r="YI237" s="269"/>
      <c r="YJ237" s="269"/>
      <c r="YK237" s="269"/>
      <c r="YL237" s="269"/>
      <c r="YM237" s="269"/>
      <c r="YN237" s="269"/>
      <c r="YO237" s="269"/>
      <c r="YP237" s="269"/>
      <c r="YQ237" s="269"/>
      <c r="YR237" s="269"/>
      <c r="YS237" s="269"/>
      <c r="YT237" s="269"/>
      <c r="YU237" s="269"/>
      <c r="YV237" s="269"/>
      <c r="YW237" s="269"/>
      <c r="YX237" s="269"/>
      <c r="YY237" s="269"/>
      <c r="YZ237" s="269"/>
      <c r="ZA237" s="269"/>
      <c r="ZB237" s="269"/>
      <c r="ZC237" s="269"/>
      <c r="ZD237" s="269"/>
      <c r="ZE237" s="269"/>
      <c r="ZF237" s="269"/>
      <c r="ZG237" s="269"/>
      <c r="ZH237" s="269"/>
      <c r="ZI237" s="269"/>
      <c r="ZJ237" s="269"/>
      <c r="ZK237" s="269"/>
      <c r="ZL237" s="269"/>
      <c r="ZM237" s="269"/>
      <c r="ZN237" s="269"/>
      <c r="ZO237" s="269"/>
      <c r="ZP237" s="269"/>
      <c r="ZQ237" s="269"/>
      <c r="ZR237" s="269"/>
      <c r="ZS237" s="269"/>
      <c r="ZT237" s="269"/>
      <c r="ZU237" s="269"/>
      <c r="ZV237" s="269"/>
      <c r="ZW237" s="269"/>
      <c r="ZX237" s="269"/>
      <c r="ZY237" s="269"/>
      <c r="ZZ237" s="269"/>
      <c r="AAA237" s="269"/>
      <c r="AAB237" s="269"/>
      <c r="AAC237" s="269"/>
      <c r="AAD237" s="269"/>
      <c r="AAE237" s="269"/>
      <c r="AAF237" s="269"/>
      <c r="AAG237" s="269"/>
      <c r="AAH237" s="269"/>
      <c r="AAI237" s="269"/>
      <c r="AAJ237" s="269"/>
      <c r="AAK237" s="269"/>
      <c r="AAL237" s="269"/>
      <c r="AAM237" s="269"/>
      <c r="AAN237" s="269"/>
      <c r="AAO237" s="269"/>
      <c r="AAP237" s="269"/>
      <c r="AAQ237" s="269"/>
      <c r="AAR237" s="269"/>
      <c r="AAS237" s="269"/>
      <c r="AAT237" s="269"/>
      <c r="AAU237" s="269"/>
      <c r="AAV237" s="269"/>
      <c r="AAW237" s="269"/>
      <c r="AAX237" s="269"/>
      <c r="AAY237" s="269"/>
      <c r="AAZ237" s="269"/>
      <c r="ABA237" s="269"/>
      <c r="ABB237" s="269"/>
      <c r="ABC237" s="269"/>
      <c r="ABD237" s="269"/>
      <c r="ABE237" s="269"/>
      <c r="ABF237" s="269"/>
      <c r="ABG237" s="269"/>
      <c r="ABH237" s="269"/>
      <c r="ABI237" s="269"/>
      <c r="ABJ237" s="269"/>
      <c r="ABK237" s="269"/>
      <c r="ABL237" s="269"/>
      <c r="ABM237" s="269"/>
      <c r="ABN237" s="269"/>
      <c r="ABO237" s="269"/>
      <c r="ABP237" s="269"/>
      <c r="ABQ237" s="269"/>
      <c r="ABR237" s="269"/>
      <c r="ABS237" s="269"/>
      <c r="ABT237" s="269"/>
      <c r="ABU237" s="269"/>
      <c r="ABV237" s="269"/>
      <c r="ABW237" s="269"/>
      <c r="ABX237" s="269"/>
      <c r="ABY237" s="269"/>
      <c r="ABZ237" s="269"/>
      <c r="ACA237" s="269"/>
      <c r="ACB237" s="269"/>
      <c r="ACC237" s="269"/>
      <c r="ACD237" s="269"/>
      <c r="ACE237" s="269"/>
      <c r="ACF237" s="269"/>
      <c r="ACG237" s="269"/>
      <c r="ACH237" s="269"/>
      <c r="ACI237" s="269"/>
      <c r="ACJ237" s="269"/>
      <c r="ACK237" s="269"/>
      <c r="ACL237" s="269"/>
      <c r="ACM237" s="269"/>
      <c r="ACN237" s="269"/>
      <c r="ACO237" s="269"/>
      <c r="ACP237" s="269"/>
      <c r="ACQ237" s="269"/>
      <c r="ACR237" s="269"/>
      <c r="ACS237" s="269"/>
      <c r="ACT237" s="269"/>
      <c r="ACU237" s="269"/>
      <c r="ACV237" s="269"/>
      <c r="ACW237" s="269"/>
      <c r="ACX237" s="269"/>
      <c r="ACY237" s="269"/>
      <c r="ACZ237" s="269"/>
      <c r="ADA237" s="269"/>
      <c r="ADB237" s="269"/>
      <c r="ADC237" s="269"/>
      <c r="ADD237" s="269"/>
      <c r="ADE237" s="269"/>
      <c r="ADF237" s="269"/>
      <c r="ADG237" s="269"/>
      <c r="ADH237" s="269"/>
      <c r="ADI237" s="269"/>
      <c r="ADJ237" s="269"/>
      <c r="ADK237" s="269"/>
      <c r="ADL237" s="269"/>
      <c r="ADM237" s="269"/>
      <c r="ADN237" s="269"/>
      <c r="ADO237" s="269"/>
      <c r="ADP237" s="269"/>
      <c r="ADQ237" s="269"/>
      <c r="ADR237" s="269"/>
      <c r="ADS237" s="269"/>
      <c r="ADT237" s="269"/>
      <c r="ADU237" s="269"/>
      <c r="ADV237" s="269"/>
      <c r="ADW237" s="269"/>
      <c r="ADX237" s="269"/>
      <c r="ADY237" s="269"/>
      <c r="ADZ237" s="269"/>
      <c r="AEA237" s="269"/>
      <c r="AEB237" s="269"/>
      <c r="AEC237" s="269"/>
      <c r="AED237" s="269"/>
      <c r="AEE237" s="269"/>
      <c r="AEF237" s="269"/>
      <c r="AEG237" s="269"/>
      <c r="AEH237" s="269"/>
      <c r="AEI237" s="269"/>
      <c r="AEJ237" s="269"/>
      <c r="AEK237" s="269"/>
      <c r="AEL237" s="269"/>
      <c r="AEM237" s="269"/>
      <c r="AEN237" s="269"/>
      <c r="AEO237" s="269"/>
      <c r="AEP237" s="269"/>
      <c r="AEQ237" s="269"/>
      <c r="AER237" s="269"/>
      <c r="AES237" s="269"/>
      <c r="AET237" s="269"/>
      <c r="AEU237" s="269"/>
      <c r="AEV237" s="269"/>
      <c r="AEW237" s="269"/>
      <c r="AEX237" s="269"/>
      <c r="AEY237" s="269"/>
      <c r="AEZ237" s="269"/>
      <c r="AFA237" s="269"/>
      <c r="AFB237" s="269"/>
      <c r="AFC237" s="269"/>
      <c r="AFD237" s="269"/>
      <c r="AFE237" s="269"/>
      <c r="AFF237" s="269"/>
      <c r="AFG237" s="269"/>
      <c r="AFH237" s="269"/>
      <c r="AFI237" s="269"/>
      <c r="AFJ237" s="269"/>
      <c r="AFK237" s="269"/>
      <c r="AFL237" s="269"/>
      <c r="AFM237" s="269"/>
      <c r="AFN237" s="269"/>
      <c r="AFO237" s="269"/>
      <c r="AFP237" s="269"/>
      <c r="AFQ237" s="269"/>
      <c r="AFR237" s="269"/>
      <c r="AFS237" s="269"/>
      <c r="AFT237" s="269"/>
      <c r="AFU237" s="269"/>
      <c r="AFV237" s="269"/>
      <c r="AFW237" s="269"/>
      <c r="AFX237" s="269"/>
      <c r="AFY237" s="269"/>
      <c r="AFZ237" s="269"/>
      <c r="AGA237" s="269"/>
      <c r="AGB237" s="269"/>
      <c r="AGC237" s="269"/>
      <c r="AGD237" s="269"/>
      <c r="AGE237" s="269"/>
      <c r="AGF237" s="269"/>
      <c r="AGG237" s="269"/>
      <c r="AGH237" s="269"/>
      <c r="AGI237" s="269"/>
      <c r="AGJ237" s="269"/>
      <c r="AGK237" s="269"/>
      <c r="AGL237" s="269"/>
      <c r="AGM237" s="269"/>
      <c r="AGN237" s="269"/>
      <c r="AGO237" s="269"/>
      <c r="AGP237" s="269"/>
      <c r="AGQ237" s="269"/>
      <c r="AGR237" s="269"/>
      <c r="AGS237" s="269"/>
      <c r="AGT237" s="269"/>
      <c r="AGU237" s="269"/>
      <c r="AGV237" s="269"/>
      <c r="AGW237" s="269"/>
      <c r="AGX237" s="269"/>
      <c r="AGY237" s="269"/>
      <c r="AGZ237" s="269"/>
      <c r="AHA237" s="269"/>
      <c r="AHB237" s="269"/>
      <c r="AHC237" s="269"/>
      <c r="AHD237" s="269"/>
      <c r="AHE237" s="269"/>
      <c r="AHF237" s="269"/>
      <c r="AHG237" s="269"/>
      <c r="AHH237" s="269"/>
      <c r="AHI237" s="269"/>
      <c r="AHJ237" s="269"/>
      <c r="AHK237" s="269"/>
      <c r="AHL237" s="269"/>
      <c r="AHM237" s="269"/>
      <c r="AHN237" s="269"/>
      <c r="AHO237" s="269"/>
      <c r="AHP237" s="269"/>
      <c r="AHQ237" s="269"/>
      <c r="AHR237" s="269"/>
      <c r="AHS237" s="269"/>
      <c r="AHT237" s="269"/>
      <c r="AHU237" s="269"/>
      <c r="AHV237" s="269"/>
      <c r="AHW237" s="269"/>
      <c r="AHX237" s="269"/>
      <c r="AHY237" s="269"/>
      <c r="AHZ237" s="269"/>
      <c r="AIA237" s="269"/>
      <c r="AIB237" s="269"/>
      <c r="AIC237" s="269"/>
      <c r="AID237" s="269"/>
      <c r="AIE237" s="269"/>
      <c r="AIF237" s="269"/>
      <c r="AIG237" s="269"/>
      <c r="AIH237" s="269"/>
      <c r="AII237" s="269"/>
      <c r="AIJ237" s="269"/>
      <c r="AIK237" s="269"/>
      <c r="AIL237" s="269"/>
      <c r="AIM237" s="269"/>
      <c r="AIN237" s="269"/>
      <c r="AIO237" s="269"/>
      <c r="AIP237" s="269"/>
      <c r="AIQ237" s="269"/>
      <c r="AIR237" s="269"/>
      <c r="AIS237" s="269"/>
      <c r="AIT237" s="269"/>
      <c r="AIU237" s="269"/>
      <c r="AIV237" s="269"/>
      <c r="AIW237" s="269"/>
      <c r="AIX237" s="269"/>
      <c r="AIY237" s="269"/>
      <c r="AIZ237" s="269"/>
      <c r="AJA237" s="269"/>
      <c r="AJB237" s="269"/>
      <c r="AJC237" s="269"/>
      <c r="AJD237" s="269"/>
      <c r="AJE237" s="269"/>
      <c r="AJF237" s="269"/>
      <c r="AJG237" s="269"/>
      <c r="AJH237" s="269"/>
      <c r="AJI237" s="269"/>
      <c r="AJJ237" s="269"/>
      <c r="AJK237" s="269"/>
      <c r="AJL237" s="269"/>
      <c r="AJM237" s="269"/>
      <c r="AJN237" s="269"/>
      <c r="AJO237" s="269"/>
      <c r="AJP237" s="269"/>
      <c r="AJQ237" s="269"/>
      <c r="AJR237" s="269"/>
      <c r="AJS237" s="269"/>
      <c r="AJT237" s="269"/>
      <c r="AJU237" s="269"/>
      <c r="AJV237" s="269"/>
      <c r="AJW237" s="269"/>
      <c r="AJX237" s="269"/>
      <c r="AJY237" s="269"/>
      <c r="AJZ237" s="269"/>
      <c r="AKA237" s="269"/>
      <c r="AKB237" s="269"/>
      <c r="AKC237" s="269"/>
      <c r="AKD237" s="269"/>
      <c r="AKE237" s="269"/>
      <c r="AKF237" s="269"/>
      <c r="AKG237" s="269"/>
      <c r="AKH237" s="269"/>
      <c r="AKI237" s="269"/>
      <c r="AKJ237" s="269"/>
      <c r="AKK237" s="269"/>
      <c r="AKL237" s="269"/>
      <c r="AKM237" s="269"/>
      <c r="AKN237" s="269"/>
      <c r="AKO237" s="269"/>
      <c r="AKP237" s="269"/>
      <c r="AKQ237" s="269"/>
      <c r="AKR237" s="269"/>
      <c r="AKS237" s="269"/>
      <c r="AKT237" s="269"/>
      <c r="AKU237" s="269"/>
      <c r="AKV237" s="269"/>
      <c r="AKW237" s="269"/>
      <c r="AKX237" s="269"/>
      <c r="AKY237" s="269"/>
      <c r="AKZ237" s="269"/>
      <c r="ALA237" s="269"/>
      <c r="ALB237" s="269"/>
      <c r="ALC237" s="269"/>
      <c r="ALD237" s="269"/>
      <c r="ALE237" s="269"/>
      <c r="ALF237" s="269"/>
      <c r="ALG237" s="269"/>
      <c r="ALH237" s="269"/>
      <c r="ALI237" s="269"/>
      <c r="ALJ237" s="269"/>
      <c r="ALK237" s="269"/>
      <c r="ALL237" s="269"/>
      <c r="ALM237" s="269"/>
      <c r="ALN237" s="269"/>
      <c r="ALO237" s="269"/>
      <c r="ALP237" s="269"/>
      <c r="ALQ237" s="269"/>
      <c r="ALR237" s="269"/>
      <c r="ALS237" s="269"/>
      <c r="ALT237" s="269"/>
      <c r="ALU237" s="269"/>
      <c r="ALV237" s="269"/>
      <c r="ALW237" s="269"/>
      <c r="ALX237" s="269"/>
      <c r="ALY237" s="269"/>
      <c r="ALZ237" s="269"/>
      <c r="AMA237" s="269"/>
      <c r="AMB237" s="269"/>
      <c r="AMC237" s="269"/>
      <c r="AMD237" s="269"/>
      <c r="AME237" s="269"/>
      <c r="AMF237" s="269"/>
      <c r="AMG237" s="269"/>
      <c r="AMH237" s="269"/>
      <c r="AMI237" s="269"/>
      <c r="AMJ237" s="269"/>
      <c r="AMK237" s="269"/>
      <c r="AML237" s="269"/>
      <c r="AMM237" s="269"/>
      <c r="AMN237" s="269"/>
      <c r="AMO237" s="269"/>
      <c r="AMP237" s="269"/>
      <c r="AMQ237" s="269"/>
      <c r="AMR237" s="269"/>
      <c r="AMS237" s="269"/>
      <c r="AMT237" s="269"/>
      <c r="AMU237" s="269"/>
      <c r="AMV237" s="269"/>
      <c r="AMW237" s="269"/>
      <c r="AMX237" s="269"/>
      <c r="AMY237" s="269"/>
      <c r="AMZ237" s="269"/>
      <c r="ANA237" s="269"/>
      <c r="ANB237" s="269"/>
      <c r="ANC237" s="269"/>
      <c r="AND237" s="269"/>
      <c r="ANE237" s="269"/>
      <c r="ANF237" s="269"/>
      <c r="ANG237" s="269"/>
      <c r="ANH237" s="269"/>
      <c r="ANI237" s="269"/>
      <c r="ANJ237" s="269"/>
      <c r="ANK237" s="269"/>
      <c r="ANL237" s="269"/>
      <c r="ANM237" s="269"/>
      <c r="ANN237" s="269"/>
      <c r="ANO237" s="269"/>
      <c r="ANP237" s="269"/>
      <c r="ANQ237" s="269"/>
      <c r="ANR237" s="269"/>
      <c r="ANS237" s="269"/>
      <c r="ANT237" s="269"/>
      <c r="ANU237" s="269"/>
      <c r="ANV237" s="269"/>
      <c r="ANW237" s="269"/>
      <c r="ANX237" s="269"/>
      <c r="ANY237" s="269"/>
      <c r="ANZ237" s="269"/>
      <c r="AOA237" s="269"/>
      <c r="AOB237" s="269"/>
      <c r="AOC237" s="269"/>
      <c r="AOD237" s="269"/>
      <c r="AOE237" s="269"/>
      <c r="AOF237" s="269"/>
      <c r="AOG237" s="269"/>
      <c r="AOH237" s="269"/>
      <c r="AOI237" s="269"/>
      <c r="AOJ237" s="269"/>
      <c r="AOK237" s="269"/>
      <c r="AOL237" s="269"/>
      <c r="AOM237" s="269"/>
      <c r="AON237" s="269"/>
      <c r="AOO237" s="269"/>
      <c r="AOP237" s="269"/>
      <c r="AOQ237" s="269"/>
      <c r="AOR237" s="269"/>
      <c r="AOS237" s="269"/>
      <c r="AOT237" s="269"/>
      <c r="AOU237" s="269"/>
      <c r="AOV237" s="269"/>
      <c r="AOW237" s="269"/>
      <c r="AOX237" s="269"/>
      <c r="AOY237" s="269"/>
      <c r="AOZ237" s="269"/>
      <c r="APA237" s="269"/>
      <c r="APB237" s="269"/>
      <c r="APC237" s="269"/>
      <c r="APD237" s="269"/>
      <c r="APE237" s="269"/>
      <c r="APF237" s="269"/>
      <c r="APG237" s="269"/>
      <c r="APH237" s="269"/>
      <c r="API237" s="269"/>
      <c r="APJ237" s="269"/>
      <c r="APK237" s="269"/>
      <c r="APL237" s="269"/>
      <c r="APM237" s="269"/>
      <c r="APN237" s="269"/>
      <c r="APO237" s="269"/>
      <c r="APP237" s="269"/>
      <c r="APQ237" s="269"/>
      <c r="APR237" s="269"/>
      <c r="APS237" s="269"/>
      <c r="APT237" s="269"/>
      <c r="APU237" s="269"/>
      <c r="APV237" s="269"/>
      <c r="APW237" s="269"/>
      <c r="APX237" s="269"/>
      <c r="APY237" s="269"/>
      <c r="APZ237" s="269"/>
      <c r="AQA237" s="269"/>
      <c r="AQB237" s="269"/>
      <c r="AQC237" s="269"/>
      <c r="AQD237" s="269"/>
      <c r="AQE237" s="269"/>
      <c r="AQF237" s="269"/>
      <c r="AQG237" s="269"/>
      <c r="AQH237" s="269"/>
      <c r="AQI237" s="269"/>
      <c r="AQJ237" s="269"/>
      <c r="AQK237" s="269"/>
      <c r="AQL237" s="269"/>
      <c r="AQM237" s="269"/>
      <c r="AQN237" s="269"/>
      <c r="AQO237" s="269"/>
      <c r="AQP237" s="269"/>
      <c r="AQQ237" s="269"/>
      <c r="AQR237" s="269"/>
      <c r="AQS237" s="269"/>
      <c r="AQT237" s="269"/>
      <c r="AQU237" s="269"/>
      <c r="AQV237" s="269"/>
      <c r="AQW237" s="269"/>
      <c r="AQX237" s="269"/>
      <c r="AQY237" s="269"/>
      <c r="AQZ237" s="269"/>
      <c r="ARA237" s="269"/>
      <c r="ARB237" s="269"/>
      <c r="ARC237" s="269"/>
      <c r="ARD237" s="269"/>
      <c r="ARE237" s="269"/>
      <c r="ARF237" s="269"/>
      <c r="ARG237" s="269"/>
      <c r="ARH237" s="269"/>
      <c r="ARI237" s="269"/>
      <c r="ARJ237" s="269"/>
      <c r="ARK237" s="269"/>
      <c r="ARL237" s="269"/>
      <c r="ARM237" s="269"/>
      <c r="ARN237" s="269"/>
      <c r="ARO237" s="269"/>
      <c r="ARP237" s="269"/>
      <c r="ARQ237" s="269"/>
      <c r="ARR237" s="269"/>
      <c r="ARS237" s="269"/>
      <c r="ART237" s="269"/>
      <c r="ARU237" s="269"/>
      <c r="ARV237" s="269"/>
      <c r="ARW237" s="269"/>
      <c r="ARX237" s="269"/>
      <c r="ARY237" s="269"/>
      <c r="ARZ237" s="269"/>
      <c r="ASA237" s="269"/>
      <c r="ASB237" s="269"/>
      <c r="ASC237" s="269"/>
      <c r="ASD237" s="269"/>
      <c r="ASE237" s="269"/>
      <c r="ASF237" s="269"/>
      <c r="ASG237" s="269"/>
      <c r="ASH237" s="269"/>
      <c r="ASI237" s="269"/>
      <c r="ASJ237" s="269"/>
      <c r="ASK237" s="269"/>
      <c r="ASL237" s="269"/>
      <c r="ASM237" s="269"/>
      <c r="ASN237" s="269"/>
      <c r="ASO237" s="269"/>
      <c r="ASP237" s="269"/>
      <c r="ASQ237" s="269"/>
      <c r="ASR237" s="269"/>
      <c r="ASS237" s="269"/>
      <c r="AST237" s="269"/>
      <c r="ASU237" s="269"/>
      <c r="ASV237" s="269"/>
      <c r="ASW237" s="269"/>
      <c r="ASX237" s="269"/>
      <c r="ASY237" s="269"/>
      <c r="ASZ237" s="269"/>
      <c r="ATA237" s="269"/>
      <c r="ATB237" s="269"/>
      <c r="ATC237" s="269"/>
      <c r="ATD237" s="269"/>
      <c r="ATE237" s="269"/>
      <c r="ATF237" s="269"/>
      <c r="ATG237" s="269"/>
      <c r="ATH237" s="269"/>
      <c r="ATI237" s="269"/>
      <c r="ATJ237" s="269"/>
      <c r="ATK237" s="269"/>
      <c r="ATL237" s="269"/>
      <c r="ATM237" s="269"/>
      <c r="ATN237" s="269"/>
      <c r="ATO237" s="269"/>
      <c r="ATP237" s="269"/>
      <c r="ATQ237" s="269"/>
      <c r="ATR237" s="269"/>
      <c r="ATS237" s="269"/>
      <c r="ATT237" s="269"/>
      <c r="ATU237" s="269"/>
      <c r="ATV237" s="269"/>
      <c r="ATW237" s="269"/>
      <c r="ATX237" s="269"/>
      <c r="ATY237" s="269"/>
      <c r="ATZ237" s="269"/>
      <c r="AUA237" s="269"/>
      <c r="AUB237" s="269"/>
      <c r="AUC237" s="269"/>
      <c r="AUD237" s="269"/>
      <c r="AUE237" s="269"/>
      <c r="AUF237" s="269"/>
      <c r="AUG237" s="269"/>
      <c r="AUH237" s="269"/>
      <c r="AUI237" s="269"/>
      <c r="AUJ237" s="269"/>
      <c r="AUK237" s="269"/>
      <c r="AUL237" s="269"/>
      <c r="AUM237" s="269"/>
      <c r="AUN237" s="269"/>
      <c r="AUO237" s="269"/>
      <c r="AUP237" s="269"/>
      <c r="AUQ237" s="269"/>
      <c r="AUR237" s="269"/>
      <c r="AUS237" s="269"/>
      <c r="AUT237" s="269"/>
      <c r="AUU237" s="269"/>
      <c r="AUV237" s="269"/>
      <c r="AUW237" s="269"/>
      <c r="AUX237" s="269"/>
      <c r="AUY237" s="269"/>
      <c r="AUZ237" s="269"/>
      <c r="AVA237" s="269"/>
      <c r="AVB237" s="269"/>
      <c r="AVC237" s="269"/>
      <c r="AVD237" s="269"/>
      <c r="AVE237" s="269"/>
      <c r="AVF237" s="269"/>
      <c r="AVG237" s="269"/>
      <c r="AVH237" s="269"/>
      <c r="AVI237" s="269"/>
      <c r="AVJ237" s="269"/>
      <c r="AVK237" s="269"/>
      <c r="AVL237" s="269"/>
      <c r="AVM237" s="269"/>
      <c r="AVN237" s="269"/>
      <c r="AVO237" s="269"/>
      <c r="AVP237" s="269"/>
      <c r="AVQ237" s="269"/>
      <c r="AVR237" s="269"/>
      <c r="AVS237" s="269"/>
      <c r="AVT237" s="269"/>
      <c r="AVU237" s="269"/>
      <c r="AVV237" s="269"/>
      <c r="AVW237" s="269"/>
      <c r="AVX237" s="269"/>
      <c r="AVY237" s="269"/>
      <c r="AVZ237" s="269"/>
      <c r="AWA237" s="269"/>
      <c r="AWB237" s="269"/>
      <c r="AWC237" s="269"/>
      <c r="AWD237" s="269"/>
      <c r="AWE237" s="269"/>
      <c r="AWF237" s="269"/>
      <c r="AWG237" s="269"/>
      <c r="AWH237" s="269"/>
      <c r="AWI237" s="269"/>
      <c r="AWJ237" s="269"/>
      <c r="AWK237" s="269"/>
      <c r="AWL237" s="269"/>
      <c r="AWM237" s="269"/>
      <c r="AWN237" s="269"/>
      <c r="AWO237" s="269"/>
      <c r="AWP237" s="269"/>
      <c r="AWQ237" s="269"/>
      <c r="AWR237" s="269"/>
      <c r="AWS237" s="269"/>
      <c r="AWT237" s="269"/>
      <c r="AWU237" s="269"/>
      <c r="AWV237" s="269"/>
      <c r="AWW237" s="269"/>
      <c r="AWX237" s="269"/>
      <c r="AWY237" s="269"/>
      <c r="AWZ237" s="269"/>
      <c r="AXA237" s="269"/>
      <c r="AXB237" s="269"/>
      <c r="AXC237" s="269"/>
      <c r="AXD237" s="269"/>
      <c r="AXE237" s="269"/>
      <c r="AXF237" s="269"/>
      <c r="AXG237" s="269"/>
      <c r="AXH237" s="269"/>
      <c r="AXI237" s="269"/>
      <c r="AXJ237" s="269"/>
      <c r="AXK237" s="269"/>
      <c r="AXL237" s="269"/>
      <c r="AXM237" s="269"/>
      <c r="AXN237" s="269"/>
      <c r="AXO237" s="269"/>
      <c r="AXP237" s="269"/>
      <c r="AXQ237" s="269"/>
      <c r="AXR237" s="269"/>
      <c r="AXS237" s="269"/>
      <c r="AXT237" s="269"/>
      <c r="AXU237" s="269"/>
      <c r="AXV237" s="269"/>
      <c r="AXW237" s="269"/>
      <c r="AXX237" s="269"/>
      <c r="AXY237" s="269"/>
      <c r="AXZ237" s="269"/>
      <c r="AYA237" s="269"/>
      <c r="AYB237" s="269"/>
      <c r="AYC237" s="269"/>
      <c r="AYD237" s="269"/>
      <c r="AYE237" s="269"/>
      <c r="AYF237" s="269"/>
      <c r="AYG237" s="269"/>
      <c r="AYH237" s="269"/>
      <c r="AYI237" s="269"/>
      <c r="AYJ237" s="269"/>
      <c r="AYK237" s="269"/>
      <c r="AYL237" s="269"/>
      <c r="AYM237" s="269"/>
      <c r="AYN237" s="269"/>
      <c r="AYO237" s="269"/>
      <c r="AYP237" s="269"/>
      <c r="AYQ237" s="269"/>
      <c r="AYR237" s="269"/>
      <c r="AYS237" s="269"/>
      <c r="AYT237" s="269"/>
      <c r="AYU237" s="269"/>
      <c r="AYV237" s="269"/>
      <c r="AYW237" s="269"/>
      <c r="AYX237" s="269"/>
      <c r="AYY237" s="269"/>
      <c r="AYZ237" s="269"/>
      <c r="AZA237" s="269"/>
      <c r="AZB237" s="269"/>
      <c r="AZC237" s="269"/>
      <c r="AZD237" s="269"/>
      <c r="AZE237" s="269"/>
      <c r="AZF237" s="269"/>
      <c r="AZG237" s="269"/>
      <c r="AZH237" s="269"/>
      <c r="AZI237" s="269"/>
      <c r="AZJ237" s="269"/>
      <c r="AZK237" s="269"/>
      <c r="AZL237" s="269"/>
      <c r="AZM237" s="269"/>
      <c r="AZN237" s="269"/>
      <c r="AZO237" s="269"/>
      <c r="AZP237" s="269"/>
      <c r="AZQ237" s="269"/>
      <c r="AZR237" s="269"/>
      <c r="AZS237" s="269"/>
      <c r="AZT237" s="269"/>
      <c r="AZU237" s="269"/>
      <c r="AZV237" s="269"/>
      <c r="AZW237" s="269"/>
      <c r="AZX237" s="269"/>
      <c r="AZY237" s="269"/>
      <c r="AZZ237" s="269"/>
      <c r="BAA237" s="269"/>
      <c r="BAB237" s="269"/>
      <c r="BAC237" s="269"/>
      <c r="BAD237" s="269"/>
      <c r="BAE237" s="269"/>
      <c r="BAF237" s="269"/>
      <c r="BAG237" s="269"/>
      <c r="BAH237" s="269"/>
      <c r="BAI237" s="269"/>
      <c r="BAJ237" s="269"/>
      <c r="BAK237" s="269"/>
      <c r="BAL237" s="269"/>
      <c r="BAM237" s="269"/>
      <c r="BAN237" s="269"/>
      <c r="BAO237" s="269"/>
      <c r="BAP237" s="269"/>
      <c r="BAQ237" s="269"/>
      <c r="BAR237" s="269"/>
      <c r="BAS237" s="269"/>
      <c r="BAT237" s="269"/>
      <c r="BAU237" s="269"/>
      <c r="BAV237" s="269"/>
      <c r="BAW237" s="269"/>
      <c r="BAX237" s="269"/>
      <c r="BAY237" s="269"/>
      <c r="BAZ237" s="269"/>
      <c r="BBA237" s="269"/>
      <c r="BBB237" s="269"/>
      <c r="BBC237" s="269"/>
      <c r="BBD237" s="269"/>
      <c r="BBE237" s="269"/>
      <c r="BBF237" s="269"/>
      <c r="BBG237" s="269"/>
      <c r="BBH237" s="269"/>
      <c r="BBI237" s="269"/>
      <c r="BBJ237" s="269"/>
      <c r="BBK237" s="269"/>
      <c r="BBL237" s="269"/>
      <c r="BBM237" s="269"/>
      <c r="BBN237" s="269"/>
      <c r="BBO237" s="269"/>
      <c r="BBP237" s="269"/>
      <c r="BBQ237" s="269"/>
      <c r="BBR237" s="269"/>
      <c r="BBS237" s="269"/>
      <c r="BBT237" s="269"/>
      <c r="BBU237" s="269"/>
      <c r="BBV237" s="269"/>
      <c r="BBW237" s="269"/>
      <c r="BBX237" s="269"/>
      <c r="BBY237" s="269"/>
      <c r="BBZ237" s="269"/>
      <c r="BCA237" s="269"/>
      <c r="BCB237" s="269"/>
      <c r="BCC237" s="269"/>
      <c r="BCD237" s="269"/>
      <c r="BCE237" s="269"/>
      <c r="BCF237" s="269"/>
      <c r="BCG237" s="269"/>
      <c r="BCH237" s="269"/>
      <c r="BCI237" s="269"/>
      <c r="BCJ237" s="269"/>
      <c r="BCK237" s="269"/>
      <c r="BCL237" s="269"/>
      <c r="BCM237" s="269"/>
      <c r="BCN237" s="269"/>
      <c r="BCO237" s="269"/>
      <c r="BCP237" s="269"/>
      <c r="BCQ237" s="269"/>
      <c r="BCR237" s="269"/>
      <c r="BCS237" s="269"/>
      <c r="BCT237" s="269"/>
      <c r="BCU237" s="269"/>
      <c r="BCV237" s="269"/>
      <c r="BCW237" s="269"/>
      <c r="BCX237" s="269"/>
      <c r="BCY237" s="269"/>
      <c r="BCZ237" s="269"/>
      <c r="BDA237" s="269"/>
      <c r="BDB237" s="269"/>
      <c r="BDC237" s="269"/>
      <c r="BDD237" s="269"/>
      <c r="BDE237" s="269"/>
      <c r="BDF237" s="269"/>
      <c r="BDG237" s="269"/>
      <c r="BDH237" s="269"/>
      <c r="BDI237" s="269"/>
      <c r="BDJ237" s="269"/>
      <c r="BDK237" s="269"/>
      <c r="BDL237" s="269"/>
      <c r="BDM237" s="269"/>
      <c r="BDN237" s="269"/>
      <c r="BDO237" s="269"/>
      <c r="BDP237" s="269"/>
      <c r="BDQ237" s="269"/>
      <c r="BDR237" s="269"/>
      <c r="BDS237" s="269"/>
      <c r="BDT237" s="269"/>
      <c r="BDU237" s="269"/>
      <c r="BDV237" s="269"/>
      <c r="BDW237" s="269"/>
      <c r="BDX237" s="269"/>
      <c r="BDY237" s="269"/>
      <c r="BDZ237" s="269"/>
      <c r="BEA237" s="269"/>
      <c r="BEB237" s="269"/>
      <c r="BEC237" s="269"/>
      <c r="BED237" s="269"/>
      <c r="BEE237" s="269"/>
      <c r="BEF237" s="269"/>
      <c r="BEG237" s="269"/>
      <c r="BEH237" s="269"/>
      <c r="BEI237" s="269"/>
      <c r="BEJ237" s="269"/>
      <c r="BEK237" s="269"/>
      <c r="BEL237" s="269"/>
      <c r="BEM237" s="269"/>
      <c r="BEN237" s="269"/>
      <c r="BEO237" s="269"/>
      <c r="BEP237" s="269"/>
      <c r="BEQ237" s="269"/>
      <c r="BER237" s="269"/>
      <c r="BES237" s="269"/>
      <c r="BET237" s="269"/>
      <c r="BEU237" s="269"/>
      <c r="BEV237" s="269"/>
      <c r="BEW237" s="269"/>
      <c r="BEX237" s="269"/>
      <c r="BEY237" s="269"/>
      <c r="BEZ237" s="269"/>
      <c r="BFA237" s="269"/>
      <c r="BFB237" s="269"/>
      <c r="BFC237" s="269"/>
      <c r="BFD237" s="269"/>
      <c r="BFE237" s="269"/>
      <c r="BFF237" s="269"/>
      <c r="BFG237" s="269"/>
      <c r="BFH237" s="269"/>
      <c r="BFI237" s="269"/>
      <c r="BFJ237" s="269"/>
      <c r="BFK237" s="269"/>
      <c r="BFL237" s="269"/>
      <c r="BFM237" s="269"/>
      <c r="BFN237" s="269"/>
      <c r="BFO237" s="269"/>
      <c r="BFP237" s="269"/>
      <c r="BFQ237" s="269"/>
      <c r="BFR237" s="269"/>
      <c r="BFS237" s="269"/>
      <c r="BFT237" s="269"/>
      <c r="BFU237" s="269"/>
      <c r="BFV237" s="269"/>
      <c r="BFW237" s="269"/>
      <c r="BFX237" s="269"/>
      <c r="BFY237" s="269"/>
      <c r="BFZ237" s="269"/>
      <c r="BGA237" s="269"/>
      <c r="BGB237" s="269"/>
      <c r="BGC237" s="269"/>
      <c r="BGD237" s="269"/>
      <c r="BGE237" s="269"/>
      <c r="BGF237" s="269"/>
      <c r="BGG237" s="269"/>
      <c r="BGH237" s="269"/>
      <c r="BGI237" s="269"/>
      <c r="BGJ237" s="269"/>
      <c r="BGK237" s="269"/>
      <c r="BGL237" s="269"/>
      <c r="BGM237" s="269"/>
      <c r="BGN237" s="269"/>
      <c r="BGO237" s="269"/>
      <c r="BGP237" s="269"/>
      <c r="BGQ237" s="269"/>
      <c r="BGR237" s="269"/>
      <c r="BGS237" s="269"/>
      <c r="BGT237" s="269"/>
      <c r="BGU237" s="269"/>
      <c r="BGV237" s="269"/>
      <c r="BGW237" s="269"/>
      <c r="BGX237" s="269"/>
      <c r="BGY237" s="269"/>
      <c r="BGZ237" s="269"/>
      <c r="BHA237" s="269"/>
      <c r="BHB237" s="269"/>
      <c r="BHC237" s="269"/>
      <c r="BHD237" s="269"/>
      <c r="BHE237" s="269"/>
      <c r="BHF237" s="269"/>
      <c r="BHG237" s="269"/>
      <c r="BHH237" s="269"/>
      <c r="BHI237" s="269"/>
      <c r="BHJ237" s="269"/>
      <c r="BHK237" s="269"/>
      <c r="BHL237" s="269"/>
      <c r="BHM237" s="269"/>
      <c r="BHN237" s="269"/>
      <c r="BHO237" s="269"/>
      <c r="BHP237" s="269"/>
      <c r="BHQ237" s="269"/>
      <c r="BHR237" s="269"/>
      <c r="BHS237" s="269"/>
      <c r="BHT237" s="269"/>
      <c r="BHU237" s="269"/>
      <c r="BHV237" s="269"/>
      <c r="BHW237" s="269"/>
      <c r="BHX237" s="269"/>
      <c r="BHY237" s="269"/>
      <c r="BHZ237" s="269"/>
      <c r="BIA237" s="269"/>
      <c r="BIB237" s="269"/>
      <c r="BIC237" s="269"/>
      <c r="BID237" s="269"/>
      <c r="BIE237" s="269"/>
      <c r="BIF237" s="269"/>
      <c r="BIG237" s="269"/>
      <c r="BIH237" s="269"/>
      <c r="BII237" s="269"/>
      <c r="BIJ237" s="269"/>
      <c r="BIK237" s="269"/>
      <c r="BIL237" s="269"/>
      <c r="BIM237" s="269"/>
      <c r="BIN237" s="269"/>
      <c r="BIO237" s="269"/>
      <c r="BIP237" s="269"/>
      <c r="BIQ237" s="269"/>
      <c r="BIR237" s="269"/>
      <c r="BIS237" s="269"/>
      <c r="BIT237" s="269"/>
      <c r="BIU237" s="269"/>
      <c r="BIV237" s="269"/>
      <c r="BIW237" s="269"/>
      <c r="BIX237" s="269"/>
      <c r="BIY237" s="269"/>
      <c r="BIZ237" s="269"/>
      <c r="BJA237" s="269"/>
      <c r="BJB237" s="269"/>
      <c r="BJC237" s="269"/>
      <c r="BJD237" s="269"/>
      <c r="BJE237" s="269"/>
      <c r="BJF237" s="269"/>
      <c r="BJG237" s="269"/>
      <c r="BJH237" s="269"/>
      <c r="BJI237" s="269"/>
      <c r="BJJ237" s="269"/>
      <c r="BJK237" s="269"/>
      <c r="BJL237" s="269"/>
      <c r="BJM237" s="269"/>
      <c r="BJN237" s="269"/>
      <c r="BJO237" s="269"/>
      <c r="BJP237" s="269"/>
      <c r="BJQ237" s="269"/>
      <c r="BJR237" s="269"/>
      <c r="BJS237" s="269"/>
      <c r="BJT237" s="269"/>
      <c r="BJU237" s="269"/>
      <c r="BJV237" s="269"/>
      <c r="BJW237" s="269"/>
      <c r="BJX237" s="269"/>
      <c r="BJY237" s="269"/>
      <c r="BJZ237" s="269"/>
      <c r="BKA237" s="269"/>
      <c r="BKB237" s="269"/>
      <c r="BKC237" s="269"/>
      <c r="BKD237" s="269"/>
      <c r="BKE237" s="269"/>
      <c r="BKF237" s="269"/>
      <c r="BKG237" s="269"/>
      <c r="BKH237" s="269"/>
      <c r="BKI237" s="269"/>
      <c r="BKJ237" s="269"/>
      <c r="BKK237" s="269"/>
      <c r="BKL237" s="269"/>
      <c r="BKM237" s="269"/>
      <c r="BKN237" s="269"/>
      <c r="BKO237" s="269"/>
      <c r="BKP237" s="269"/>
      <c r="BKQ237" s="269"/>
      <c r="BKR237" s="269"/>
      <c r="BKS237" s="269"/>
      <c r="BKT237" s="269"/>
      <c r="BKU237" s="269"/>
      <c r="BKV237" s="269"/>
      <c r="BKW237" s="269"/>
      <c r="BKX237" s="269"/>
      <c r="BKY237" s="269"/>
      <c r="BKZ237" s="269"/>
      <c r="BLA237" s="269"/>
      <c r="BLB237" s="269"/>
      <c r="BLC237" s="269"/>
      <c r="BLD237" s="269"/>
      <c r="BLE237" s="269"/>
      <c r="BLF237" s="269"/>
      <c r="BLG237" s="269"/>
      <c r="BLH237" s="269"/>
      <c r="BLI237" s="269"/>
      <c r="BLJ237" s="269"/>
      <c r="BLK237" s="269"/>
      <c r="BLL237" s="269"/>
      <c r="BLM237" s="269"/>
      <c r="BLN237" s="269"/>
      <c r="BLO237" s="269"/>
      <c r="BLP237" s="269"/>
      <c r="BLQ237" s="269"/>
      <c r="BLR237" s="269"/>
      <c r="BLS237" s="269"/>
      <c r="BLT237" s="269"/>
      <c r="BLU237" s="269"/>
      <c r="BLV237" s="269"/>
      <c r="BLW237" s="269"/>
      <c r="BLX237" s="269"/>
      <c r="BLY237" s="269"/>
      <c r="BLZ237" s="269"/>
      <c r="BMA237" s="269"/>
      <c r="BMB237" s="269"/>
      <c r="BMC237" s="269"/>
      <c r="BMD237" s="269"/>
      <c r="BME237" s="269"/>
      <c r="BMF237" s="269"/>
      <c r="BMG237" s="269"/>
      <c r="BMH237" s="269"/>
      <c r="BMI237" s="269"/>
      <c r="BMJ237" s="269"/>
      <c r="BMK237" s="269"/>
      <c r="BML237" s="269"/>
      <c r="BMM237" s="269"/>
      <c r="BMN237" s="269"/>
      <c r="BMO237" s="269"/>
      <c r="BMP237" s="269"/>
      <c r="BMQ237" s="269"/>
      <c r="BMR237" s="269"/>
      <c r="BMS237" s="269"/>
      <c r="BMT237" s="269"/>
      <c r="BMU237" s="269"/>
      <c r="BMV237" s="269"/>
      <c r="BMW237" s="269"/>
      <c r="BMX237" s="269"/>
      <c r="BMY237" s="269"/>
      <c r="BMZ237" s="269"/>
      <c r="BNA237" s="269"/>
      <c r="BNB237" s="269"/>
      <c r="BNC237" s="269"/>
      <c r="BND237" s="269"/>
      <c r="BNE237" s="269"/>
      <c r="BNF237" s="269"/>
      <c r="BNG237" s="269"/>
      <c r="BNH237" s="269"/>
      <c r="BNI237" s="269"/>
      <c r="BNJ237" s="269"/>
      <c r="BNK237" s="269"/>
      <c r="BNL237" s="269"/>
      <c r="BNM237" s="269"/>
      <c r="BNN237" s="269"/>
      <c r="BNO237" s="269"/>
      <c r="BNP237" s="269"/>
      <c r="BNQ237" s="269"/>
      <c r="BNR237" s="269"/>
      <c r="BNS237" s="269"/>
      <c r="BNT237" s="269"/>
      <c r="BNU237" s="269"/>
      <c r="BNV237" s="269"/>
      <c r="BNW237" s="269"/>
      <c r="BNX237" s="269"/>
      <c r="BNY237" s="269"/>
      <c r="BNZ237" s="269"/>
      <c r="BOA237" s="269"/>
      <c r="BOB237" s="269"/>
      <c r="BOC237" s="269"/>
      <c r="BOD237" s="269"/>
      <c r="BOE237" s="269"/>
      <c r="BOF237" s="269"/>
      <c r="BOG237" s="269"/>
      <c r="BOH237" s="269"/>
      <c r="BOI237" s="269"/>
      <c r="BOJ237" s="269"/>
      <c r="BOK237" s="269"/>
      <c r="BOL237" s="269"/>
      <c r="BOM237" s="269"/>
      <c r="BON237" s="269"/>
      <c r="BOO237" s="269"/>
      <c r="BOP237" s="269"/>
      <c r="BOQ237" s="269"/>
      <c r="BOR237" s="269"/>
      <c r="BOS237" s="269"/>
      <c r="BOT237" s="269"/>
      <c r="BOU237" s="269"/>
      <c r="BOV237" s="269"/>
      <c r="BOW237" s="269"/>
      <c r="BOX237" s="269"/>
      <c r="BOY237" s="269"/>
      <c r="BOZ237" s="269"/>
      <c r="BPA237" s="269"/>
      <c r="BPB237" s="269"/>
      <c r="BPC237" s="269"/>
      <c r="BPD237" s="269"/>
      <c r="BPE237" s="269"/>
      <c r="BPF237" s="269"/>
      <c r="BPG237" s="269"/>
      <c r="BPH237" s="269"/>
      <c r="BPI237" s="269"/>
      <c r="BPJ237" s="269"/>
      <c r="BPK237" s="269"/>
      <c r="BPL237" s="269"/>
      <c r="BPM237" s="269"/>
      <c r="BPN237" s="269"/>
      <c r="BPO237" s="269"/>
      <c r="BPP237" s="269"/>
      <c r="BPQ237" s="269"/>
      <c r="BPR237" s="269"/>
      <c r="BPS237" s="269"/>
      <c r="BPT237" s="269"/>
      <c r="BPU237" s="269"/>
      <c r="BPV237" s="269"/>
      <c r="BPW237" s="269"/>
      <c r="BPX237" s="269"/>
      <c r="BPY237" s="269"/>
      <c r="BPZ237" s="269"/>
      <c r="BQA237" s="269"/>
      <c r="BQB237" s="269"/>
      <c r="BQC237" s="269"/>
      <c r="BQD237" s="269"/>
      <c r="BQE237" s="269"/>
      <c r="BQF237" s="269"/>
      <c r="BQG237" s="269"/>
      <c r="BQH237" s="269"/>
      <c r="BQI237" s="269"/>
      <c r="BQJ237" s="269"/>
      <c r="BQK237" s="269"/>
      <c r="BQL237" s="269"/>
      <c r="BQM237" s="269"/>
      <c r="BQN237" s="269"/>
      <c r="BQO237" s="269"/>
      <c r="BQP237" s="269"/>
      <c r="BQQ237" s="269"/>
      <c r="BQR237" s="269"/>
      <c r="BQS237" s="269"/>
      <c r="BQT237" s="269"/>
      <c r="BQU237" s="269"/>
      <c r="BQV237" s="269"/>
      <c r="BQW237" s="269"/>
      <c r="BQX237" s="269"/>
      <c r="BQY237" s="269"/>
      <c r="BQZ237" s="269"/>
      <c r="BRA237" s="269"/>
      <c r="BRB237" s="269"/>
      <c r="BRC237" s="269"/>
      <c r="BRD237" s="269"/>
      <c r="BRE237" s="269"/>
      <c r="BRF237" s="269"/>
      <c r="BRG237" s="269"/>
      <c r="BRH237" s="269"/>
      <c r="BRI237" s="269"/>
      <c r="BRJ237" s="269"/>
      <c r="BRK237" s="269"/>
      <c r="BRL237" s="269"/>
      <c r="BRM237" s="269"/>
      <c r="BRN237" s="269"/>
      <c r="BRO237" s="269"/>
      <c r="BRP237" s="269"/>
      <c r="BRQ237" s="269"/>
      <c r="BRR237" s="269"/>
      <c r="BRS237" s="269"/>
      <c r="BRT237" s="269"/>
      <c r="BRU237" s="269"/>
      <c r="BRV237" s="269"/>
      <c r="BRW237" s="269"/>
      <c r="BRX237" s="269"/>
      <c r="BRY237" s="269"/>
      <c r="BRZ237" s="269"/>
      <c r="BSA237" s="269"/>
      <c r="BSB237" s="269"/>
      <c r="BSC237" s="269"/>
      <c r="BSD237" s="269"/>
      <c r="BSE237" s="269"/>
      <c r="BSF237" s="269"/>
      <c r="BSG237" s="269"/>
      <c r="BSH237" s="269"/>
      <c r="BSI237" s="269"/>
      <c r="BSJ237" s="269"/>
      <c r="BSK237" s="269"/>
      <c r="BSL237" s="269"/>
      <c r="BSM237" s="269"/>
      <c r="BSN237" s="269"/>
      <c r="BSO237" s="269"/>
      <c r="BSP237" s="269"/>
      <c r="BSQ237" s="269"/>
      <c r="BSR237" s="269"/>
      <c r="BSS237" s="269"/>
      <c r="BST237" s="269"/>
      <c r="BSU237" s="269"/>
      <c r="BSV237" s="269"/>
      <c r="BSW237" s="269"/>
      <c r="BSX237" s="269"/>
      <c r="BSY237" s="269"/>
      <c r="BSZ237" s="269"/>
      <c r="BTA237" s="269"/>
      <c r="BTB237" s="269"/>
      <c r="BTC237" s="269"/>
      <c r="BTD237" s="269"/>
      <c r="BTE237" s="269"/>
      <c r="BTF237" s="269"/>
      <c r="BTG237" s="269"/>
      <c r="BTH237" s="269"/>
      <c r="BTI237" s="269"/>
      <c r="BTJ237" s="269"/>
      <c r="BTK237" s="269"/>
      <c r="BTL237" s="269"/>
      <c r="BTM237" s="269"/>
      <c r="BTN237" s="269"/>
      <c r="BTO237" s="269"/>
      <c r="BTP237" s="269"/>
      <c r="BTQ237" s="269"/>
      <c r="BTR237" s="269"/>
      <c r="BTS237" s="269"/>
      <c r="BTT237" s="269"/>
      <c r="BTU237" s="269"/>
      <c r="BTV237" s="269"/>
      <c r="BTW237" s="269"/>
      <c r="BTX237" s="269"/>
      <c r="BTY237" s="269"/>
      <c r="BTZ237" s="269"/>
      <c r="BUA237" s="269"/>
      <c r="BUB237" s="269"/>
      <c r="BUC237" s="269"/>
      <c r="BUD237" s="269"/>
      <c r="BUE237" s="269"/>
      <c r="BUF237" s="269"/>
      <c r="BUG237" s="269"/>
      <c r="BUH237" s="269"/>
      <c r="BUI237" s="269"/>
      <c r="BUJ237" s="269"/>
      <c r="BUK237" s="269"/>
      <c r="BUL237" s="269"/>
      <c r="BUM237" s="269"/>
      <c r="BUN237" s="269"/>
      <c r="BUO237" s="269"/>
      <c r="BUP237" s="269"/>
      <c r="BUQ237" s="269"/>
      <c r="BUR237" s="269"/>
      <c r="BUS237" s="269"/>
      <c r="BUT237" s="269"/>
      <c r="BUU237" s="269"/>
      <c r="BUV237" s="269"/>
      <c r="BUW237" s="269"/>
      <c r="BUX237" s="269"/>
      <c r="BUY237" s="269"/>
      <c r="BUZ237" s="269"/>
      <c r="BVA237" s="269"/>
      <c r="BVB237" s="269"/>
      <c r="BVC237" s="269"/>
      <c r="BVD237" s="269"/>
      <c r="BVE237" s="269"/>
      <c r="BVF237" s="269"/>
      <c r="BVG237" s="269"/>
      <c r="BVH237" s="269"/>
      <c r="BVI237" s="269"/>
      <c r="BVJ237" s="269"/>
      <c r="BVK237" s="269"/>
      <c r="BVL237" s="269"/>
      <c r="BVM237" s="269"/>
      <c r="BVN237" s="269"/>
      <c r="BVO237" s="269"/>
      <c r="BVP237" s="269"/>
      <c r="BVQ237" s="269"/>
      <c r="BVR237" s="269"/>
      <c r="BVS237" s="269"/>
      <c r="BVT237" s="269"/>
      <c r="BVU237" s="269"/>
      <c r="BVV237" s="269"/>
      <c r="BVW237" s="269"/>
      <c r="BVX237" s="269"/>
      <c r="BVY237" s="269"/>
      <c r="BVZ237" s="269"/>
      <c r="BWA237" s="269"/>
      <c r="BWB237" s="269"/>
      <c r="BWC237" s="269"/>
      <c r="BWD237" s="269"/>
      <c r="BWE237" s="269"/>
      <c r="BWF237" s="269"/>
      <c r="BWG237" s="269"/>
      <c r="BWH237" s="269"/>
      <c r="BWI237" s="269"/>
      <c r="BWJ237" s="269"/>
      <c r="BWK237" s="269"/>
      <c r="BWL237" s="269"/>
      <c r="BWM237" s="269"/>
      <c r="BWN237" s="269"/>
      <c r="BWO237" s="269"/>
      <c r="BWP237" s="269"/>
      <c r="BWQ237" s="269"/>
      <c r="BWR237" s="269"/>
      <c r="BWS237" s="269"/>
      <c r="BWT237" s="269"/>
      <c r="BWU237" s="269"/>
      <c r="BWV237" s="269"/>
      <c r="BWW237" s="269"/>
      <c r="BWX237" s="269"/>
      <c r="BWY237" s="269"/>
      <c r="BWZ237" s="269"/>
      <c r="BXA237" s="269"/>
      <c r="BXB237" s="269"/>
      <c r="BXC237" s="269"/>
      <c r="BXD237" s="269"/>
      <c r="BXE237" s="269"/>
      <c r="BXF237" s="269"/>
      <c r="BXG237" s="269"/>
      <c r="BXH237" s="269"/>
      <c r="BXI237" s="269"/>
      <c r="BXJ237" s="269"/>
      <c r="BXK237" s="269"/>
      <c r="BXL237" s="269"/>
      <c r="BXM237" s="269"/>
      <c r="BXN237" s="269"/>
      <c r="BXO237" s="269"/>
      <c r="BXP237" s="269"/>
      <c r="BXQ237" s="269"/>
      <c r="BXR237" s="269"/>
      <c r="BXS237" s="269"/>
      <c r="BXT237" s="269"/>
      <c r="BXU237" s="269"/>
      <c r="BXV237" s="269"/>
      <c r="BXW237" s="269"/>
      <c r="BXX237" s="269"/>
      <c r="BXY237" s="269"/>
      <c r="BXZ237" s="269"/>
      <c r="BYA237" s="269"/>
      <c r="BYB237" s="269"/>
      <c r="BYC237" s="269"/>
      <c r="BYD237" s="269"/>
      <c r="BYE237" s="269"/>
      <c r="BYF237" s="269"/>
      <c r="BYG237" s="269"/>
      <c r="BYH237" s="269"/>
      <c r="BYI237" s="269"/>
      <c r="BYJ237" s="269"/>
      <c r="BYK237" s="269"/>
      <c r="BYL237" s="269"/>
      <c r="BYM237" s="269"/>
      <c r="BYN237" s="269"/>
      <c r="BYO237" s="269"/>
      <c r="BYP237" s="269"/>
      <c r="BYQ237" s="269"/>
      <c r="BYR237" s="269"/>
      <c r="BYS237" s="269"/>
      <c r="BYT237" s="269"/>
      <c r="BYU237" s="269"/>
      <c r="BYV237" s="269"/>
      <c r="BYW237" s="269"/>
      <c r="BYX237" s="269"/>
      <c r="BYY237" s="269"/>
      <c r="BYZ237" s="269"/>
      <c r="BZA237" s="269"/>
      <c r="BZB237" s="269"/>
      <c r="BZC237" s="269"/>
      <c r="BZD237" s="269"/>
      <c r="BZE237" s="269"/>
      <c r="BZF237" s="269"/>
      <c r="BZG237" s="269"/>
      <c r="BZH237" s="269"/>
      <c r="BZI237" s="269"/>
      <c r="BZJ237" s="269"/>
      <c r="BZK237" s="269"/>
      <c r="BZL237" s="269"/>
      <c r="BZM237" s="269"/>
      <c r="BZN237" s="269"/>
      <c r="BZO237" s="269"/>
      <c r="BZP237" s="269"/>
      <c r="BZQ237" s="269"/>
      <c r="BZR237" s="269"/>
      <c r="BZS237" s="269"/>
      <c r="BZT237" s="269"/>
      <c r="BZU237" s="269"/>
      <c r="BZV237" s="269"/>
      <c r="BZW237" s="269"/>
      <c r="BZX237" s="269"/>
      <c r="BZY237" s="269"/>
      <c r="BZZ237" s="269"/>
      <c r="CAA237" s="269"/>
      <c r="CAB237" s="269"/>
      <c r="CAC237" s="269"/>
      <c r="CAD237" s="269"/>
      <c r="CAE237" s="269"/>
      <c r="CAF237" s="269"/>
      <c r="CAG237" s="269"/>
      <c r="CAH237" s="269"/>
      <c r="CAI237" s="269"/>
      <c r="CAJ237" s="269"/>
      <c r="CAK237" s="269"/>
      <c r="CAL237" s="269"/>
      <c r="CAM237" s="269"/>
      <c r="CAN237" s="269"/>
      <c r="CAO237" s="269"/>
      <c r="CAP237" s="269"/>
      <c r="CAQ237" s="269"/>
      <c r="CAR237" s="269"/>
      <c r="CAS237" s="269"/>
      <c r="CAT237" s="269"/>
      <c r="CAU237" s="269"/>
      <c r="CAV237" s="269"/>
      <c r="CAW237" s="269"/>
      <c r="CAX237" s="269"/>
      <c r="CAY237" s="269"/>
      <c r="CAZ237" s="269"/>
      <c r="CBA237" s="269"/>
      <c r="CBB237" s="269"/>
      <c r="CBC237" s="269"/>
      <c r="CBD237" s="269"/>
      <c r="CBE237" s="269"/>
      <c r="CBF237" s="269"/>
      <c r="CBG237" s="269"/>
      <c r="CBH237" s="269"/>
      <c r="CBI237" s="269"/>
      <c r="CBJ237" s="269"/>
      <c r="CBK237" s="269"/>
      <c r="CBL237" s="269"/>
      <c r="CBM237" s="269"/>
      <c r="CBN237" s="269"/>
      <c r="CBO237" s="269"/>
      <c r="CBP237" s="269"/>
      <c r="CBQ237" s="269"/>
      <c r="CBR237" s="269"/>
      <c r="CBS237" s="269"/>
      <c r="CBT237" s="269"/>
      <c r="CBU237" s="269"/>
      <c r="CBV237" s="269"/>
      <c r="CBW237" s="269"/>
      <c r="CBX237" s="269"/>
      <c r="CBY237" s="269"/>
      <c r="CBZ237" s="269"/>
      <c r="CCA237" s="269"/>
      <c r="CCB237" s="269"/>
      <c r="CCC237" s="269"/>
      <c r="CCD237" s="269"/>
      <c r="CCE237" s="269"/>
      <c r="CCF237" s="269"/>
      <c r="CCG237" s="269"/>
      <c r="CCH237" s="269"/>
      <c r="CCI237" s="269"/>
      <c r="CCJ237" s="269"/>
      <c r="CCK237" s="269"/>
      <c r="CCL237" s="269"/>
      <c r="CCM237" s="269"/>
      <c r="CCN237" s="269"/>
      <c r="CCO237" s="269"/>
      <c r="CCP237" s="269"/>
      <c r="CCQ237" s="269"/>
      <c r="CCR237" s="269"/>
      <c r="CCS237" s="269"/>
      <c r="CCT237" s="269"/>
      <c r="CCU237" s="269"/>
      <c r="CCV237" s="269"/>
      <c r="CCW237" s="269"/>
      <c r="CCX237" s="269"/>
      <c r="CCY237" s="269"/>
      <c r="CCZ237" s="269"/>
      <c r="CDA237" s="269"/>
      <c r="CDB237" s="269"/>
      <c r="CDC237" s="269"/>
      <c r="CDD237" s="269"/>
      <c r="CDE237" s="269"/>
      <c r="CDF237" s="269"/>
      <c r="CDG237" s="269"/>
      <c r="CDH237" s="269"/>
      <c r="CDI237" s="269"/>
      <c r="CDJ237" s="269"/>
      <c r="CDK237" s="269"/>
      <c r="CDL237" s="269"/>
      <c r="CDM237" s="269"/>
      <c r="CDN237" s="269"/>
      <c r="CDO237" s="269"/>
      <c r="CDP237" s="269"/>
      <c r="CDQ237" s="269"/>
      <c r="CDR237" s="269"/>
      <c r="CDS237" s="269"/>
      <c r="CDT237" s="269"/>
      <c r="CDU237" s="269"/>
      <c r="CDV237" s="269"/>
      <c r="CDW237" s="269"/>
      <c r="CDX237" s="269"/>
      <c r="CDY237" s="269"/>
      <c r="CDZ237" s="269"/>
      <c r="CEA237" s="269"/>
      <c r="CEB237" s="269"/>
      <c r="CEC237" s="269"/>
      <c r="CED237" s="269"/>
      <c r="CEE237" s="269"/>
      <c r="CEF237" s="269"/>
      <c r="CEG237" s="269"/>
      <c r="CEH237" s="269"/>
      <c r="CEI237" s="269"/>
      <c r="CEJ237" s="269"/>
      <c r="CEK237" s="269"/>
      <c r="CEL237" s="269"/>
      <c r="CEM237" s="269"/>
      <c r="CEN237" s="269"/>
      <c r="CEO237" s="269"/>
      <c r="CEP237" s="269"/>
      <c r="CEQ237" s="269"/>
      <c r="CER237" s="269"/>
      <c r="CES237" s="269"/>
      <c r="CET237" s="269"/>
      <c r="CEU237" s="269"/>
      <c r="CEV237" s="269"/>
      <c r="CEW237" s="269"/>
      <c r="CEX237" s="269"/>
      <c r="CEY237" s="269"/>
      <c r="CEZ237" s="269"/>
      <c r="CFA237" s="269"/>
      <c r="CFB237" s="269"/>
      <c r="CFC237" s="269"/>
      <c r="CFD237" s="269"/>
      <c r="CFE237" s="269"/>
      <c r="CFF237" s="269"/>
      <c r="CFG237" s="269"/>
      <c r="CFH237" s="269"/>
      <c r="CFI237" s="269"/>
      <c r="CFJ237" s="269"/>
      <c r="CFK237" s="269"/>
      <c r="CFL237" s="269"/>
      <c r="CFM237" s="269"/>
      <c r="CFN237" s="269"/>
      <c r="CFO237" s="269"/>
      <c r="CFP237" s="269"/>
      <c r="CFQ237" s="269"/>
      <c r="CFR237" s="269"/>
      <c r="CFS237" s="269"/>
      <c r="CFT237" s="269"/>
      <c r="CFU237" s="269"/>
      <c r="CFV237" s="269"/>
      <c r="CFW237" s="269"/>
      <c r="CFX237" s="269"/>
      <c r="CFY237" s="269"/>
      <c r="CFZ237" s="269"/>
      <c r="CGA237" s="269"/>
      <c r="CGB237" s="269"/>
      <c r="CGC237" s="269"/>
      <c r="CGD237" s="269"/>
      <c r="CGE237" s="269"/>
      <c r="CGF237" s="269"/>
      <c r="CGG237" s="269"/>
      <c r="CGH237" s="269"/>
      <c r="CGI237" s="269"/>
      <c r="CGJ237" s="269"/>
      <c r="CGK237" s="269"/>
      <c r="CGL237" s="269"/>
      <c r="CGM237" s="269"/>
      <c r="CGN237" s="269"/>
      <c r="CGO237" s="269"/>
      <c r="CGP237" s="269"/>
      <c r="CGQ237" s="269"/>
      <c r="CGR237" s="269"/>
      <c r="CGS237" s="269"/>
      <c r="CGT237" s="269"/>
      <c r="CGU237" s="269"/>
      <c r="CGV237" s="269"/>
      <c r="CGW237" s="269"/>
      <c r="CGX237" s="269"/>
      <c r="CGY237" s="269"/>
      <c r="CGZ237" s="269"/>
      <c r="CHA237" s="269"/>
      <c r="CHB237" s="269"/>
      <c r="CHC237" s="269"/>
      <c r="CHD237" s="269"/>
      <c r="CHE237" s="269"/>
      <c r="CHF237" s="269"/>
      <c r="CHG237" s="269"/>
      <c r="CHH237" s="269"/>
      <c r="CHI237" s="269"/>
      <c r="CHJ237" s="269"/>
      <c r="CHK237" s="269"/>
      <c r="CHL237" s="269"/>
      <c r="CHM237" s="269"/>
      <c r="CHN237" s="269"/>
      <c r="CHO237" s="269"/>
      <c r="CHP237" s="269"/>
      <c r="CHQ237" s="269"/>
      <c r="CHR237" s="269"/>
      <c r="CHS237" s="269"/>
      <c r="CHT237" s="269"/>
      <c r="CHU237" s="269"/>
      <c r="CHV237" s="269"/>
      <c r="CHW237" s="269"/>
      <c r="CHX237" s="269"/>
      <c r="CHY237" s="269"/>
      <c r="CHZ237" s="269"/>
      <c r="CIA237" s="269"/>
      <c r="CIB237" s="269"/>
      <c r="CIC237" s="269"/>
      <c r="CID237" s="269"/>
      <c r="CIE237" s="269"/>
      <c r="CIF237" s="269"/>
      <c r="CIG237" s="269"/>
      <c r="CIH237" s="269"/>
      <c r="CII237" s="269"/>
      <c r="CIJ237" s="269"/>
      <c r="CIK237" s="269"/>
      <c r="CIL237" s="269"/>
      <c r="CIM237" s="269"/>
      <c r="CIN237" s="269"/>
      <c r="CIO237" s="269"/>
      <c r="CIP237" s="269"/>
      <c r="CIQ237" s="269"/>
      <c r="CIR237" s="269"/>
      <c r="CIS237" s="269"/>
      <c r="CIT237" s="269"/>
      <c r="CIU237" s="269"/>
      <c r="CIV237" s="269"/>
      <c r="CIW237" s="269"/>
      <c r="CIX237" s="269"/>
      <c r="CIY237" s="269"/>
      <c r="CIZ237" s="269"/>
      <c r="CJA237" s="269"/>
      <c r="CJB237" s="269"/>
      <c r="CJC237" s="269"/>
      <c r="CJD237" s="269"/>
      <c r="CJE237" s="269"/>
      <c r="CJF237" s="269"/>
      <c r="CJG237" s="269"/>
      <c r="CJH237" s="269"/>
      <c r="CJI237" s="269"/>
      <c r="CJJ237" s="269"/>
      <c r="CJK237" s="269"/>
      <c r="CJL237" s="269"/>
      <c r="CJM237" s="269"/>
      <c r="CJN237" s="269"/>
      <c r="CJO237" s="269"/>
      <c r="CJP237" s="269"/>
      <c r="CJQ237" s="269"/>
      <c r="CJR237" s="269"/>
      <c r="CJS237" s="269"/>
      <c r="CJT237" s="269"/>
      <c r="CJU237" s="269"/>
      <c r="CJV237" s="269"/>
      <c r="CJW237" s="269"/>
      <c r="CJX237" s="269"/>
      <c r="CJY237" s="269"/>
      <c r="CJZ237" s="269"/>
      <c r="CKA237" s="269"/>
      <c r="CKB237" s="269"/>
      <c r="CKC237" s="269"/>
      <c r="CKD237" s="269"/>
      <c r="CKE237" s="269"/>
      <c r="CKF237" s="269"/>
      <c r="CKG237" s="269"/>
      <c r="CKH237" s="269"/>
      <c r="CKI237" s="269"/>
      <c r="CKJ237" s="269"/>
      <c r="CKK237" s="269"/>
      <c r="CKL237" s="269"/>
      <c r="CKM237" s="269"/>
      <c r="CKN237" s="269"/>
      <c r="CKO237" s="269"/>
      <c r="CKP237" s="269"/>
      <c r="CKQ237" s="269"/>
      <c r="CKR237" s="269"/>
      <c r="CKS237" s="269"/>
      <c r="CKT237" s="269"/>
      <c r="CKU237" s="269"/>
      <c r="CKV237" s="269"/>
      <c r="CKW237" s="269"/>
      <c r="CKX237" s="269"/>
      <c r="CKY237" s="269"/>
      <c r="CKZ237" s="269"/>
      <c r="CLA237" s="269"/>
      <c r="CLB237" s="269"/>
      <c r="CLC237" s="269"/>
      <c r="CLD237" s="269"/>
      <c r="CLE237" s="269"/>
      <c r="CLF237" s="269"/>
      <c r="CLG237" s="269"/>
      <c r="CLH237" s="269"/>
      <c r="CLI237" s="269"/>
      <c r="CLJ237" s="269"/>
      <c r="CLK237" s="269"/>
      <c r="CLL237" s="269"/>
      <c r="CLM237" s="269"/>
      <c r="CLN237" s="269"/>
      <c r="CLO237" s="269"/>
      <c r="CLP237" s="269"/>
      <c r="CLQ237" s="269"/>
      <c r="CLR237" s="269"/>
      <c r="CLS237" s="269"/>
      <c r="CLT237" s="269"/>
      <c r="CLU237" s="269"/>
      <c r="CLV237" s="269"/>
      <c r="CLW237" s="269"/>
      <c r="CLX237" s="269"/>
      <c r="CLY237" s="269"/>
      <c r="CLZ237" s="269"/>
      <c r="CMA237" s="269"/>
      <c r="CMB237" s="269"/>
      <c r="CMC237" s="269"/>
      <c r="CMD237" s="269"/>
      <c r="CME237" s="269"/>
      <c r="CMF237" s="269"/>
      <c r="CMG237" s="269"/>
      <c r="CMH237" s="269"/>
      <c r="CMI237" s="269"/>
      <c r="CMJ237" s="269"/>
      <c r="CMK237" s="269"/>
      <c r="CML237" s="269"/>
      <c r="CMM237" s="269"/>
      <c r="CMN237" s="269"/>
      <c r="CMO237" s="269"/>
      <c r="CMP237" s="269"/>
      <c r="CMQ237" s="269"/>
      <c r="CMR237" s="269"/>
      <c r="CMS237" s="269"/>
      <c r="CMT237" s="269"/>
      <c r="CMU237" s="269"/>
      <c r="CMV237" s="269"/>
      <c r="CMW237" s="269"/>
      <c r="CMX237" s="269"/>
      <c r="CMY237" s="269"/>
      <c r="CMZ237" s="269"/>
      <c r="CNA237" s="269"/>
      <c r="CNB237" s="269"/>
      <c r="CNC237" s="269"/>
      <c r="CND237" s="269"/>
      <c r="CNE237" s="269"/>
      <c r="CNF237" s="269"/>
      <c r="CNG237" s="269"/>
      <c r="CNH237" s="269"/>
      <c r="CNI237" s="269"/>
      <c r="CNJ237" s="269"/>
      <c r="CNK237" s="269"/>
      <c r="CNL237" s="269"/>
      <c r="CNM237" s="269"/>
      <c r="CNN237" s="269"/>
      <c r="CNO237" s="269"/>
      <c r="CNP237" s="269"/>
      <c r="CNQ237" s="269"/>
      <c r="CNR237" s="269"/>
      <c r="CNS237" s="269"/>
      <c r="CNT237" s="269"/>
      <c r="CNU237" s="269"/>
      <c r="CNV237" s="269"/>
      <c r="CNW237" s="269"/>
      <c r="CNX237" s="269"/>
      <c r="CNY237" s="269"/>
      <c r="CNZ237" s="269"/>
      <c r="COA237" s="269"/>
      <c r="COB237" s="269"/>
      <c r="COC237" s="269"/>
      <c r="COD237" s="269"/>
      <c r="COE237" s="269"/>
      <c r="COF237" s="269"/>
      <c r="COG237" s="269"/>
      <c r="COH237" s="269"/>
      <c r="COI237" s="269"/>
      <c r="COJ237" s="269"/>
      <c r="COK237" s="269"/>
      <c r="COL237" s="269"/>
      <c r="COM237" s="269"/>
      <c r="CON237" s="269"/>
      <c r="COO237" s="269"/>
      <c r="COP237" s="269"/>
      <c r="COQ237" s="269"/>
      <c r="COR237" s="269"/>
      <c r="COS237" s="269"/>
      <c r="COT237" s="269"/>
      <c r="COU237" s="269"/>
      <c r="COV237" s="269"/>
      <c r="COW237" s="269"/>
      <c r="COX237" s="269"/>
      <c r="COY237" s="269"/>
      <c r="COZ237" s="269"/>
      <c r="CPA237" s="269"/>
      <c r="CPB237" s="269"/>
      <c r="CPC237" s="269"/>
      <c r="CPD237" s="269"/>
      <c r="CPE237" s="269"/>
      <c r="CPF237" s="269"/>
      <c r="CPG237" s="269"/>
      <c r="CPH237" s="269"/>
      <c r="CPI237" s="269"/>
      <c r="CPJ237" s="269"/>
      <c r="CPK237" s="269"/>
      <c r="CPL237" s="269"/>
      <c r="CPM237" s="269"/>
      <c r="CPN237" s="269"/>
      <c r="CPO237" s="269"/>
      <c r="CPP237" s="269"/>
      <c r="CPQ237" s="269"/>
      <c r="CPR237" s="269"/>
      <c r="CPS237" s="269"/>
      <c r="CPT237" s="269"/>
      <c r="CPU237" s="269"/>
      <c r="CPV237" s="269"/>
      <c r="CPW237" s="269"/>
      <c r="CPX237" s="269"/>
      <c r="CPY237" s="269"/>
      <c r="CPZ237" s="269"/>
      <c r="CQA237" s="269"/>
      <c r="CQB237" s="269"/>
      <c r="CQC237" s="269"/>
      <c r="CQD237" s="269"/>
      <c r="CQE237" s="269"/>
      <c r="CQF237" s="269"/>
      <c r="CQG237" s="269"/>
      <c r="CQH237" s="269"/>
      <c r="CQI237" s="269"/>
      <c r="CQJ237" s="269"/>
      <c r="CQK237" s="269"/>
      <c r="CQL237" s="269"/>
      <c r="CQM237" s="269"/>
      <c r="CQN237" s="269"/>
      <c r="CQO237" s="269"/>
      <c r="CQP237" s="269"/>
      <c r="CQQ237" s="269"/>
      <c r="CQR237" s="269"/>
      <c r="CQS237" s="269"/>
      <c r="CQT237" s="269"/>
      <c r="CQU237" s="269"/>
      <c r="CQV237" s="269"/>
      <c r="CQW237" s="269"/>
      <c r="CQX237" s="269"/>
      <c r="CQY237" s="269"/>
      <c r="CQZ237" s="269"/>
      <c r="CRA237" s="269"/>
      <c r="CRB237" s="269"/>
      <c r="CRC237" s="269"/>
      <c r="CRD237" s="269"/>
      <c r="CRE237" s="269"/>
      <c r="CRF237" s="269"/>
      <c r="CRG237" s="269"/>
      <c r="CRH237" s="269"/>
      <c r="CRI237" s="269"/>
      <c r="CRJ237" s="269"/>
      <c r="CRK237" s="269"/>
      <c r="CRL237" s="269"/>
      <c r="CRM237" s="269"/>
      <c r="CRN237" s="269"/>
      <c r="CRO237" s="269"/>
      <c r="CRP237" s="269"/>
      <c r="CRQ237" s="269"/>
      <c r="CRR237" s="269"/>
      <c r="CRS237" s="269"/>
      <c r="CRT237" s="269"/>
      <c r="CRU237" s="269"/>
      <c r="CRV237" s="269"/>
      <c r="CRW237" s="269"/>
      <c r="CRX237" s="269"/>
      <c r="CRY237" s="269"/>
      <c r="CRZ237" s="269"/>
      <c r="CSA237" s="269"/>
      <c r="CSB237" s="269"/>
      <c r="CSC237" s="269"/>
      <c r="CSD237" s="269"/>
      <c r="CSE237" s="269"/>
      <c r="CSF237" s="269"/>
      <c r="CSG237" s="269"/>
      <c r="CSH237" s="269"/>
      <c r="CSI237" s="269"/>
      <c r="CSJ237" s="269"/>
      <c r="CSK237" s="269"/>
      <c r="CSL237" s="269"/>
      <c r="CSM237" s="269"/>
      <c r="CSN237" s="269"/>
      <c r="CSO237" s="269"/>
      <c r="CSP237" s="269"/>
      <c r="CSQ237" s="269"/>
      <c r="CSR237" s="269"/>
      <c r="CSS237" s="269"/>
      <c r="CST237" s="269"/>
      <c r="CSU237" s="269"/>
      <c r="CSV237" s="269"/>
      <c r="CSW237" s="269"/>
      <c r="CSX237" s="269"/>
      <c r="CSY237" s="269"/>
      <c r="CSZ237" s="269"/>
      <c r="CTA237" s="269"/>
      <c r="CTB237" s="269"/>
      <c r="CTC237" s="269"/>
      <c r="CTD237" s="269"/>
      <c r="CTE237" s="269"/>
      <c r="CTF237" s="269"/>
      <c r="CTG237" s="269"/>
      <c r="CTH237" s="269"/>
      <c r="CTI237" s="269"/>
      <c r="CTJ237" s="269"/>
      <c r="CTK237" s="269"/>
      <c r="CTL237" s="269"/>
      <c r="CTM237" s="269"/>
      <c r="CTN237" s="269"/>
      <c r="CTO237" s="269"/>
      <c r="CTP237" s="269"/>
      <c r="CTQ237" s="269"/>
      <c r="CTR237" s="269"/>
      <c r="CTS237" s="269"/>
      <c r="CTT237" s="269"/>
      <c r="CTU237" s="269"/>
      <c r="CTV237" s="269"/>
      <c r="CTW237" s="269"/>
      <c r="CTX237" s="269"/>
      <c r="CTY237" s="269"/>
      <c r="CTZ237" s="269"/>
      <c r="CUA237" s="269"/>
      <c r="CUB237" s="269"/>
      <c r="CUC237" s="269"/>
      <c r="CUD237" s="269"/>
      <c r="CUE237" s="269"/>
      <c r="CUF237" s="269"/>
      <c r="CUG237" s="269"/>
      <c r="CUH237" s="269"/>
      <c r="CUI237" s="269"/>
      <c r="CUJ237" s="269"/>
      <c r="CUK237" s="269"/>
      <c r="CUL237" s="269"/>
      <c r="CUM237" s="269"/>
      <c r="CUN237" s="269"/>
      <c r="CUO237" s="269"/>
      <c r="CUP237" s="269"/>
      <c r="CUQ237" s="269"/>
      <c r="CUR237" s="269"/>
      <c r="CUS237" s="269"/>
      <c r="CUT237" s="269"/>
      <c r="CUU237" s="269"/>
      <c r="CUV237" s="269"/>
      <c r="CUW237" s="269"/>
      <c r="CUX237" s="269"/>
      <c r="CUY237" s="269"/>
      <c r="CUZ237" s="269"/>
      <c r="CVA237" s="269"/>
      <c r="CVB237" s="269"/>
      <c r="CVC237" s="269"/>
      <c r="CVD237" s="269"/>
      <c r="CVE237" s="269"/>
      <c r="CVF237" s="269"/>
      <c r="CVG237" s="269"/>
      <c r="CVH237" s="269"/>
      <c r="CVI237" s="269"/>
      <c r="CVJ237" s="269"/>
      <c r="CVK237" s="269"/>
      <c r="CVL237" s="269"/>
      <c r="CVM237" s="269"/>
      <c r="CVN237" s="269"/>
      <c r="CVO237" s="269"/>
      <c r="CVP237" s="269"/>
      <c r="CVQ237" s="269"/>
      <c r="CVR237" s="269"/>
      <c r="CVS237" s="269"/>
      <c r="CVT237" s="269"/>
      <c r="CVU237" s="269"/>
      <c r="CVV237" s="269"/>
      <c r="CVW237" s="269"/>
      <c r="CVX237" s="269"/>
      <c r="CVY237" s="269"/>
      <c r="CVZ237" s="269"/>
      <c r="CWA237" s="269"/>
      <c r="CWB237" s="269"/>
      <c r="CWC237" s="269"/>
      <c r="CWD237" s="269"/>
      <c r="CWE237" s="269"/>
      <c r="CWF237" s="269"/>
      <c r="CWG237" s="269"/>
      <c r="CWH237" s="269"/>
      <c r="CWI237" s="269"/>
      <c r="CWJ237" s="269"/>
      <c r="CWK237" s="269"/>
      <c r="CWL237" s="269"/>
      <c r="CWM237" s="269"/>
      <c r="CWN237" s="269"/>
      <c r="CWO237" s="269"/>
      <c r="CWP237" s="269"/>
      <c r="CWQ237" s="269"/>
      <c r="CWR237" s="269"/>
      <c r="CWS237" s="269"/>
      <c r="CWT237" s="269"/>
      <c r="CWU237" s="269"/>
      <c r="CWV237" s="269"/>
      <c r="CWW237" s="269"/>
      <c r="CWX237" s="269"/>
      <c r="CWY237" s="269"/>
      <c r="CWZ237" s="269"/>
      <c r="CXA237" s="269"/>
      <c r="CXB237" s="269"/>
      <c r="CXC237" s="269"/>
      <c r="CXD237" s="269"/>
      <c r="CXE237" s="269"/>
      <c r="CXF237" s="269"/>
      <c r="CXG237" s="269"/>
      <c r="CXH237" s="269"/>
      <c r="CXI237" s="269"/>
      <c r="CXJ237" s="269"/>
      <c r="CXK237" s="269"/>
      <c r="CXL237" s="269"/>
      <c r="CXM237" s="269"/>
      <c r="CXN237" s="269"/>
      <c r="CXO237" s="269"/>
      <c r="CXP237" s="269"/>
      <c r="CXQ237" s="269"/>
      <c r="CXR237" s="269"/>
      <c r="CXS237" s="269"/>
      <c r="CXT237" s="269"/>
      <c r="CXU237" s="269"/>
      <c r="CXV237" s="269"/>
      <c r="CXW237" s="269"/>
      <c r="CXX237" s="269"/>
      <c r="CXY237" s="269"/>
      <c r="CXZ237" s="269"/>
      <c r="CYA237" s="269"/>
      <c r="CYB237" s="269"/>
      <c r="CYC237" s="269"/>
      <c r="CYD237" s="269"/>
      <c r="CYE237" s="269"/>
      <c r="CYF237" s="269"/>
      <c r="CYG237" s="269"/>
      <c r="CYH237" s="269"/>
      <c r="CYI237" s="269"/>
      <c r="CYJ237" s="269"/>
      <c r="CYK237" s="269"/>
      <c r="CYL237" s="269"/>
      <c r="CYM237" s="269"/>
      <c r="CYN237" s="269"/>
      <c r="CYO237" s="269"/>
      <c r="CYP237" s="269"/>
      <c r="CYQ237" s="269"/>
      <c r="CYR237" s="269"/>
      <c r="CYS237" s="269"/>
      <c r="CYT237" s="269"/>
      <c r="CYU237" s="269"/>
      <c r="CYV237" s="269"/>
      <c r="CYW237" s="269"/>
      <c r="CYX237" s="269"/>
      <c r="CYY237" s="269"/>
      <c r="CYZ237" s="269"/>
      <c r="CZA237" s="269"/>
      <c r="CZB237" s="269"/>
      <c r="CZC237" s="269"/>
      <c r="CZD237" s="269"/>
      <c r="CZE237" s="269"/>
      <c r="CZF237" s="269"/>
      <c r="CZG237" s="269"/>
      <c r="CZH237" s="269"/>
      <c r="CZI237" s="269"/>
      <c r="CZJ237" s="269"/>
      <c r="CZK237" s="269"/>
      <c r="CZL237" s="269"/>
      <c r="CZM237" s="269"/>
      <c r="CZN237" s="269"/>
      <c r="CZO237" s="269"/>
      <c r="CZP237" s="269"/>
      <c r="CZQ237" s="269"/>
      <c r="CZR237" s="269"/>
      <c r="CZS237" s="269"/>
      <c r="CZT237" s="269"/>
      <c r="CZU237" s="269"/>
      <c r="CZV237" s="269"/>
      <c r="CZW237" s="269"/>
      <c r="CZX237" s="269"/>
      <c r="CZY237" s="269"/>
      <c r="CZZ237" s="269"/>
      <c r="DAA237" s="269"/>
      <c r="DAB237" s="269"/>
      <c r="DAC237" s="269"/>
      <c r="DAD237" s="269"/>
      <c r="DAE237" s="269"/>
      <c r="DAF237" s="269"/>
      <c r="DAG237" s="269"/>
      <c r="DAH237" s="269"/>
      <c r="DAI237" s="269"/>
      <c r="DAJ237" s="269"/>
      <c r="DAK237" s="269"/>
      <c r="DAL237" s="269"/>
      <c r="DAM237" s="269"/>
      <c r="DAN237" s="269"/>
      <c r="DAO237" s="269"/>
      <c r="DAP237" s="269"/>
      <c r="DAQ237" s="269"/>
      <c r="DAR237" s="269"/>
      <c r="DAS237" s="269"/>
      <c r="DAT237" s="269"/>
      <c r="DAU237" s="269"/>
      <c r="DAV237" s="269"/>
      <c r="DAW237" s="269"/>
      <c r="DAX237" s="269"/>
      <c r="DAY237" s="269"/>
      <c r="DAZ237" s="269"/>
      <c r="DBA237" s="269"/>
      <c r="DBB237" s="269"/>
      <c r="DBC237" s="269"/>
      <c r="DBD237" s="269"/>
      <c r="DBE237" s="269"/>
      <c r="DBF237" s="269"/>
      <c r="DBG237" s="269"/>
      <c r="DBH237" s="269"/>
      <c r="DBI237" s="269"/>
      <c r="DBJ237" s="269"/>
      <c r="DBK237" s="269"/>
      <c r="DBL237" s="269"/>
      <c r="DBM237" s="269"/>
      <c r="DBN237" s="269"/>
      <c r="DBO237" s="269"/>
      <c r="DBP237" s="269"/>
      <c r="DBQ237" s="269"/>
      <c r="DBR237" s="269"/>
      <c r="DBS237" s="269"/>
      <c r="DBT237" s="269"/>
      <c r="DBU237" s="269"/>
      <c r="DBV237" s="269"/>
      <c r="DBW237" s="269"/>
      <c r="DBX237" s="269"/>
      <c r="DBY237" s="269"/>
      <c r="DBZ237" s="269"/>
      <c r="DCA237" s="269"/>
      <c r="DCB237" s="269"/>
      <c r="DCC237" s="269"/>
      <c r="DCD237" s="269"/>
      <c r="DCE237" s="269"/>
      <c r="DCF237" s="269"/>
      <c r="DCG237" s="269"/>
      <c r="DCH237" s="269"/>
      <c r="DCI237" s="269"/>
      <c r="DCJ237" s="269"/>
      <c r="DCK237" s="269"/>
      <c r="DCL237" s="269"/>
      <c r="DCM237" s="269"/>
      <c r="DCN237" s="269"/>
      <c r="DCO237" s="269"/>
      <c r="DCP237" s="269"/>
      <c r="DCQ237" s="269"/>
      <c r="DCR237" s="269"/>
      <c r="DCS237" s="269"/>
      <c r="DCT237" s="269"/>
      <c r="DCU237" s="269"/>
      <c r="DCV237" s="269"/>
      <c r="DCW237" s="269"/>
      <c r="DCX237" s="269"/>
      <c r="DCY237" s="269"/>
      <c r="DCZ237" s="269"/>
      <c r="DDA237" s="269"/>
      <c r="DDB237" s="269"/>
      <c r="DDC237" s="269"/>
      <c r="DDD237" s="269"/>
      <c r="DDE237" s="269"/>
      <c r="DDF237" s="269"/>
      <c r="DDG237" s="269"/>
      <c r="DDH237" s="269"/>
      <c r="DDI237" s="269"/>
      <c r="DDJ237" s="269"/>
      <c r="DDK237" s="269"/>
      <c r="DDL237" s="269"/>
      <c r="DDM237" s="269"/>
      <c r="DDN237" s="269"/>
      <c r="DDO237" s="269"/>
      <c r="DDP237" s="269"/>
      <c r="DDQ237" s="269"/>
      <c r="DDR237" s="269"/>
      <c r="DDS237" s="269"/>
      <c r="DDT237" s="269"/>
      <c r="DDU237" s="269"/>
      <c r="DDV237" s="269"/>
      <c r="DDW237" s="269"/>
      <c r="DDX237" s="269"/>
      <c r="DDY237" s="269"/>
      <c r="DDZ237" s="269"/>
      <c r="DEA237" s="269"/>
      <c r="DEB237" s="269"/>
      <c r="DEC237" s="269"/>
      <c r="DED237" s="269"/>
      <c r="DEE237" s="269"/>
      <c r="DEF237" s="269"/>
      <c r="DEG237" s="269"/>
      <c r="DEH237" s="269"/>
      <c r="DEI237" s="269"/>
      <c r="DEJ237" s="269"/>
      <c r="DEK237" s="269"/>
      <c r="DEL237" s="269"/>
      <c r="DEM237" s="269"/>
      <c r="DEN237" s="269"/>
      <c r="DEO237" s="269"/>
      <c r="DEP237" s="269"/>
      <c r="DEQ237" s="269"/>
      <c r="DER237" s="269"/>
      <c r="DES237" s="269"/>
      <c r="DET237" s="269"/>
      <c r="DEU237" s="269"/>
      <c r="DEV237" s="269"/>
      <c r="DEW237" s="269"/>
      <c r="DEX237" s="269"/>
      <c r="DEY237" s="269"/>
      <c r="DEZ237" s="269"/>
      <c r="DFA237" s="269"/>
      <c r="DFB237" s="269"/>
      <c r="DFC237" s="269"/>
      <c r="DFD237" s="269"/>
      <c r="DFE237" s="269"/>
      <c r="DFF237" s="269"/>
      <c r="DFG237" s="269"/>
      <c r="DFH237" s="269"/>
      <c r="DFI237" s="269"/>
      <c r="DFJ237" s="269"/>
      <c r="DFK237" s="269"/>
      <c r="DFL237" s="269"/>
      <c r="DFM237" s="269"/>
      <c r="DFN237" s="269"/>
      <c r="DFO237" s="269"/>
      <c r="DFP237" s="269"/>
      <c r="DFQ237" s="269"/>
      <c r="DFR237" s="269"/>
      <c r="DFS237" s="269"/>
      <c r="DFT237" s="269"/>
      <c r="DFU237" s="269"/>
      <c r="DFV237" s="269"/>
      <c r="DFW237" s="269"/>
      <c r="DFX237" s="269"/>
      <c r="DFY237" s="269"/>
      <c r="DFZ237" s="269"/>
      <c r="DGA237" s="269"/>
      <c r="DGB237" s="269"/>
      <c r="DGC237" s="269"/>
      <c r="DGD237" s="269"/>
      <c r="DGE237" s="269"/>
      <c r="DGF237" s="269"/>
      <c r="DGG237" s="269"/>
      <c r="DGH237" s="269"/>
      <c r="DGI237" s="269"/>
      <c r="DGJ237" s="269"/>
      <c r="DGK237" s="269"/>
      <c r="DGL237" s="269"/>
      <c r="DGM237" s="269"/>
      <c r="DGN237" s="269"/>
      <c r="DGO237" s="269"/>
      <c r="DGP237" s="269"/>
      <c r="DGQ237" s="269"/>
      <c r="DGR237" s="269"/>
      <c r="DGS237" s="269"/>
      <c r="DGT237" s="269"/>
      <c r="DGU237" s="269"/>
      <c r="DGV237" s="269"/>
      <c r="DGW237" s="269"/>
      <c r="DGX237" s="269"/>
      <c r="DGY237" s="269"/>
      <c r="DGZ237" s="269"/>
      <c r="DHA237" s="269"/>
      <c r="DHB237" s="269"/>
      <c r="DHC237" s="269"/>
      <c r="DHD237" s="269"/>
      <c r="DHE237" s="269"/>
      <c r="DHF237" s="269"/>
      <c r="DHG237" s="269"/>
      <c r="DHH237" s="269"/>
      <c r="DHI237" s="269"/>
      <c r="DHJ237" s="269"/>
      <c r="DHK237" s="269"/>
      <c r="DHL237" s="269"/>
      <c r="DHM237" s="269"/>
      <c r="DHN237" s="269"/>
      <c r="DHO237" s="269"/>
      <c r="DHP237" s="269"/>
      <c r="DHQ237" s="269"/>
      <c r="DHR237" s="269"/>
      <c r="DHS237" s="269"/>
      <c r="DHT237" s="269"/>
      <c r="DHU237" s="269"/>
      <c r="DHV237" s="269"/>
      <c r="DHW237" s="269"/>
      <c r="DHX237" s="269"/>
      <c r="DHY237" s="269"/>
      <c r="DHZ237" s="269"/>
      <c r="DIA237" s="269"/>
      <c r="DIB237" s="269"/>
      <c r="DIC237" s="269"/>
      <c r="DID237" s="269"/>
      <c r="DIE237" s="269"/>
      <c r="DIF237" s="269"/>
      <c r="DIG237" s="269"/>
      <c r="DIH237" s="269"/>
      <c r="DII237" s="269"/>
      <c r="DIJ237" s="269"/>
      <c r="DIK237" s="269"/>
      <c r="DIL237" s="269"/>
      <c r="DIM237" s="269"/>
      <c r="DIN237" s="269"/>
      <c r="DIO237" s="269"/>
      <c r="DIP237" s="269"/>
      <c r="DIQ237" s="269"/>
      <c r="DIR237" s="269"/>
      <c r="DIS237" s="269"/>
      <c r="DIT237" s="269"/>
      <c r="DIU237" s="269"/>
      <c r="DIV237" s="269"/>
      <c r="DIW237" s="269"/>
      <c r="DIX237" s="269"/>
      <c r="DIY237" s="269"/>
      <c r="DIZ237" s="269"/>
      <c r="DJA237" s="269"/>
      <c r="DJB237" s="269"/>
      <c r="DJC237" s="269"/>
      <c r="DJD237" s="269"/>
      <c r="DJE237" s="269"/>
      <c r="DJF237" s="269"/>
      <c r="DJG237" s="269"/>
      <c r="DJH237" s="269"/>
      <c r="DJI237" s="269"/>
      <c r="DJJ237" s="269"/>
      <c r="DJK237" s="269"/>
      <c r="DJL237" s="269"/>
      <c r="DJM237" s="269"/>
      <c r="DJN237" s="269"/>
      <c r="DJO237" s="269"/>
      <c r="DJP237" s="269"/>
      <c r="DJQ237" s="269"/>
      <c r="DJR237" s="269"/>
      <c r="DJS237" s="269"/>
      <c r="DJT237" s="269"/>
      <c r="DJU237" s="269"/>
      <c r="DJV237" s="269"/>
      <c r="DJW237" s="269"/>
      <c r="DJX237" s="269"/>
      <c r="DJY237" s="269"/>
      <c r="DJZ237" s="269"/>
      <c r="DKA237" s="269"/>
      <c r="DKB237" s="269"/>
      <c r="DKC237" s="269"/>
      <c r="DKD237" s="269"/>
      <c r="DKE237" s="269"/>
      <c r="DKF237" s="269"/>
      <c r="DKG237" s="269"/>
      <c r="DKH237" s="269"/>
      <c r="DKI237" s="269"/>
      <c r="DKJ237" s="269"/>
      <c r="DKK237" s="269"/>
      <c r="DKL237" s="269"/>
      <c r="DKM237" s="269"/>
      <c r="DKN237" s="269"/>
      <c r="DKO237" s="269"/>
      <c r="DKP237" s="269"/>
      <c r="DKQ237" s="269"/>
      <c r="DKR237" s="269"/>
      <c r="DKS237" s="269"/>
      <c r="DKT237" s="269"/>
      <c r="DKU237" s="269"/>
      <c r="DKV237" s="269"/>
      <c r="DKW237" s="269"/>
      <c r="DKX237" s="269"/>
      <c r="DKY237" s="269"/>
      <c r="DKZ237" s="269"/>
      <c r="DLA237" s="269"/>
      <c r="DLB237" s="269"/>
      <c r="DLC237" s="269"/>
      <c r="DLD237" s="269"/>
      <c r="DLE237" s="269"/>
      <c r="DLF237" s="269"/>
      <c r="DLG237" s="269"/>
      <c r="DLH237" s="269"/>
      <c r="DLI237" s="269"/>
      <c r="DLJ237" s="269"/>
      <c r="DLK237" s="269"/>
      <c r="DLL237" s="269"/>
      <c r="DLM237" s="269"/>
      <c r="DLN237" s="269"/>
      <c r="DLO237" s="269"/>
      <c r="DLP237" s="269"/>
      <c r="DLQ237" s="269"/>
      <c r="DLR237" s="269"/>
      <c r="DLS237" s="269"/>
      <c r="DLT237" s="269"/>
      <c r="DLU237" s="269"/>
      <c r="DLV237" s="269"/>
      <c r="DLW237" s="269"/>
      <c r="DLX237" s="269"/>
      <c r="DLY237" s="269"/>
      <c r="DLZ237" s="269"/>
      <c r="DMA237" s="269"/>
      <c r="DMB237" s="269"/>
      <c r="DMC237" s="269"/>
      <c r="DMD237" s="269"/>
      <c r="DME237" s="269"/>
      <c r="DMF237" s="269"/>
      <c r="DMG237" s="269"/>
      <c r="DMH237" s="269"/>
      <c r="DMI237" s="269"/>
      <c r="DMJ237" s="269"/>
      <c r="DMK237" s="269"/>
      <c r="DML237" s="269"/>
      <c r="DMM237" s="269"/>
      <c r="DMN237" s="269"/>
      <c r="DMO237" s="269"/>
      <c r="DMP237" s="269"/>
      <c r="DMQ237" s="269"/>
      <c r="DMR237" s="269"/>
      <c r="DMS237" s="269"/>
      <c r="DMT237" s="269"/>
      <c r="DMU237" s="269"/>
      <c r="DMV237" s="269"/>
      <c r="DMW237" s="269"/>
      <c r="DMX237" s="269"/>
      <c r="DMY237" s="269"/>
      <c r="DMZ237" s="269"/>
      <c r="DNA237" s="269"/>
      <c r="DNB237" s="269"/>
      <c r="DNC237" s="269"/>
      <c r="DND237" s="269"/>
      <c r="DNE237" s="269"/>
      <c r="DNF237" s="269"/>
      <c r="DNG237" s="269"/>
      <c r="DNH237" s="269"/>
      <c r="DNI237" s="269"/>
      <c r="DNJ237" s="269"/>
      <c r="DNK237" s="269"/>
      <c r="DNL237" s="269"/>
      <c r="DNM237" s="269"/>
      <c r="DNN237" s="269"/>
      <c r="DNO237" s="269"/>
      <c r="DNP237" s="269"/>
      <c r="DNQ237" s="269"/>
      <c r="DNR237" s="269"/>
      <c r="DNS237" s="269"/>
      <c r="DNT237" s="269"/>
      <c r="DNU237" s="269"/>
      <c r="DNV237" s="269"/>
      <c r="DNW237" s="269"/>
      <c r="DNX237" s="269"/>
      <c r="DNY237" s="269"/>
      <c r="DNZ237" s="269"/>
      <c r="DOA237" s="269"/>
      <c r="DOB237" s="269"/>
      <c r="DOC237" s="269"/>
      <c r="DOD237" s="269"/>
      <c r="DOE237" s="269"/>
      <c r="DOF237" s="269"/>
      <c r="DOG237" s="269"/>
      <c r="DOH237" s="269"/>
      <c r="DOI237" s="269"/>
      <c r="DOJ237" s="269"/>
      <c r="DOK237" s="269"/>
      <c r="DOL237" s="269"/>
      <c r="DOM237" s="269"/>
      <c r="DON237" s="269"/>
      <c r="DOO237" s="269"/>
      <c r="DOP237" s="269"/>
      <c r="DOQ237" s="269"/>
      <c r="DOR237" s="269"/>
      <c r="DOS237" s="269"/>
      <c r="DOT237" s="269"/>
      <c r="DOU237" s="269"/>
      <c r="DOV237" s="269"/>
      <c r="DOW237" s="269"/>
      <c r="DOX237" s="269"/>
      <c r="DOY237" s="269"/>
      <c r="DOZ237" s="269"/>
      <c r="DPA237" s="269"/>
      <c r="DPB237" s="269"/>
      <c r="DPC237" s="269"/>
      <c r="DPD237" s="269"/>
      <c r="DPE237" s="269"/>
      <c r="DPF237" s="269"/>
      <c r="DPG237" s="269"/>
      <c r="DPH237" s="269"/>
      <c r="DPI237" s="269"/>
      <c r="DPJ237" s="269"/>
      <c r="DPK237" s="269"/>
      <c r="DPL237" s="269"/>
      <c r="DPM237" s="269"/>
      <c r="DPN237" s="269"/>
      <c r="DPO237" s="269"/>
      <c r="DPP237" s="269"/>
      <c r="DPQ237" s="269"/>
      <c r="DPR237" s="269"/>
      <c r="DPS237" s="269"/>
      <c r="DPT237" s="269"/>
      <c r="DPU237" s="269"/>
      <c r="DPV237" s="269"/>
      <c r="DPW237" s="269"/>
      <c r="DPX237" s="269"/>
      <c r="DPY237" s="269"/>
      <c r="DPZ237" s="269"/>
      <c r="DQA237" s="269"/>
      <c r="DQB237" s="269"/>
      <c r="DQC237" s="269"/>
      <c r="DQD237" s="269"/>
      <c r="DQE237" s="269"/>
      <c r="DQF237" s="269"/>
      <c r="DQG237" s="269"/>
      <c r="DQH237" s="269"/>
      <c r="DQI237" s="269"/>
      <c r="DQJ237" s="269"/>
      <c r="DQK237" s="269"/>
      <c r="DQL237" s="269"/>
      <c r="DQM237" s="269"/>
      <c r="DQN237" s="269"/>
      <c r="DQO237" s="269"/>
      <c r="DQP237" s="269"/>
      <c r="DQQ237" s="269"/>
      <c r="DQR237" s="269"/>
      <c r="DQS237" s="269"/>
      <c r="DQT237" s="269"/>
      <c r="DQU237" s="269"/>
      <c r="DQV237" s="269"/>
      <c r="DQW237" s="269"/>
      <c r="DQX237" s="269"/>
      <c r="DQY237" s="269"/>
      <c r="DQZ237" s="269"/>
      <c r="DRA237" s="269"/>
      <c r="DRB237" s="269"/>
      <c r="DRC237" s="269"/>
      <c r="DRD237" s="269"/>
      <c r="DRE237" s="269"/>
      <c r="DRF237" s="269"/>
      <c r="DRG237" s="269"/>
      <c r="DRH237" s="269"/>
      <c r="DRI237" s="269"/>
      <c r="DRJ237" s="269"/>
      <c r="DRK237" s="269"/>
      <c r="DRL237" s="269"/>
      <c r="DRM237" s="269"/>
      <c r="DRN237" s="269"/>
      <c r="DRO237" s="269"/>
      <c r="DRP237" s="269"/>
      <c r="DRQ237" s="269"/>
      <c r="DRR237" s="269"/>
      <c r="DRS237" s="269"/>
      <c r="DRT237" s="269"/>
      <c r="DRU237" s="269"/>
      <c r="DRV237" s="269"/>
      <c r="DRW237" s="269"/>
      <c r="DRX237" s="269"/>
      <c r="DRY237" s="269"/>
      <c r="DRZ237" s="269"/>
      <c r="DSA237" s="269"/>
      <c r="DSB237" s="269"/>
      <c r="DSC237" s="269"/>
      <c r="DSD237" s="269"/>
      <c r="DSE237" s="269"/>
      <c r="DSF237" s="269"/>
      <c r="DSG237" s="269"/>
      <c r="DSH237" s="269"/>
      <c r="DSI237" s="269"/>
      <c r="DSJ237" s="269"/>
      <c r="DSK237" s="269"/>
      <c r="DSL237" s="269"/>
      <c r="DSM237" s="269"/>
      <c r="DSN237" s="269"/>
      <c r="DSO237" s="269"/>
      <c r="DSP237" s="269"/>
      <c r="DSQ237" s="269"/>
      <c r="DSR237" s="269"/>
      <c r="DSS237" s="269"/>
      <c r="DST237" s="269"/>
      <c r="DSU237" s="269"/>
      <c r="DSV237" s="269"/>
      <c r="DSW237" s="269"/>
      <c r="DSX237" s="269"/>
      <c r="DSY237" s="269"/>
      <c r="DSZ237" s="269"/>
      <c r="DTA237" s="269"/>
      <c r="DTB237" s="269"/>
      <c r="DTC237" s="269"/>
      <c r="DTD237" s="269"/>
      <c r="DTE237" s="269"/>
      <c r="DTF237" s="269"/>
      <c r="DTG237" s="269"/>
      <c r="DTH237" s="269"/>
      <c r="DTI237" s="269"/>
      <c r="DTJ237" s="269"/>
      <c r="DTK237" s="269"/>
      <c r="DTL237" s="269"/>
      <c r="DTM237" s="269"/>
      <c r="DTN237" s="269"/>
      <c r="DTO237" s="269"/>
      <c r="DTP237" s="269"/>
      <c r="DTQ237" s="269"/>
      <c r="DTR237" s="269"/>
      <c r="DTS237" s="269"/>
      <c r="DTT237" s="269"/>
      <c r="DTU237" s="269"/>
      <c r="DTV237" s="269"/>
      <c r="DTW237" s="269"/>
      <c r="DTX237" s="269"/>
      <c r="DTY237" s="269"/>
      <c r="DTZ237" s="269"/>
      <c r="DUA237" s="269"/>
      <c r="DUB237" s="269"/>
      <c r="DUC237" s="269"/>
      <c r="DUD237" s="269"/>
      <c r="DUE237" s="269"/>
      <c r="DUF237" s="269"/>
      <c r="DUG237" s="269"/>
      <c r="DUH237" s="269"/>
      <c r="DUI237" s="269"/>
      <c r="DUJ237" s="269"/>
      <c r="DUK237" s="269"/>
      <c r="DUL237" s="269"/>
      <c r="DUM237" s="269"/>
      <c r="DUN237" s="269"/>
      <c r="DUO237" s="269"/>
      <c r="DUP237" s="269"/>
      <c r="DUQ237" s="269"/>
      <c r="DUR237" s="269"/>
      <c r="DUS237" s="269"/>
      <c r="DUT237" s="269"/>
      <c r="DUU237" s="269"/>
      <c r="DUV237" s="269"/>
      <c r="DUW237" s="269"/>
      <c r="DUX237" s="269"/>
      <c r="DUY237" s="269"/>
      <c r="DUZ237" s="269"/>
      <c r="DVA237" s="269"/>
      <c r="DVB237" s="269"/>
      <c r="DVC237" s="269"/>
      <c r="DVD237" s="269"/>
      <c r="DVE237" s="269"/>
      <c r="DVF237" s="269"/>
      <c r="DVG237" s="269"/>
      <c r="DVH237" s="269"/>
      <c r="DVI237" s="269"/>
      <c r="DVJ237" s="269"/>
      <c r="DVK237" s="269"/>
      <c r="DVL237" s="269"/>
      <c r="DVM237" s="269"/>
      <c r="DVN237" s="269"/>
      <c r="DVO237" s="269"/>
      <c r="DVP237" s="269"/>
      <c r="DVQ237" s="269"/>
      <c r="DVR237" s="269"/>
      <c r="DVS237" s="269"/>
      <c r="DVT237" s="269"/>
      <c r="DVU237" s="269"/>
      <c r="DVV237" s="269"/>
      <c r="DVW237" s="269"/>
      <c r="DVX237" s="269"/>
      <c r="DVY237" s="269"/>
      <c r="DVZ237" s="269"/>
      <c r="DWA237" s="269"/>
      <c r="DWB237" s="269"/>
      <c r="DWC237" s="269"/>
      <c r="DWD237" s="269"/>
      <c r="DWE237" s="269"/>
      <c r="DWF237" s="269"/>
      <c r="DWG237" s="269"/>
      <c r="DWH237" s="269"/>
      <c r="DWI237" s="269"/>
      <c r="DWJ237" s="269"/>
      <c r="DWK237" s="269"/>
      <c r="DWL237" s="269"/>
      <c r="DWM237" s="269"/>
      <c r="DWN237" s="269"/>
      <c r="DWO237" s="269"/>
      <c r="DWP237" s="269"/>
      <c r="DWQ237" s="269"/>
      <c r="DWR237" s="269"/>
      <c r="DWS237" s="269"/>
      <c r="DWT237" s="269"/>
      <c r="DWU237" s="269"/>
      <c r="DWV237" s="269"/>
      <c r="DWW237" s="269"/>
      <c r="DWX237" s="269"/>
      <c r="DWY237" s="269"/>
      <c r="DWZ237" s="269"/>
      <c r="DXA237" s="269"/>
      <c r="DXB237" s="269"/>
      <c r="DXC237" s="269"/>
      <c r="DXD237" s="269"/>
      <c r="DXE237" s="269"/>
      <c r="DXF237" s="269"/>
      <c r="DXG237" s="269"/>
      <c r="DXH237" s="269"/>
      <c r="DXI237" s="269"/>
      <c r="DXJ237" s="269"/>
      <c r="DXK237" s="269"/>
      <c r="DXL237" s="269"/>
      <c r="DXM237" s="269"/>
      <c r="DXN237" s="269"/>
      <c r="DXO237" s="269"/>
      <c r="DXP237" s="269"/>
      <c r="DXQ237" s="269"/>
      <c r="DXR237" s="269"/>
      <c r="DXS237" s="269"/>
      <c r="DXT237" s="269"/>
      <c r="DXU237" s="269"/>
      <c r="DXV237" s="269"/>
      <c r="DXW237" s="269"/>
      <c r="DXX237" s="269"/>
      <c r="DXY237" s="269"/>
      <c r="DXZ237" s="269"/>
      <c r="DYA237" s="269"/>
      <c r="DYB237" s="269"/>
      <c r="DYC237" s="269"/>
      <c r="DYD237" s="269"/>
      <c r="DYE237" s="269"/>
      <c r="DYF237" s="269"/>
      <c r="DYG237" s="269"/>
      <c r="DYH237" s="269"/>
      <c r="DYI237" s="269"/>
      <c r="DYJ237" s="269"/>
      <c r="DYK237" s="269"/>
      <c r="DYL237" s="269"/>
      <c r="DYM237" s="269"/>
      <c r="DYN237" s="269"/>
      <c r="DYO237" s="269"/>
      <c r="DYP237" s="269"/>
      <c r="DYQ237" s="269"/>
      <c r="DYR237" s="269"/>
      <c r="DYS237" s="269"/>
      <c r="DYT237" s="269"/>
      <c r="DYU237" s="269"/>
      <c r="DYV237" s="269"/>
      <c r="DYW237" s="269"/>
      <c r="DYX237" s="269"/>
      <c r="DYY237" s="269"/>
      <c r="DYZ237" s="269"/>
      <c r="DZA237" s="269"/>
      <c r="DZB237" s="269"/>
      <c r="DZC237" s="269"/>
      <c r="DZD237" s="269"/>
      <c r="DZE237" s="269"/>
      <c r="DZF237" s="269"/>
      <c r="DZG237" s="269"/>
      <c r="DZH237" s="269"/>
      <c r="DZI237" s="269"/>
      <c r="DZJ237" s="269"/>
      <c r="DZK237" s="269"/>
      <c r="DZL237" s="269"/>
      <c r="DZM237" s="269"/>
      <c r="DZN237" s="269"/>
      <c r="DZO237" s="269"/>
      <c r="DZP237" s="269"/>
      <c r="DZQ237" s="269"/>
      <c r="DZR237" s="269"/>
      <c r="DZS237" s="269"/>
      <c r="DZT237" s="269"/>
      <c r="DZU237" s="269"/>
      <c r="DZV237" s="269"/>
      <c r="DZW237" s="269"/>
      <c r="DZX237" s="269"/>
      <c r="DZY237" s="269"/>
      <c r="DZZ237" s="269"/>
      <c r="EAA237" s="269"/>
      <c r="EAB237" s="269"/>
      <c r="EAC237" s="269"/>
      <c r="EAD237" s="269"/>
      <c r="EAE237" s="269"/>
      <c r="EAF237" s="269"/>
      <c r="EAG237" s="269"/>
      <c r="EAH237" s="269"/>
      <c r="EAI237" s="269"/>
      <c r="EAJ237" s="269"/>
      <c r="EAK237" s="269"/>
      <c r="EAL237" s="269"/>
      <c r="EAM237" s="269"/>
      <c r="EAN237" s="269"/>
      <c r="EAO237" s="269"/>
      <c r="EAP237" s="269"/>
      <c r="EAQ237" s="269"/>
      <c r="EAR237" s="269"/>
      <c r="EAS237" s="269"/>
      <c r="EAT237" s="269"/>
      <c r="EAU237" s="269"/>
      <c r="EAV237" s="269"/>
      <c r="EAW237" s="269"/>
      <c r="EAX237" s="269"/>
      <c r="EAY237" s="269"/>
      <c r="EAZ237" s="269"/>
      <c r="EBA237" s="269"/>
      <c r="EBB237" s="269"/>
      <c r="EBC237" s="269"/>
      <c r="EBD237" s="269"/>
      <c r="EBE237" s="269"/>
      <c r="EBF237" s="269"/>
      <c r="EBG237" s="269"/>
      <c r="EBH237" s="269"/>
      <c r="EBI237" s="269"/>
      <c r="EBJ237" s="269"/>
      <c r="EBK237" s="269"/>
      <c r="EBL237" s="269"/>
      <c r="EBM237" s="269"/>
      <c r="EBN237" s="269"/>
      <c r="EBO237" s="269"/>
      <c r="EBP237" s="269"/>
      <c r="EBQ237" s="269"/>
      <c r="EBR237" s="269"/>
      <c r="EBS237" s="269"/>
      <c r="EBT237" s="269"/>
      <c r="EBU237" s="269"/>
      <c r="EBV237" s="269"/>
      <c r="EBW237" s="269"/>
      <c r="EBX237" s="269"/>
      <c r="EBY237" s="269"/>
      <c r="EBZ237" s="269"/>
      <c r="ECA237" s="269"/>
      <c r="ECB237" s="269"/>
      <c r="ECC237" s="269"/>
      <c r="ECD237" s="269"/>
      <c r="ECE237" s="269"/>
      <c r="ECF237" s="269"/>
      <c r="ECG237" s="269"/>
      <c r="ECH237" s="269"/>
      <c r="ECI237" s="269"/>
      <c r="ECJ237" s="269"/>
      <c r="ECK237" s="269"/>
      <c r="ECL237" s="269"/>
      <c r="ECM237" s="269"/>
      <c r="ECN237" s="269"/>
      <c r="ECO237" s="269"/>
      <c r="ECP237" s="269"/>
      <c r="ECQ237" s="269"/>
      <c r="ECR237" s="269"/>
      <c r="ECS237" s="269"/>
      <c r="ECT237" s="269"/>
      <c r="ECU237" s="269"/>
      <c r="ECV237" s="269"/>
      <c r="ECW237" s="269"/>
      <c r="ECX237" s="269"/>
      <c r="ECY237" s="269"/>
      <c r="ECZ237" s="269"/>
      <c r="EDA237" s="269"/>
      <c r="EDB237" s="269"/>
      <c r="EDC237" s="269"/>
      <c r="EDD237" s="269"/>
      <c r="EDE237" s="269"/>
      <c r="EDF237" s="269"/>
      <c r="EDG237" s="269"/>
      <c r="EDH237" s="269"/>
      <c r="EDI237" s="269"/>
      <c r="EDJ237" s="269"/>
      <c r="EDK237" s="269"/>
      <c r="EDL237" s="269"/>
      <c r="EDM237" s="269"/>
      <c r="EDN237" s="269"/>
      <c r="EDO237" s="269"/>
      <c r="EDP237" s="269"/>
      <c r="EDQ237" s="269"/>
      <c r="EDR237" s="269"/>
      <c r="EDS237" s="269"/>
      <c r="EDT237" s="269"/>
      <c r="EDU237" s="269"/>
      <c r="EDV237" s="269"/>
      <c r="EDW237" s="269"/>
      <c r="EDX237" s="269"/>
      <c r="EDY237" s="269"/>
      <c r="EDZ237" s="269"/>
      <c r="EEA237" s="269"/>
      <c r="EEB237" s="269"/>
      <c r="EEC237" s="269"/>
      <c r="EED237" s="269"/>
      <c r="EEE237" s="269"/>
      <c r="EEF237" s="269"/>
      <c r="EEG237" s="269"/>
      <c r="EEH237" s="269"/>
      <c r="EEI237" s="269"/>
      <c r="EEJ237" s="269"/>
      <c r="EEK237" s="269"/>
      <c r="EEL237" s="269"/>
      <c r="EEM237" s="269"/>
      <c r="EEN237" s="269"/>
      <c r="EEO237" s="269"/>
      <c r="EEP237" s="269"/>
      <c r="EEQ237" s="269"/>
      <c r="EER237" s="269"/>
      <c r="EES237" s="269"/>
      <c r="EET237" s="269"/>
      <c r="EEU237" s="269"/>
      <c r="EEV237" s="269"/>
      <c r="EEW237" s="269"/>
      <c r="EEX237" s="269"/>
      <c r="EEY237" s="269"/>
      <c r="EEZ237" s="269"/>
      <c r="EFA237" s="269"/>
      <c r="EFB237" s="269"/>
      <c r="EFC237" s="269"/>
      <c r="EFD237" s="269"/>
      <c r="EFE237" s="269"/>
      <c r="EFF237" s="269"/>
      <c r="EFG237" s="269"/>
      <c r="EFH237" s="269"/>
      <c r="EFI237" s="269"/>
      <c r="EFJ237" s="269"/>
      <c r="EFK237" s="269"/>
      <c r="EFL237" s="269"/>
      <c r="EFM237" s="269"/>
      <c r="EFN237" s="269"/>
      <c r="EFO237" s="269"/>
      <c r="EFP237" s="269"/>
      <c r="EFQ237" s="269"/>
      <c r="EFR237" s="269"/>
      <c r="EFS237" s="269"/>
      <c r="EFT237" s="269"/>
      <c r="EFU237" s="269"/>
      <c r="EFV237" s="269"/>
      <c r="EFW237" s="269"/>
      <c r="EFX237" s="269"/>
      <c r="EFY237" s="269"/>
      <c r="EFZ237" s="269"/>
      <c r="EGA237" s="269"/>
      <c r="EGB237" s="269"/>
      <c r="EGC237" s="269"/>
      <c r="EGD237" s="269"/>
      <c r="EGE237" s="269"/>
      <c r="EGF237" s="269"/>
      <c r="EGG237" s="269"/>
      <c r="EGH237" s="269"/>
      <c r="EGI237" s="269"/>
      <c r="EGJ237" s="269"/>
      <c r="EGK237" s="269"/>
      <c r="EGL237" s="269"/>
      <c r="EGM237" s="269"/>
      <c r="EGN237" s="269"/>
      <c r="EGO237" s="269"/>
      <c r="EGP237" s="269"/>
      <c r="EGQ237" s="269"/>
      <c r="EGR237" s="269"/>
      <c r="EGS237" s="269"/>
      <c r="EGT237" s="269"/>
      <c r="EGU237" s="269"/>
      <c r="EGV237" s="269"/>
      <c r="EGW237" s="269"/>
      <c r="EGX237" s="269"/>
      <c r="EGY237" s="269"/>
      <c r="EGZ237" s="269"/>
      <c r="EHA237" s="269"/>
      <c r="EHB237" s="269"/>
      <c r="EHC237" s="269"/>
      <c r="EHD237" s="269"/>
      <c r="EHE237" s="269"/>
      <c r="EHF237" s="269"/>
      <c r="EHG237" s="269"/>
      <c r="EHH237" s="269"/>
      <c r="EHI237" s="269"/>
      <c r="EHJ237" s="269"/>
      <c r="EHK237" s="269"/>
      <c r="EHL237" s="269"/>
      <c r="EHM237" s="269"/>
      <c r="EHN237" s="269"/>
      <c r="EHO237" s="269"/>
      <c r="EHP237" s="269"/>
      <c r="EHQ237" s="269"/>
      <c r="EHR237" s="269"/>
      <c r="EHS237" s="269"/>
      <c r="EHT237" s="269"/>
      <c r="EHU237" s="269"/>
      <c r="EHV237" s="269"/>
      <c r="EHW237" s="269"/>
      <c r="EHX237" s="269"/>
      <c r="EHY237" s="269"/>
      <c r="EHZ237" s="269"/>
      <c r="EIA237" s="269"/>
      <c r="EIB237" s="269"/>
      <c r="EIC237" s="269"/>
      <c r="EID237" s="269"/>
      <c r="EIE237" s="269"/>
      <c r="EIF237" s="269"/>
      <c r="EIG237" s="269"/>
      <c r="EIH237" s="269"/>
      <c r="EII237" s="269"/>
      <c r="EIJ237" s="269"/>
      <c r="EIK237" s="269"/>
      <c r="EIL237" s="269"/>
      <c r="EIM237" s="269"/>
      <c r="EIN237" s="269"/>
      <c r="EIO237" s="269"/>
      <c r="EIP237" s="269"/>
      <c r="EIQ237" s="269"/>
      <c r="EIR237" s="269"/>
      <c r="EIS237" s="269"/>
      <c r="EIT237" s="269"/>
      <c r="EIU237" s="269"/>
      <c r="EIV237" s="269"/>
      <c r="EIW237" s="269"/>
      <c r="EIX237" s="269"/>
      <c r="EIY237" s="269"/>
      <c r="EIZ237" s="269"/>
      <c r="EJA237" s="269"/>
      <c r="EJB237" s="269"/>
      <c r="EJC237" s="269"/>
      <c r="EJD237" s="269"/>
      <c r="EJE237" s="269"/>
      <c r="EJF237" s="269"/>
      <c r="EJG237" s="269"/>
      <c r="EJH237" s="269"/>
      <c r="EJI237" s="269"/>
      <c r="EJJ237" s="269"/>
      <c r="EJK237" s="269"/>
      <c r="EJL237" s="269"/>
      <c r="EJM237" s="269"/>
      <c r="EJN237" s="269"/>
      <c r="EJO237" s="269"/>
      <c r="EJP237" s="269"/>
      <c r="EJQ237" s="269"/>
      <c r="EJR237" s="269"/>
      <c r="EJS237" s="269"/>
      <c r="EJT237" s="269"/>
      <c r="EJU237" s="269"/>
      <c r="EJV237" s="269"/>
      <c r="EJW237" s="269"/>
      <c r="EJX237" s="269"/>
      <c r="EJY237" s="269"/>
      <c r="EJZ237" s="269"/>
      <c r="EKA237" s="269"/>
      <c r="EKB237" s="269"/>
      <c r="EKC237" s="269"/>
      <c r="EKD237" s="269"/>
      <c r="EKE237" s="269"/>
      <c r="EKF237" s="269"/>
      <c r="EKG237" s="269"/>
      <c r="EKH237" s="269"/>
      <c r="EKI237" s="269"/>
      <c r="EKJ237" s="269"/>
      <c r="EKK237" s="269"/>
      <c r="EKL237" s="269"/>
      <c r="EKM237" s="269"/>
      <c r="EKN237" s="269"/>
      <c r="EKO237" s="269"/>
      <c r="EKP237" s="269"/>
      <c r="EKQ237" s="269"/>
      <c r="EKR237" s="269"/>
      <c r="EKS237" s="269"/>
      <c r="EKT237" s="269"/>
      <c r="EKU237" s="269"/>
      <c r="EKV237" s="269"/>
      <c r="EKW237" s="269"/>
      <c r="EKX237" s="269"/>
      <c r="EKY237" s="269"/>
      <c r="EKZ237" s="269"/>
      <c r="ELA237" s="269"/>
      <c r="ELB237" s="269"/>
      <c r="ELC237" s="269"/>
      <c r="ELD237" s="269"/>
      <c r="ELE237" s="269"/>
      <c r="ELF237" s="269"/>
      <c r="ELG237" s="269"/>
      <c r="ELH237" s="269"/>
      <c r="ELI237" s="269"/>
      <c r="ELJ237" s="269"/>
      <c r="ELK237" s="269"/>
      <c r="ELL237" s="269"/>
      <c r="ELM237" s="269"/>
      <c r="ELN237" s="269"/>
      <c r="ELO237" s="269"/>
      <c r="ELP237" s="269"/>
      <c r="ELQ237" s="269"/>
      <c r="ELR237" s="269"/>
      <c r="ELS237" s="269"/>
      <c r="ELT237" s="269"/>
      <c r="ELU237" s="269"/>
      <c r="ELV237" s="269"/>
      <c r="ELW237" s="269"/>
      <c r="ELX237" s="269"/>
      <c r="ELY237" s="269"/>
      <c r="ELZ237" s="269"/>
      <c r="EMA237" s="269"/>
      <c r="EMB237" s="269"/>
      <c r="EMC237" s="269"/>
      <c r="EMD237" s="269"/>
      <c r="EME237" s="269"/>
      <c r="EMF237" s="269"/>
      <c r="EMG237" s="269"/>
      <c r="EMH237" s="269"/>
      <c r="EMI237" s="269"/>
      <c r="EMJ237" s="269"/>
      <c r="EMK237" s="269"/>
      <c r="EML237" s="269"/>
      <c r="EMM237" s="269"/>
      <c r="EMN237" s="269"/>
      <c r="EMO237" s="269"/>
      <c r="EMP237" s="269"/>
      <c r="EMQ237" s="269"/>
      <c r="EMR237" s="269"/>
      <c r="EMS237" s="269"/>
      <c r="EMT237" s="269"/>
      <c r="EMU237" s="269"/>
      <c r="EMV237" s="269"/>
      <c r="EMW237" s="269"/>
      <c r="EMX237" s="269"/>
      <c r="EMY237" s="269"/>
      <c r="EMZ237" s="269"/>
      <c r="ENA237" s="269"/>
      <c r="ENB237" s="269"/>
      <c r="ENC237" s="269"/>
      <c r="END237" s="269"/>
      <c r="ENE237" s="269"/>
      <c r="ENF237" s="269"/>
      <c r="ENG237" s="269"/>
      <c r="ENH237" s="269"/>
      <c r="ENI237" s="269"/>
      <c r="ENJ237" s="269"/>
      <c r="ENK237" s="269"/>
      <c r="ENL237" s="269"/>
      <c r="ENM237" s="269"/>
      <c r="ENN237" s="269"/>
      <c r="ENO237" s="269"/>
      <c r="ENP237" s="269"/>
      <c r="ENQ237" s="269"/>
      <c r="ENR237" s="269"/>
      <c r="ENS237" s="269"/>
      <c r="ENT237" s="269"/>
      <c r="ENU237" s="269"/>
      <c r="ENV237" s="269"/>
      <c r="ENW237" s="269"/>
      <c r="ENX237" s="269"/>
      <c r="ENY237" s="269"/>
      <c r="ENZ237" s="269"/>
      <c r="EOA237" s="269"/>
      <c r="EOB237" s="269"/>
      <c r="EOC237" s="269"/>
      <c r="EOD237" s="269"/>
      <c r="EOE237" s="269"/>
      <c r="EOF237" s="269"/>
      <c r="EOG237" s="269"/>
      <c r="EOH237" s="269"/>
      <c r="EOI237" s="269"/>
      <c r="EOJ237" s="269"/>
      <c r="EOK237" s="269"/>
      <c r="EOL237" s="269"/>
      <c r="EOM237" s="269"/>
      <c r="EON237" s="269"/>
      <c r="EOO237" s="269"/>
      <c r="EOP237" s="269"/>
      <c r="EOQ237" s="269"/>
      <c r="EOR237" s="269"/>
      <c r="EOS237" s="269"/>
      <c r="EOT237" s="269"/>
      <c r="EOU237" s="269"/>
      <c r="EOV237" s="269"/>
      <c r="EOW237" s="269"/>
      <c r="EOX237" s="269"/>
      <c r="EOY237" s="269"/>
      <c r="EOZ237" s="269"/>
      <c r="EPA237" s="269"/>
      <c r="EPB237" s="269"/>
      <c r="EPC237" s="269"/>
      <c r="EPD237" s="269"/>
      <c r="EPE237" s="269"/>
      <c r="EPF237" s="269"/>
      <c r="EPG237" s="269"/>
      <c r="EPH237" s="269"/>
      <c r="EPI237" s="269"/>
      <c r="EPJ237" s="269"/>
      <c r="EPK237" s="269"/>
      <c r="EPL237" s="269"/>
      <c r="EPM237" s="269"/>
      <c r="EPN237" s="269"/>
      <c r="EPO237" s="269"/>
      <c r="EPP237" s="269"/>
      <c r="EPQ237" s="269"/>
      <c r="EPR237" s="269"/>
      <c r="EPS237" s="269"/>
      <c r="EPT237" s="269"/>
      <c r="EPU237" s="269"/>
      <c r="EPV237" s="269"/>
      <c r="EPW237" s="269"/>
      <c r="EPX237" s="269"/>
      <c r="EPY237" s="269"/>
      <c r="EPZ237" s="269"/>
      <c r="EQA237" s="269"/>
      <c r="EQB237" s="269"/>
      <c r="EQC237" s="269"/>
      <c r="EQD237" s="269"/>
      <c r="EQE237" s="269"/>
      <c r="EQF237" s="269"/>
      <c r="EQG237" s="269"/>
      <c r="EQH237" s="269"/>
      <c r="EQI237" s="269"/>
      <c r="EQJ237" s="269"/>
      <c r="EQK237" s="269"/>
      <c r="EQL237" s="269"/>
      <c r="EQM237" s="269"/>
      <c r="EQN237" s="269"/>
      <c r="EQO237" s="269"/>
      <c r="EQP237" s="269"/>
      <c r="EQQ237" s="269"/>
      <c r="EQR237" s="269"/>
      <c r="EQS237" s="269"/>
      <c r="EQT237" s="269"/>
      <c r="EQU237" s="269"/>
      <c r="EQV237" s="269"/>
      <c r="EQW237" s="269"/>
      <c r="EQX237" s="269"/>
      <c r="EQY237" s="269"/>
      <c r="EQZ237" s="269"/>
      <c r="ERA237" s="269"/>
      <c r="ERB237" s="269"/>
      <c r="ERC237" s="269"/>
      <c r="ERD237" s="269"/>
      <c r="ERE237" s="269"/>
      <c r="ERF237" s="269"/>
      <c r="ERG237" s="269"/>
      <c r="ERH237" s="269"/>
      <c r="ERI237" s="269"/>
      <c r="ERJ237" s="269"/>
      <c r="ERK237" s="269"/>
      <c r="ERL237" s="269"/>
      <c r="ERM237" s="269"/>
      <c r="ERN237" s="269"/>
      <c r="ERO237" s="269"/>
      <c r="ERP237" s="269"/>
      <c r="ERQ237" s="269"/>
      <c r="ERR237" s="269"/>
      <c r="ERS237" s="269"/>
      <c r="ERT237" s="269"/>
      <c r="ERU237" s="269"/>
      <c r="ERV237" s="269"/>
      <c r="ERW237" s="269"/>
      <c r="ERX237" s="269"/>
      <c r="ERY237" s="269"/>
      <c r="ERZ237" s="269"/>
      <c r="ESA237" s="269"/>
      <c r="ESB237" s="269"/>
      <c r="ESC237" s="269"/>
      <c r="ESD237" s="269"/>
      <c r="ESE237" s="269"/>
      <c r="ESF237" s="269"/>
      <c r="ESG237" s="269"/>
      <c r="ESH237" s="269"/>
      <c r="ESI237" s="269"/>
      <c r="ESJ237" s="269"/>
      <c r="ESK237" s="269"/>
      <c r="ESL237" s="269"/>
      <c r="ESM237" s="269"/>
      <c r="ESN237" s="269"/>
      <c r="ESO237" s="269"/>
      <c r="ESP237" s="269"/>
      <c r="ESQ237" s="269"/>
      <c r="ESR237" s="269"/>
      <c r="ESS237" s="269"/>
      <c r="EST237" s="269"/>
      <c r="ESU237" s="269"/>
      <c r="ESV237" s="269"/>
      <c r="ESW237" s="269"/>
      <c r="ESX237" s="269"/>
      <c r="ESY237" s="269"/>
      <c r="ESZ237" s="269"/>
      <c r="ETA237" s="269"/>
      <c r="ETB237" s="269"/>
      <c r="ETC237" s="269"/>
      <c r="ETD237" s="269"/>
      <c r="ETE237" s="269"/>
      <c r="ETF237" s="269"/>
      <c r="ETG237" s="269"/>
      <c r="ETH237" s="269"/>
      <c r="ETI237" s="269"/>
      <c r="ETJ237" s="269"/>
      <c r="ETK237" s="269"/>
      <c r="ETL237" s="269"/>
      <c r="ETM237" s="269"/>
      <c r="ETN237" s="269"/>
      <c r="ETO237" s="269"/>
      <c r="ETP237" s="269"/>
      <c r="ETQ237" s="269"/>
      <c r="ETR237" s="269"/>
      <c r="ETS237" s="269"/>
      <c r="ETT237" s="269"/>
      <c r="ETU237" s="269"/>
      <c r="ETV237" s="269"/>
      <c r="ETW237" s="269"/>
      <c r="ETX237" s="269"/>
      <c r="ETY237" s="269"/>
      <c r="ETZ237" s="269"/>
      <c r="EUA237" s="269"/>
      <c r="EUB237" s="269"/>
      <c r="EUC237" s="269"/>
      <c r="EUD237" s="269"/>
      <c r="EUE237" s="269"/>
      <c r="EUF237" s="269"/>
      <c r="EUG237" s="269"/>
      <c r="EUH237" s="269"/>
      <c r="EUI237" s="269"/>
      <c r="EUJ237" s="269"/>
      <c r="EUK237" s="269"/>
      <c r="EUL237" s="269"/>
      <c r="EUM237" s="269"/>
      <c r="EUN237" s="269"/>
      <c r="EUO237" s="269"/>
      <c r="EUP237" s="269"/>
      <c r="EUQ237" s="269"/>
      <c r="EUR237" s="269"/>
      <c r="EUS237" s="269"/>
      <c r="EUT237" s="269"/>
      <c r="EUU237" s="269"/>
      <c r="EUV237" s="269"/>
      <c r="EUW237" s="269"/>
      <c r="EUX237" s="269"/>
      <c r="EUY237" s="269"/>
      <c r="EUZ237" s="269"/>
      <c r="EVA237" s="269"/>
      <c r="EVB237" s="269"/>
      <c r="EVC237" s="269"/>
      <c r="EVD237" s="269"/>
      <c r="EVE237" s="269"/>
      <c r="EVF237" s="269"/>
      <c r="EVG237" s="269"/>
      <c r="EVH237" s="269"/>
      <c r="EVI237" s="269"/>
      <c r="EVJ237" s="269"/>
      <c r="EVK237" s="269"/>
      <c r="EVL237" s="269"/>
      <c r="EVM237" s="269"/>
      <c r="EVN237" s="269"/>
      <c r="EVO237" s="269"/>
      <c r="EVP237" s="269"/>
      <c r="EVQ237" s="269"/>
      <c r="EVR237" s="269"/>
      <c r="EVS237" s="269"/>
      <c r="EVT237" s="269"/>
      <c r="EVU237" s="269"/>
      <c r="EVV237" s="269"/>
      <c r="EVW237" s="269"/>
      <c r="EVX237" s="269"/>
      <c r="EVY237" s="269"/>
      <c r="EVZ237" s="269"/>
      <c r="EWA237" s="269"/>
      <c r="EWB237" s="269"/>
      <c r="EWC237" s="269"/>
      <c r="EWD237" s="269"/>
      <c r="EWE237" s="269"/>
      <c r="EWF237" s="269"/>
      <c r="EWG237" s="269"/>
      <c r="EWH237" s="269"/>
      <c r="EWI237" s="269"/>
      <c r="EWJ237" s="269"/>
      <c r="EWK237" s="269"/>
      <c r="EWL237" s="269"/>
      <c r="EWM237" s="269"/>
      <c r="EWN237" s="269"/>
      <c r="EWO237" s="269"/>
      <c r="EWP237" s="269"/>
      <c r="EWQ237" s="269"/>
      <c r="EWR237" s="269"/>
      <c r="EWS237" s="269"/>
      <c r="EWT237" s="269"/>
      <c r="EWU237" s="269"/>
      <c r="EWV237" s="269"/>
      <c r="EWW237" s="269"/>
      <c r="EWX237" s="269"/>
      <c r="EWY237" s="269"/>
      <c r="EWZ237" s="269"/>
      <c r="EXA237" s="269"/>
      <c r="EXB237" s="269"/>
      <c r="EXC237" s="269"/>
      <c r="EXD237" s="269"/>
      <c r="EXE237" s="269"/>
      <c r="EXF237" s="269"/>
      <c r="EXG237" s="269"/>
      <c r="EXH237" s="269"/>
      <c r="EXI237" s="269"/>
      <c r="EXJ237" s="269"/>
      <c r="EXK237" s="269"/>
      <c r="EXL237" s="269"/>
      <c r="EXM237" s="269"/>
      <c r="EXN237" s="269"/>
      <c r="EXO237" s="269"/>
      <c r="EXP237" s="269"/>
      <c r="EXQ237" s="269"/>
      <c r="EXR237" s="269"/>
      <c r="EXS237" s="269"/>
      <c r="EXT237" s="269"/>
      <c r="EXU237" s="269"/>
      <c r="EXV237" s="269"/>
      <c r="EXW237" s="269"/>
      <c r="EXX237" s="269"/>
      <c r="EXY237" s="269"/>
      <c r="EXZ237" s="269"/>
      <c r="EYA237" s="269"/>
      <c r="EYB237" s="269"/>
      <c r="EYC237" s="269"/>
      <c r="EYD237" s="269"/>
      <c r="EYE237" s="269"/>
      <c r="EYF237" s="269"/>
      <c r="EYG237" s="269"/>
      <c r="EYH237" s="269"/>
      <c r="EYI237" s="269"/>
      <c r="EYJ237" s="269"/>
      <c r="EYK237" s="269"/>
      <c r="EYL237" s="269"/>
      <c r="EYM237" s="269"/>
      <c r="EYN237" s="269"/>
      <c r="EYO237" s="269"/>
      <c r="EYP237" s="269"/>
      <c r="EYQ237" s="269"/>
      <c r="EYR237" s="269"/>
      <c r="EYS237" s="269"/>
      <c r="EYT237" s="269"/>
      <c r="EYU237" s="269"/>
      <c r="EYV237" s="269"/>
      <c r="EYW237" s="269"/>
      <c r="EYX237" s="269"/>
      <c r="EYY237" s="269"/>
      <c r="EYZ237" s="269"/>
      <c r="EZA237" s="269"/>
      <c r="EZB237" s="269"/>
      <c r="EZC237" s="269"/>
      <c r="EZD237" s="269"/>
      <c r="EZE237" s="269"/>
      <c r="EZF237" s="269"/>
      <c r="EZG237" s="269"/>
      <c r="EZH237" s="269"/>
      <c r="EZI237" s="269"/>
      <c r="EZJ237" s="269"/>
      <c r="EZK237" s="269"/>
      <c r="EZL237" s="269"/>
      <c r="EZM237" s="269"/>
      <c r="EZN237" s="269"/>
      <c r="EZO237" s="269"/>
      <c r="EZP237" s="269"/>
      <c r="EZQ237" s="269"/>
      <c r="EZR237" s="269"/>
      <c r="EZS237" s="269"/>
      <c r="EZT237" s="269"/>
      <c r="EZU237" s="269"/>
      <c r="EZV237" s="269"/>
      <c r="EZW237" s="269"/>
      <c r="EZX237" s="269"/>
      <c r="EZY237" s="269"/>
      <c r="EZZ237" s="269"/>
      <c r="FAA237" s="269"/>
      <c r="FAB237" s="269"/>
      <c r="FAC237" s="269"/>
      <c r="FAD237" s="269"/>
      <c r="FAE237" s="269"/>
      <c r="FAF237" s="269"/>
      <c r="FAG237" s="269"/>
      <c r="FAH237" s="269"/>
      <c r="FAI237" s="269"/>
      <c r="FAJ237" s="269"/>
      <c r="FAK237" s="269"/>
      <c r="FAL237" s="269"/>
      <c r="FAM237" s="269"/>
      <c r="FAN237" s="269"/>
      <c r="FAO237" s="269"/>
      <c r="FAP237" s="269"/>
      <c r="FAQ237" s="269"/>
      <c r="FAR237" s="269"/>
      <c r="FAS237" s="269"/>
      <c r="FAT237" s="269"/>
      <c r="FAU237" s="269"/>
      <c r="FAV237" s="269"/>
      <c r="FAW237" s="269"/>
      <c r="FAX237" s="269"/>
      <c r="FAY237" s="269"/>
      <c r="FAZ237" s="269"/>
      <c r="FBA237" s="269"/>
      <c r="FBB237" s="269"/>
      <c r="FBC237" s="269"/>
      <c r="FBD237" s="269"/>
      <c r="FBE237" s="269"/>
      <c r="FBF237" s="269"/>
      <c r="FBG237" s="269"/>
      <c r="FBH237" s="269"/>
      <c r="FBI237" s="269"/>
      <c r="FBJ237" s="269"/>
      <c r="FBK237" s="269"/>
      <c r="FBL237" s="269"/>
      <c r="FBM237" s="269"/>
      <c r="FBN237" s="269"/>
      <c r="FBO237" s="269"/>
      <c r="FBP237" s="269"/>
      <c r="FBQ237" s="269"/>
      <c r="FBR237" s="269"/>
      <c r="FBS237" s="269"/>
      <c r="FBT237" s="269"/>
      <c r="FBU237" s="269"/>
      <c r="FBV237" s="269"/>
      <c r="FBW237" s="269"/>
      <c r="FBX237" s="269"/>
      <c r="FBY237" s="269"/>
      <c r="FBZ237" s="269"/>
      <c r="FCA237" s="269"/>
      <c r="FCB237" s="269"/>
      <c r="FCC237" s="269"/>
      <c r="FCD237" s="269"/>
      <c r="FCE237" s="269"/>
      <c r="FCF237" s="269"/>
      <c r="FCG237" s="269"/>
      <c r="FCH237" s="269"/>
      <c r="FCI237" s="269"/>
      <c r="FCJ237" s="269"/>
      <c r="FCK237" s="269"/>
      <c r="FCL237" s="269"/>
      <c r="FCM237" s="269"/>
      <c r="FCN237" s="269"/>
      <c r="FCO237" s="269"/>
      <c r="FCP237" s="269"/>
      <c r="FCQ237" s="269"/>
      <c r="FCR237" s="269"/>
      <c r="FCS237" s="269"/>
      <c r="FCT237" s="269"/>
      <c r="FCU237" s="269"/>
      <c r="FCV237" s="269"/>
      <c r="FCW237" s="269"/>
      <c r="FCX237" s="269"/>
      <c r="FCY237" s="269"/>
      <c r="FCZ237" s="269"/>
      <c r="FDA237" s="269"/>
      <c r="FDB237" s="269"/>
      <c r="FDC237" s="269"/>
      <c r="FDD237" s="269"/>
      <c r="FDE237" s="269"/>
      <c r="FDF237" s="269"/>
      <c r="FDG237" s="269"/>
      <c r="FDH237" s="269"/>
      <c r="FDI237" s="269"/>
      <c r="FDJ237" s="269"/>
      <c r="FDK237" s="269"/>
      <c r="FDL237" s="269"/>
      <c r="FDM237" s="269"/>
      <c r="FDN237" s="269"/>
      <c r="FDO237" s="269"/>
      <c r="FDP237" s="269"/>
      <c r="FDQ237" s="269"/>
      <c r="FDR237" s="269"/>
      <c r="FDS237" s="269"/>
      <c r="FDT237" s="269"/>
      <c r="FDU237" s="269"/>
      <c r="FDV237" s="269"/>
      <c r="FDW237" s="269"/>
      <c r="FDX237" s="269"/>
      <c r="FDY237" s="269"/>
      <c r="FDZ237" s="269"/>
      <c r="FEA237" s="269"/>
      <c r="FEB237" s="269"/>
      <c r="FEC237" s="269"/>
      <c r="FED237" s="269"/>
      <c r="FEE237" s="269"/>
      <c r="FEF237" s="269"/>
      <c r="FEG237" s="269"/>
      <c r="FEH237" s="269"/>
      <c r="FEI237" s="269"/>
      <c r="FEJ237" s="269"/>
      <c r="FEK237" s="269"/>
      <c r="FEL237" s="269"/>
      <c r="FEM237" s="269"/>
      <c r="FEN237" s="269"/>
      <c r="FEO237" s="269"/>
      <c r="FEP237" s="269"/>
      <c r="FEQ237" s="269"/>
      <c r="FER237" s="269"/>
      <c r="FES237" s="269"/>
      <c r="FET237" s="269"/>
      <c r="FEU237" s="269"/>
      <c r="FEV237" s="269"/>
      <c r="FEW237" s="269"/>
      <c r="FEX237" s="269"/>
      <c r="FEY237" s="269"/>
      <c r="FEZ237" s="269"/>
      <c r="FFA237" s="269"/>
      <c r="FFB237" s="269"/>
      <c r="FFC237" s="269"/>
      <c r="FFD237" s="269"/>
      <c r="FFE237" s="269"/>
      <c r="FFF237" s="269"/>
      <c r="FFG237" s="269"/>
      <c r="FFH237" s="269"/>
      <c r="FFI237" s="269"/>
      <c r="FFJ237" s="269"/>
      <c r="FFK237" s="269"/>
      <c r="FFL237" s="269"/>
      <c r="FFM237" s="269"/>
      <c r="FFN237" s="269"/>
      <c r="FFO237" s="269"/>
      <c r="FFP237" s="269"/>
      <c r="FFQ237" s="269"/>
      <c r="FFR237" s="269"/>
      <c r="FFS237" s="269"/>
      <c r="FFT237" s="269"/>
      <c r="FFU237" s="269"/>
      <c r="FFV237" s="269"/>
      <c r="FFW237" s="269"/>
      <c r="FFX237" s="269"/>
      <c r="FFY237" s="269"/>
      <c r="FFZ237" s="269"/>
      <c r="FGA237" s="269"/>
      <c r="FGB237" s="269"/>
      <c r="FGC237" s="269"/>
      <c r="FGD237" s="269"/>
      <c r="FGE237" s="269"/>
      <c r="FGF237" s="269"/>
      <c r="FGG237" s="269"/>
      <c r="FGH237" s="269"/>
      <c r="FGI237" s="269"/>
      <c r="FGJ237" s="269"/>
      <c r="FGK237" s="269"/>
      <c r="FGL237" s="269"/>
      <c r="FGM237" s="269"/>
      <c r="FGN237" s="269"/>
      <c r="FGO237" s="269"/>
      <c r="FGP237" s="269"/>
      <c r="FGQ237" s="269"/>
      <c r="FGR237" s="269"/>
      <c r="FGS237" s="269"/>
      <c r="FGT237" s="269"/>
      <c r="FGU237" s="269"/>
      <c r="FGV237" s="269"/>
      <c r="FGW237" s="269"/>
      <c r="FGX237" s="269"/>
      <c r="FGY237" s="269"/>
      <c r="FGZ237" s="269"/>
      <c r="FHA237" s="269"/>
      <c r="FHB237" s="269"/>
      <c r="FHC237" s="269"/>
      <c r="FHD237" s="269"/>
      <c r="FHE237" s="269"/>
      <c r="FHF237" s="269"/>
      <c r="FHG237" s="269"/>
      <c r="FHH237" s="269"/>
      <c r="FHI237" s="269"/>
      <c r="FHJ237" s="269"/>
      <c r="FHK237" s="269"/>
      <c r="FHL237" s="269"/>
      <c r="FHM237" s="269"/>
      <c r="FHN237" s="269"/>
      <c r="FHO237" s="269"/>
      <c r="FHP237" s="269"/>
      <c r="FHQ237" s="269"/>
      <c r="FHR237" s="269"/>
      <c r="FHS237" s="269"/>
      <c r="FHT237" s="269"/>
      <c r="FHU237" s="269"/>
      <c r="FHV237" s="269"/>
      <c r="FHW237" s="269"/>
      <c r="FHX237" s="269"/>
      <c r="FHY237" s="269"/>
      <c r="FHZ237" s="269"/>
      <c r="FIA237" s="269"/>
      <c r="FIB237" s="269"/>
      <c r="FIC237" s="269"/>
      <c r="FID237" s="269"/>
      <c r="FIE237" s="269"/>
      <c r="FIF237" s="269"/>
      <c r="FIG237" s="269"/>
      <c r="FIH237" s="269"/>
      <c r="FII237" s="269"/>
      <c r="FIJ237" s="269"/>
      <c r="FIK237" s="269"/>
      <c r="FIL237" s="269"/>
      <c r="FIM237" s="269"/>
      <c r="FIN237" s="269"/>
      <c r="FIO237" s="269"/>
      <c r="FIP237" s="269"/>
      <c r="FIQ237" s="269"/>
      <c r="FIR237" s="269"/>
      <c r="FIS237" s="269"/>
      <c r="FIT237" s="269"/>
      <c r="FIU237" s="269"/>
      <c r="FIV237" s="269"/>
      <c r="FIW237" s="269"/>
      <c r="FIX237" s="269"/>
      <c r="FIY237" s="269"/>
      <c r="FIZ237" s="269"/>
      <c r="FJA237" s="269"/>
      <c r="FJB237" s="269"/>
      <c r="FJC237" s="269"/>
      <c r="FJD237" s="269"/>
      <c r="FJE237" s="269"/>
      <c r="FJF237" s="269"/>
      <c r="FJG237" s="269"/>
      <c r="FJH237" s="269"/>
      <c r="FJI237" s="269"/>
      <c r="FJJ237" s="269"/>
      <c r="FJK237" s="269"/>
      <c r="FJL237" s="269"/>
      <c r="FJM237" s="269"/>
      <c r="FJN237" s="269"/>
      <c r="FJO237" s="269"/>
      <c r="FJP237" s="269"/>
      <c r="FJQ237" s="269"/>
      <c r="FJR237" s="269"/>
      <c r="FJS237" s="269"/>
      <c r="FJT237" s="269"/>
      <c r="FJU237" s="269"/>
      <c r="FJV237" s="269"/>
      <c r="FJW237" s="269"/>
      <c r="FJX237" s="269"/>
      <c r="FJY237" s="269"/>
      <c r="FJZ237" s="269"/>
      <c r="FKA237" s="269"/>
      <c r="FKB237" s="269"/>
      <c r="FKC237" s="269"/>
      <c r="FKD237" s="269"/>
      <c r="FKE237" s="269"/>
      <c r="FKF237" s="269"/>
      <c r="FKG237" s="269"/>
      <c r="FKH237" s="269"/>
      <c r="FKI237" s="269"/>
      <c r="FKJ237" s="269"/>
      <c r="FKK237" s="269"/>
      <c r="FKL237" s="269"/>
      <c r="FKM237" s="269"/>
      <c r="FKN237" s="269"/>
      <c r="FKO237" s="269"/>
      <c r="FKP237" s="269"/>
      <c r="FKQ237" s="269"/>
      <c r="FKR237" s="269"/>
      <c r="FKS237" s="269"/>
      <c r="FKT237" s="269"/>
      <c r="FKU237" s="269"/>
      <c r="FKV237" s="269"/>
      <c r="FKW237" s="269"/>
      <c r="FKX237" s="269"/>
      <c r="FKY237" s="269"/>
      <c r="FKZ237" s="269"/>
      <c r="FLA237" s="269"/>
      <c r="FLB237" s="269"/>
      <c r="FLC237" s="269"/>
      <c r="FLD237" s="269"/>
      <c r="FLE237" s="269"/>
      <c r="FLF237" s="269"/>
      <c r="FLG237" s="269"/>
      <c r="FLH237" s="269"/>
      <c r="FLI237" s="269"/>
      <c r="FLJ237" s="269"/>
      <c r="FLK237" s="269"/>
      <c r="FLL237" s="269"/>
      <c r="FLM237" s="269"/>
      <c r="FLN237" s="269"/>
      <c r="FLO237" s="269"/>
      <c r="FLP237" s="269"/>
      <c r="FLQ237" s="269"/>
      <c r="FLR237" s="269"/>
      <c r="FLS237" s="269"/>
      <c r="FLT237" s="269"/>
      <c r="FLU237" s="269"/>
      <c r="FLV237" s="269"/>
      <c r="FLW237" s="269"/>
      <c r="FLX237" s="269"/>
      <c r="FLY237" s="269"/>
      <c r="FLZ237" s="269"/>
      <c r="FMA237" s="269"/>
      <c r="FMB237" s="269"/>
      <c r="FMC237" s="269"/>
      <c r="FMD237" s="269"/>
      <c r="FME237" s="269"/>
      <c r="FMF237" s="269"/>
      <c r="FMG237" s="269"/>
      <c r="FMH237" s="269"/>
      <c r="FMI237" s="269"/>
      <c r="FMJ237" s="269"/>
      <c r="FMK237" s="269"/>
      <c r="FML237" s="269"/>
      <c r="FMM237" s="269"/>
      <c r="FMN237" s="269"/>
      <c r="FMO237" s="269"/>
      <c r="FMP237" s="269"/>
      <c r="FMQ237" s="269"/>
      <c r="FMR237" s="269"/>
      <c r="FMS237" s="269"/>
      <c r="FMT237" s="269"/>
      <c r="FMU237" s="269"/>
      <c r="FMV237" s="269"/>
      <c r="FMW237" s="269"/>
      <c r="FMX237" s="269"/>
      <c r="FMY237" s="269"/>
      <c r="FMZ237" s="269"/>
      <c r="FNA237" s="269"/>
      <c r="FNB237" s="269"/>
      <c r="FNC237" s="269"/>
      <c r="FND237" s="269"/>
      <c r="FNE237" s="269"/>
      <c r="FNF237" s="269"/>
      <c r="FNG237" s="269"/>
      <c r="FNH237" s="269"/>
      <c r="FNI237" s="269"/>
      <c r="FNJ237" s="269"/>
      <c r="FNK237" s="269"/>
      <c r="FNL237" s="269"/>
      <c r="FNM237" s="269"/>
      <c r="FNN237" s="269"/>
      <c r="FNO237" s="269"/>
      <c r="FNP237" s="269"/>
      <c r="FNQ237" s="269"/>
      <c r="FNR237" s="269"/>
      <c r="FNS237" s="269"/>
      <c r="FNT237" s="269"/>
      <c r="FNU237" s="269"/>
      <c r="FNV237" s="269"/>
      <c r="FNW237" s="269"/>
      <c r="FNX237" s="269"/>
      <c r="FNY237" s="269"/>
      <c r="FNZ237" s="269"/>
      <c r="FOA237" s="269"/>
      <c r="FOB237" s="269"/>
      <c r="FOC237" s="269"/>
      <c r="FOD237" s="269"/>
      <c r="FOE237" s="269"/>
      <c r="FOF237" s="269"/>
      <c r="FOG237" s="269"/>
      <c r="FOH237" s="269"/>
      <c r="FOI237" s="269"/>
      <c r="FOJ237" s="269"/>
      <c r="FOK237" s="269"/>
      <c r="FOL237" s="269"/>
      <c r="FOM237" s="269"/>
      <c r="FON237" s="269"/>
      <c r="FOO237" s="269"/>
      <c r="FOP237" s="269"/>
      <c r="FOQ237" s="269"/>
      <c r="FOR237" s="269"/>
      <c r="FOS237" s="269"/>
      <c r="FOT237" s="269"/>
      <c r="FOU237" s="269"/>
      <c r="FOV237" s="269"/>
      <c r="FOW237" s="269"/>
      <c r="FOX237" s="269"/>
      <c r="FOY237" s="269"/>
      <c r="FOZ237" s="269"/>
      <c r="FPA237" s="269"/>
      <c r="FPB237" s="269"/>
      <c r="FPC237" s="269"/>
      <c r="FPD237" s="269"/>
      <c r="FPE237" s="269"/>
      <c r="FPF237" s="269"/>
      <c r="FPG237" s="269"/>
      <c r="FPH237" s="269"/>
      <c r="FPI237" s="269"/>
      <c r="FPJ237" s="269"/>
      <c r="FPK237" s="269"/>
      <c r="FPL237" s="269"/>
      <c r="FPM237" s="269"/>
      <c r="FPN237" s="269"/>
      <c r="FPO237" s="269"/>
      <c r="FPP237" s="269"/>
      <c r="FPQ237" s="269"/>
      <c r="FPR237" s="269"/>
      <c r="FPS237" s="269"/>
      <c r="FPT237" s="269"/>
      <c r="FPU237" s="269"/>
      <c r="FPV237" s="269"/>
      <c r="FPW237" s="269"/>
      <c r="FPX237" s="269"/>
      <c r="FPY237" s="269"/>
      <c r="FPZ237" s="269"/>
      <c r="FQA237" s="269"/>
      <c r="FQB237" s="269"/>
      <c r="FQC237" s="269"/>
      <c r="FQD237" s="269"/>
      <c r="FQE237" s="269"/>
      <c r="FQF237" s="269"/>
      <c r="FQG237" s="269"/>
      <c r="FQH237" s="269"/>
      <c r="FQI237" s="269"/>
      <c r="FQJ237" s="269"/>
      <c r="FQK237" s="269"/>
      <c r="FQL237" s="269"/>
      <c r="FQM237" s="269"/>
      <c r="FQN237" s="269"/>
      <c r="FQO237" s="269"/>
      <c r="FQP237" s="269"/>
      <c r="FQQ237" s="269"/>
      <c r="FQR237" s="269"/>
      <c r="FQS237" s="269"/>
      <c r="FQT237" s="269"/>
      <c r="FQU237" s="269"/>
      <c r="FQV237" s="269"/>
      <c r="FQW237" s="269"/>
      <c r="FQX237" s="269"/>
      <c r="FQY237" s="269"/>
      <c r="FQZ237" s="269"/>
      <c r="FRA237" s="269"/>
      <c r="FRB237" s="269"/>
      <c r="FRC237" s="269"/>
      <c r="FRD237" s="269"/>
      <c r="FRE237" s="269"/>
      <c r="FRF237" s="269"/>
      <c r="FRG237" s="269"/>
      <c r="FRH237" s="269"/>
      <c r="FRI237" s="269"/>
      <c r="FRJ237" s="269"/>
      <c r="FRK237" s="269"/>
      <c r="FRL237" s="269"/>
      <c r="FRM237" s="269"/>
      <c r="FRN237" s="269"/>
      <c r="FRO237" s="269"/>
      <c r="FRP237" s="269"/>
      <c r="FRQ237" s="269"/>
      <c r="FRR237" s="269"/>
      <c r="FRS237" s="269"/>
      <c r="FRT237" s="269"/>
      <c r="FRU237" s="269"/>
      <c r="FRV237" s="269"/>
      <c r="FRW237" s="269"/>
      <c r="FRX237" s="269"/>
      <c r="FRY237" s="269"/>
      <c r="FRZ237" s="269"/>
      <c r="FSA237" s="269"/>
      <c r="FSB237" s="269"/>
      <c r="FSC237" s="269"/>
      <c r="FSD237" s="269"/>
      <c r="FSE237" s="269"/>
      <c r="FSF237" s="269"/>
      <c r="FSG237" s="269"/>
      <c r="FSH237" s="269"/>
      <c r="FSI237" s="269"/>
      <c r="FSJ237" s="269"/>
      <c r="FSK237" s="269"/>
      <c r="FSL237" s="269"/>
      <c r="FSM237" s="269"/>
      <c r="FSN237" s="269"/>
      <c r="FSO237" s="269"/>
      <c r="FSP237" s="269"/>
      <c r="FSQ237" s="269"/>
      <c r="FSR237" s="269"/>
      <c r="FSS237" s="269"/>
      <c r="FST237" s="269"/>
      <c r="FSU237" s="269"/>
      <c r="FSV237" s="269"/>
      <c r="FSW237" s="269"/>
      <c r="FSX237" s="269"/>
      <c r="FSY237" s="269"/>
      <c r="FSZ237" s="269"/>
      <c r="FTA237" s="269"/>
      <c r="FTB237" s="269"/>
      <c r="FTC237" s="269"/>
      <c r="FTD237" s="269"/>
      <c r="FTE237" s="269"/>
      <c r="FTF237" s="269"/>
      <c r="FTG237" s="269"/>
      <c r="FTH237" s="269"/>
      <c r="FTI237" s="269"/>
      <c r="FTJ237" s="269"/>
      <c r="FTK237" s="269"/>
      <c r="FTL237" s="269"/>
      <c r="FTM237" s="269"/>
      <c r="FTN237" s="269"/>
      <c r="FTO237" s="269"/>
      <c r="FTP237" s="269"/>
      <c r="FTQ237" s="269"/>
      <c r="FTR237" s="269"/>
      <c r="FTS237" s="269"/>
      <c r="FTT237" s="269"/>
      <c r="FTU237" s="269"/>
      <c r="FTV237" s="269"/>
      <c r="FTW237" s="269"/>
      <c r="FTX237" s="269"/>
      <c r="FTY237" s="269"/>
      <c r="FTZ237" s="269"/>
      <c r="FUA237" s="269"/>
      <c r="FUB237" s="269"/>
      <c r="FUC237" s="269"/>
      <c r="FUD237" s="269"/>
      <c r="FUE237" s="269"/>
      <c r="FUF237" s="269"/>
      <c r="FUG237" s="269"/>
      <c r="FUH237" s="269"/>
      <c r="FUI237" s="269"/>
      <c r="FUJ237" s="269"/>
      <c r="FUK237" s="269"/>
      <c r="FUL237" s="269"/>
      <c r="FUM237" s="269"/>
      <c r="FUN237" s="269"/>
      <c r="FUO237" s="269"/>
      <c r="FUP237" s="269"/>
      <c r="FUQ237" s="269"/>
      <c r="FUR237" s="269"/>
      <c r="FUS237" s="269"/>
      <c r="FUT237" s="269"/>
      <c r="FUU237" s="269"/>
      <c r="FUV237" s="269"/>
      <c r="FUW237" s="269"/>
      <c r="FUX237" s="269"/>
      <c r="FUY237" s="269"/>
      <c r="FUZ237" s="269"/>
      <c r="FVA237" s="269"/>
      <c r="FVB237" s="269"/>
      <c r="FVC237" s="269"/>
      <c r="FVD237" s="269"/>
      <c r="FVE237" s="269"/>
      <c r="FVF237" s="269"/>
      <c r="FVG237" s="269"/>
      <c r="FVH237" s="269"/>
      <c r="FVI237" s="269"/>
      <c r="FVJ237" s="269"/>
      <c r="FVK237" s="269"/>
      <c r="FVL237" s="269"/>
      <c r="FVM237" s="269"/>
      <c r="FVN237" s="269"/>
      <c r="FVO237" s="269"/>
      <c r="FVP237" s="269"/>
      <c r="FVQ237" s="269"/>
      <c r="FVR237" s="269"/>
      <c r="FVS237" s="269"/>
      <c r="FVT237" s="269"/>
      <c r="FVU237" s="269"/>
      <c r="FVV237" s="269"/>
      <c r="FVW237" s="269"/>
      <c r="FVX237" s="269"/>
      <c r="FVY237" s="269"/>
      <c r="FVZ237" s="269"/>
      <c r="FWA237" s="269"/>
      <c r="FWB237" s="269"/>
      <c r="FWC237" s="269"/>
      <c r="FWD237" s="269"/>
      <c r="FWE237" s="269"/>
      <c r="FWF237" s="269"/>
      <c r="FWG237" s="269"/>
      <c r="FWH237" s="269"/>
      <c r="FWI237" s="269"/>
      <c r="FWJ237" s="269"/>
      <c r="FWK237" s="269"/>
      <c r="FWL237" s="269"/>
      <c r="FWM237" s="269"/>
      <c r="FWN237" s="269"/>
      <c r="FWO237" s="269"/>
      <c r="FWP237" s="269"/>
      <c r="FWQ237" s="269"/>
      <c r="FWR237" s="269"/>
      <c r="FWS237" s="269"/>
      <c r="FWT237" s="269"/>
      <c r="FWU237" s="269"/>
      <c r="FWV237" s="269"/>
      <c r="FWW237" s="269"/>
      <c r="FWX237" s="269"/>
      <c r="FWY237" s="269"/>
      <c r="FWZ237" s="269"/>
      <c r="FXA237" s="269"/>
      <c r="FXB237" s="269"/>
      <c r="FXC237" s="269"/>
      <c r="FXD237" s="269"/>
      <c r="FXE237" s="269"/>
      <c r="FXF237" s="269"/>
      <c r="FXG237" s="269"/>
      <c r="FXH237" s="269"/>
      <c r="FXI237" s="269"/>
      <c r="FXJ237" s="269"/>
      <c r="FXK237" s="269"/>
      <c r="FXL237" s="269"/>
      <c r="FXM237" s="269"/>
      <c r="FXN237" s="269"/>
      <c r="FXO237" s="269"/>
      <c r="FXP237" s="269"/>
      <c r="FXQ237" s="269"/>
      <c r="FXR237" s="269"/>
      <c r="FXS237" s="269"/>
      <c r="FXT237" s="269"/>
      <c r="FXU237" s="269"/>
      <c r="FXV237" s="269"/>
      <c r="FXW237" s="269"/>
      <c r="FXX237" s="269"/>
      <c r="FXY237" s="269"/>
      <c r="FXZ237" s="269"/>
      <c r="FYA237" s="269"/>
      <c r="FYB237" s="269"/>
      <c r="FYC237" s="269"/>
      <c r="FYD237" s="269"/>
      <c r="FYE237" s="269"/>
      <c r="FYF237" s="269"/>
      <c r="FYG237" s="269"/>
      <c r="FYH237" s="269"/>
      <c r="FYI237" s="269"/>
      <c r="FYJ237" s="269"/>
      <c r="FYK237" s="269"/>
      <c r="FYL237" s="269"/>
      <c r="FYM237" s="269"/>
      <c r="FYN237" s="269"/>
      <c r="FYO237" s="269"/>
      <c r="FYP237" s="269"/>
      <c r="FYQ237" s="269"/>
      <c r="FYR237" s="269"/>
      <c r="FYS237" s="269"/>
      <c r="FYT237" s="269"/>
      <c r="FYU237" s="269"/>
      <c r="FYV237" s="269"/>
      <c r="FYW237" s="269"/>
      <c r="FYX237" s="269"/>
      <c r="FYY237" s="269"/>
      <c r="FYZ237" s="269"/>
      <c r="FZA237" s="269"/>
      <c r="FZB237" s="269"/>
      <c r="FZC237" s="269"/>
      <c r="FZD237" s="269"/>
      <c r="FZE237" s="269"/>
      <c r="FZF237" s="269"/>
      <c r="FZG237" s="269"/>
      <c r="FZH237" s="269"/>
      <c r="FZI237" s="269"/>
      <c r="FZJ237" s="269"/>
      <c r="FZK237" s="269"/>
      <c r="FZL237" s="269"/>
      <c r="FZM237" s="269"/>
      <c r="FZN237" s="269"/>
      <c r="FZO237" s="269"/>
      <c r="FZP237" s="269"/>
      <c r="FZQ237" s="269"/>
      <c r="FZR237" s="269"/>
      <c r="FZS237" s="269"/>
      <c r="FZT237" s="269"/>
      <c r="FZU237" s="269"/>
      <c r="FZV237" s="269"/>
      <c r="FZW237" s="269"/>
      <c r="FZX237" s="269"/>
      <c r="FZY237" s="269"/>
      <c r="FZZ237" s="269"/>
      <c r="GAA237" s="269"/>
      <c r="GAB237" s="269"/>
      <c r="GAC237" s="269"/>
      <c r="GAD237" s="269"/>
      <c r="GAE237" s="269"/>
      <c r="GAF237" s="269"/>
      <c r="GAG237" s="269"/>
      <c r="GAH237" s="269"/>
      <c r="GAI237" s="269"/>
      <c r="GAJ237" s="269"/>
      <c r="GAK237" s="269"/>
      <c r="GAL237" s="269"/>
      <c r="GAM237" s="269"/>
      <c r="GAN237" s="269"/>
      <c r="GAO237" s="269"/>
      <c r="GAP237" s="269"/>
      <c r="GAQ237" s="269"/>
      <c r="GAR237" s="269"/>
      <c r="GAS237" s="269"/>
      <c r="GAT237" s="269"/>
      <c r="GAU237" s="269"/>
      <c r="GAV237" s="269"/>
      <c r="GAW237" s="269"/>
      <c r="GAX237" s="269"/>
      <c r="GAY237" s="269"/>
      <c r="GAZ237" s="269"/>
      <c r="GBA237" s="269"/>
      <c r="GBB237" s="269"/>
      <c r="GBC237" s="269"/>
      <c r="GBD237" s="269"/>
      <c r="GBE237" s="269"/>
      <c r="GBF237" s="269"/>
      <c r="GBG237" s="269"/>
      <c r="GBH237" s="269"/>
      <c r="GBI237" s="269"/>
      <c r="GBJ237" s="269"/>
      <c r="GBK237" s="269"/>
      <c r="GBL237" s="269"/>
      <c r="GBM237" s="269"/>
      <c r="GBN237" s="269"/>
      <c r="GBO237" s="269"/>
      <c r="GBP237" s="269"/>
      <c r="GBQ237" s="269"/>
      <c r="GBR237" s="269"/>
      <c r="GBS237" s="269"/>
      <c r="GBT237" s="269"/>
      <c r="GBU237" s="269"/>
      <c r="GBV237" s="269"/>
      <c r="GBW237" s="269"/>
      <c r="GBX237" s="269"/>
      <c r="GBY237" s="269"/>
      <c r="GBZ237" s="269"/>
      <c r="GCA237" s="269"/>
      <c r="GCB237" s="269"/>
      <c r="GCC237" s="269"/>
      <c r="GCD237" s="269"/>
      <c r="GCE237" s="269"/>
      <c r="GCF237" s="269"/>
      <c r="GCG237" s="269"/>
      <c r="GCH237" s="269"/>
      <c r="GCI237" s="269"/>
      <c r="GCJ237" s="269"/>
      <c r="GCK237" s="269"/>
      <c r="GCL237" s="269"/>
      <c r="GCM237" s="269"/>
      <c r="GCN237" s="269"/>
      <c r="GCO237" s="269"/>
      <c r="GCP237" s="269"/>
      <c r="GCQ237" s="269"/>
      <c r="GCR237" s="269"/>
      <c r="GCS237" s="269"/>
      <c r="GCT237" s="269"/>
      <c r="GCU237" s="269"/>
      <c r="GCV237" s="269"/>
      <c r="GCW237" s="269"/>
      <c r="GCX237" s="269"/>
      <c r="GCY237" s="269"/>
      <c r="GCZ237" s="269"/>
      <c r="GDA237" s="269"/>
      <c r="GDB237" s="269"/>
      <c r="GDC237" s="269"/>
      <c r="GDD237" s="269"/>
      <c r="GDE237" s="269"/>
      <c r="GDF237" s="269"/>
      <c r="GDG237" s="269"/>
      <c r="GDH237" s="269"/>
      <c r="GDI237" s="269"/>
      <c r="GDJ237" s="269"/>
      <c r="GDK237" s="269"/>
      <c r="GDL237" s="269"/>
      <c r="GDM237" s="269"/>
      <c r="GDN237" s="269"/>
      <c r="GDO237" s="269"/>
      <c r="GDP237" s="269"/>
      <c r="GDQ237" s="269"/>
      <c r="GDR237" s="269"/>
      <c r="GDS237" s="269"/>
      <c r="GDT237" s="269"/>
      <c r="GDU237" s="269"/>
      <c r="GDV237" s="269"/>
      <c r="GDW237" s="269"/>
      <c r="GDX237" s="269"/>
      <c r="GDY237" s="269"/>
      <c r="GDZ237" s="269"/>
      <c r="GEA237" s="269"/>
      <c r="GEB237" s="269"/>
      <c r="GEC237" s="269"/>
      <c r="GED237" s="269"/>
      <c r="GEE237" s="269"/>
      <c r="GEF237" s="269"/>
      <c r="GEG237" s="269"/>
      <c r="GEH237" s="269"/>
      <c r="GEI237" s="269"/>
      <c r="GEJ237" s="269"/>
      <c r="GEK237" s="269"/>
      <c r="GEL237" s="269"/>
      <c r="GEM237" s="269"/>
      <c r="GEN237" s="269"/>
      <c r="GEO237" s="269"/>
      <c r="GEP237" s="269"/>
      <c r="GEQ237" s="269"/>
      <c r="GER237" s="269"/>
      <c r="GES237" s="269"/>
      <c r="GET237" s="269"/>
      <c r="GEU237" s="269"/>
      <c r="GEV237" s="269"/>
      <c r="GEW237" s="269"/>
      <c r="GEX237" s="269"/>
      <c r="GEY237" s="269"/>
      <c r="GEZ237" s="269"/>
      <c r="GFA237" s="269"/>
      <c r="GFB237" s="269"/>
      <c r="GFC237" s="269"/>
      <c r="GFD237" s="269"/>
      <c r="GFE237" s="269"/>
      <c r="GFF237" s="269"/>
      <c r="GFG237" s="269"/>
      <c r="GFH237" s="269"/>
      <c r="GFI237" s="269"/>
      <c r="GFJ237" s="269"/>
      <c r="GFK237" s="269"/>
      <c r="GFL237" s="269"/>
      <c r="GFM237" s="269"/>
      <c r="GFN237" s="269"/>
      <c r="GFO237" s="269"/>
      <c r="GFP237" s="269"/>
      <c r="GFQ237" s="269"/>
      <c r="GFR237" s="269"/>
      <c r="GFS237" s="269"/>
      <c r="GFT237" s="269"/>
      <c r="GFU237" s="269"/>
      <c r="GFV237" s="269"/>
      <c r="GFW237" s="269"/>
      <c r="GFX237" s="269"/>
      <c r="GFY237" s="269"/>
      <c r="GFZ237" s="269"/>
      <c r="GGA237" s="269"/>
      <c r="GGB237" s="269"/>
      <c r="GGC237" s="269"/>
      <c r="GGD237" s="269"/>
      <c r="GGE237" s="269"/>
      <c r="GGF237" s="269"/>
      <c r="GGG237" s="269"/>
      <c r="GGH237" s="269"/>
      <c r="GGI237" s="269"/>
      <c r="GGJ237" s="269"/>
      <c r="GGK237" s="269"/>
      <c r="GGL237" s="269"/>
      <c r="GGM237" s="269"/>
      <c r="GGN237" s="269"/>
      <c r="GGO237" s="269"/>
      <c r="GGP237" s="269"/>
      <c r="GGQ237" s="269"/>
      <c r="GGR237" s="269"/>
      <c r="GGS237" s="269"/>
      <c r="GGT237" s="269"/>
      <c r="GGU237" s="269"/>
      <c r="GGV237" s="269"/>
      <c r="GGW237" s="269"/>
      <c r="GGX237" s="269"/>
      <c r="GGY237" s="269"/>
      <c r="GGZ237" s="269"/>
      <c r="GHA237" s="269"/>
      <c r="GHB237" s="269"/>
      <c r="GHC237" s="269"/>
      <c r="GHD237" s="269"/>
      <c r="GHE237" s="269"/>
      <c r="GHF237" s="269"/>
      <c r="GHG237" s="269"/>
      <c r="GHH237" s="269"/>
      <c r="GHI237" s="269"/>
      <c r="GHJ237" s="269"/>
      <c r="GHK237" s="269"/>
      <c r="GHL237" s="269"/>
      <c r="GHM237" s="269"/>
      <c r="GHN237" s="269"/>
      <c r="GHO237" s="269"/>
      <c r="GHP237" s="269"/>
      <c r="GHQ237" s="269"/>
      <c r="GHR237" s="269"/>
      <c r="GHS237" s="269"/>
      <c r="GHT237" s="269"/>
      <c r="GHU237" s="269"/>
      <c r="GHV237" s="269"/>
      <c r="GHW237" s="269"/>
      <c r="GHX237" s="269"/>
      <c r="GHY237" s="269"/>
      <c r="GHZ237" s="269"/>
      <c r="GIA237" s="269"/>
      <c r="GIB237" s="269"/>
      <c r="GIC237" s="269"/>
      <c r="GID237" s="269"/>
      <c r="GIE237" s="269"/>
      <c r="GIF237" s="269"/>
      <c r="GIG237" s="269"/>
      <c r="GIH237" s="269"/>
      <c r="GII237" s="269"/>
      <c r="GIJ237" s="269"/>
      <c r="GIK237" s="269"/>
      <c r="GIL237" s="269"/>
      <c r="GIM237" s="269"/>
      <c r="GIN237" s="269"/>
      <c r="GIO237" s="269"/>
      <c r="GIP237" s="269"/>
      <c r="GIQ237" s="269"/>
      <c r="GIR237" s="269"/>
      <c r="GIS237" s="269"/>
      <c r="GIT237" s="269"/>
      <c r="GIU237" s="269"/>
      <c r="GIV237" s="269"/>
      <c r="GIW237" s="269"/>
      <c r="GIX237" s="269"/>
      <c r="GIY237" s="269"/>
      <c r="GIZ237" s="269"/>
      <c r="GJA237" s="269"/>
      <c r="GJB237" s="269"/>
      <c r="GJC237" s="269"/>
      <c r="GJD237" s="269"/>
      <c r="GJE237" s="269"/>
      <c r="GJF237" s="269"/>
      <c r="GJG237" s="269"/>
      <c r="GJH237" s="269"/>
      <c r="GJI237" s="269"/>
      <c r="GJJ237" s="269"/>
      <c r="GJK237" s="269"/>
      <c r="GJL237" s="269"/>
      <c r="GJM237" s="269"/>
      <c r="GJN237" s="269"/>
      <c r="GJO237" s="269"/>
      <c r="GJP237" s="269"/>
      <c r="GJQ237" s="269"/>
      <c r="GJR237" s="269"/>
      <c r="GJS237" s="269"/>
      <c r="GJT237" s="269"/>
      <c r="GJU237" s="269"/>
      <c r="GJV237" s="269"/>
      <c r="GJW237" s="269"/>
      <c r="GJX237" s="269"/>
      <c r="GJY237" s="269"/>
      <c r="GJZ237" s="269"/>
      <c r="GKA237" s="269"/>
      <c r="GKB237" s="269"/>
      <c r="GKC237" s="269"/>
      <c r="GKD237" s="269"/>
      <c r="GKE237" s="269"/>
      <c r="GKF237" s="269"/>
      <c r="GKG237" s="269"/>
      <c r="GKH237" s="269"/>
      <c r="GKI237" s="269"/>
      <c r="GKJ237" s="269"/>
      <c r="GKK237" s="269"/>
      <c r="GKL237" s="269"/>
      <c r="GKM237" s="269"/>
      <c r="GKN237" s="269"/>
      <c r="GKO237" s="269"/>
      <c r="GKP237" s="269"/>
      <c r="GKQ237" s="269"/>
      <c r="GKR237" s="269"/>
      <c r="GKS237" s="269"/>
      <c r="GKT237" s="269"/>
      <c r="GKU237" s="269"/>
      <c r="GKV237" s="269"/>
      <c r="GKW237" s="269"/>
      <c r="GKX237" s="269"/>
      <c r="GKY237" s="269"/>
      <c r="GKZ237" s="269"/>
      <c r="GLA237" s="269"/>
      <c r="GLB237" s="269"/>
      <c r="GLC237" s="269"/>
      <c r="GLD237" s="269"/>
      <c r="GLE237" s="269"/>
      <c r="GLF237" s="269"/>
      <c r="GLG237" s="269"/>
      <c r="GLH237" s="269"/>
      <c r="GLI237" s="269"/>
      <c r="GLJ237" s="269"/>
      <c r="GLK237" s="269"/>
      <c r="GLL237" s="269"/>
      <c r="GLM237" s="269"/>
      <c r="GLN237" s="269"/>
      <c r="GLO237" s="269"/>
      <c r="GLP237" s="269"/>
      <c r="GLQ237" s="269"/>
      <c r="GLR237" s="269"/>
      <c r="GLS237" s="269"/>
      <c r="GLT237" s="269"/>
      <c r="GLU237" s="269"/>
      <c r="GLV237" s="269"/>
      <c r="GLW237" s="269"/>
      <c r="GLX237" s="269"/>
      <c r="GLY237" s="269"/>
      <c r="GLZ237" s="269"/>
      <c r="GMA237" s="269"/>
      <c r="GMB237" s="269"/>
      <c r="GMC237" s="269"/>
      <c r="GMD237" s="269"/>
      <c r="GME237" s="269"/>
      <c r="GMF237" s="269"/>
      <c r="GMG237" s="269"/>
      <c r="GMH237" s="269"/>
      <c r="GMI237" s="269"/>
      <c r="GMJ237" s="269"/>
      <c r="GMK237" s="269"/>
      <c r="GML237" s="269"/>
      <c r="GMM237" s="269"/>
      <c r="GMN237" s="269"/>
      <c r="GMO237" s="269"/>
      <c r="GMP237" s="269"/>
      <c r="GMQ237" s="269"/>
      <c r="GMR237" s="269"/>
      <c r="GMS237" s="269"/>
      <c r="GMT237" s="269"/>
      <c r="GMU237" s="269"/>
      <c r="GMV237" s="269"/>
      <c r="GMW237" s="269"/>
      <c r="GMX237" s="269"/>
      <c r="GMY237" s="269"/>
      <c r="GMZ237" s="269"/>
      <c r="GNA237" s="269"/>
      <c r="GNB237" s="269"/>
      <c r="GNC237" s="269"/>
      <c r="GND237" s="269"/>
      <c r="GNE237" s="269"/>
      <c r="GNF237" s="269"/>
      <c r="GNG237" s="269"/>
      <c r="GNH237" s="269"/>
      <c r="GNI237" s="269"/>
      <c r="GNJ237" s="269"/>
      <c r="GNK237" s="269"/>
      <c r="GNL237" s="269"/>
      <c r="GNM237" s="269"/>
      <c r="GNN237" s="269"/>
      <c r="GNO237" s="269"/>
      <c r="GNP237" s="269"/>
      <c r="GNQ237" s="269"/>
      <c r="GNR237" s="269"/>
      <c r="GNS237" s="269"/>
      <c r="GNT237" s="269"/>
      <c r="GNU237" s="269"/>
      <c r="GNV237" s="269"/>
      <c r="GNW237" s="269"/>
      <c r="GNX237" s="269"/>
      <c r="GNY237" s="269"/>
      <c r="GNZ237" s="269"/>
      <c r="GOA237" s="269"/>
      <c r="GOB237" s="269"/>
      <c r="GOC237" s="269"/>
      <c r="GOD237" s="269"/>
      <c r="GOE237" s="269"/>
      <c r="GOF237" s="269"/>
      <c r="GOG237" s="269"/>
      <c r="GOH237" s="269"/>
      <c r="GOI237" s="269"/>
      <c r="GOJ237" s="269"/>
      <c r="GOK237" s="269"/>
      <c r="GOL237" s="269"/>
      <c r="GOM237" s="269"/>
      <c r="GON237" s="269"/>
      <c r="GOO237" s="269"/>
      <c r="GOP237" s="269"/>
      <c r="GOQ237" s="269"/>
      <c r="GOR237" s="269"/>
      <c r="GOS237" s="269"/>
      <c r="GOT237" s="269"/>
      <c r="GOU237" s="269"/>
      <c r="GOV237" s="269"/>
      <c r="GOW237" s="269"/>
      <c r="GOX237" s="269"/>
      <c r="GOY237" s="269"/>
      <c r="GOZ237" s="269"/>
      <c r="GPA237" s="269"/>
      <c r="GPB237" s="269"/>
      <c r="GPC237" s="269"/>
      <c r="GPD237" s="269"/>
      <c r="GPE237" s="269"/>
      <c r="GPF237" s="269"/>
      <c r="GPG237" s="269"/>
      <c r="GPH237" s="269"/>
      <c r="GPI237" s="269"/>
      <c r="GPJ237" s="269"/>
      <c r="GPK237" s="269"/>
      <c r="GPL237" s="269"/>
      <c r="GPM237" s="269"/>
      <c r="GPN237" s="269"/>
      <c r="GPO237" s="269"/>
      <c r="GPP237" s="269"/>
      <c r="GPQ237" s="269"/>
      <c r="GPR237" s="269"/>
      <c r="GPS237" s="269"/>
      <c r="GPT237" s="269"/>
      <c r="GPU237" s="269"/>
      <c r="GPV237" s="269"/>
      <c r="GPW237" s="269"/>
      <c r="GPX237" s="269"/>
      <c r="GPY237" s="269"/>
      <c r="GPZ237" s="269"/>
      <c r="GQA237" s="269"/>
      <c r="GQB237" s="269"/>
      <c r="GQC237" s="269"/>
      <c r="GQD237" s="269"/>
      <c r="GQE237" s="269"/>
      <c r="GQF237" s="269"/>
      <c r="GQG237" s="269"/>
      <c r="GQH237" s="269"/>
      <c r="GQI237" s="269"/>
      <c r="GQJ237" s="269"/>
      <c r="GQK237" s="269"/>
      <c r="GQL237" s="269"/>
      <c r="GQM237" s="269"/>
      <c r="GQN237" s="269"/>
      <c r="GQO237" s="269"/>
      <c r="GQP237" s="269"/>
      <c r="GQQ237" s="269"/>
      <c r="GQR237" s="269"/>
      <c r="GQS237" s="269"/>
      <c r="GQT237" s="269"/>
      <c r="GQU237" s="269"/>
      <c r="GQV237" s="269"/>
      <c r="GQW237" s="269"/>
      <c r="GQX237" s="269"/>
      <c r="GQY237" s="269"/>
      <c r="GQZ237" s="269"/>
      <c r="GRA237" s="269"/>
      <c r="GRB237" s="269"/>
      <c r="GRC237" s="269"/>
      <c r="GRD237" s="269"/>
      <c r="GRE237" s="269"/>
      <c r="GRF237" s="269"/>
      <c r="GRG237" s="269"/>
      <c r="GRH237" s="269"/>
      <c r="GRI237" s="269"/>
      <c r="GRJ237" s="269"/>
      <c r="GRK237" s="269"/>
      <c r="GRL237" s="269"/>
      <c r="GRM237" s="269"/>
      <c r="GRN237" s="269"/>
      <c r="GRO237" s="269"/>
      <c r="GRP237" s="269"/>
      <c r="GRQ237" s="269"/>
      <c r="GRR237" s="269"/>
      <c r="GRS237" s="269"/>
      <c r="GRT237" s="269"/>
      <c r="GRU237" s="269"/>
      <c r="GRV237" s="269"/>
      <c r="GRW237" s="269"/>
      <c r="GRX237" s="269"/>
      <c r="GRY237" s="269"/>
      <c r="GRZ237" s="269"/>
      <c r="GSA237" s="269"/>
      <c r="GSB237" s="269"/>
      <c r="GSC237" s="269"/>
      <c r="GSD237" s="269"/>
      <c r="GSE237" s="269"/>
      <c r="GSF237" s="269"/>
      <c r="GSG237" s="269"/>
      <c r="GSH237" s="269"/>
      <c r="GSI237" s="269"/>
      <c r="GSJ237" s="269"/>
      <c r="GSK237" s="269"/>
      <c r="GSL237" s="269"/>
      <c r="GSM237" s="269"/>
      <c r="GSN237" s="269"/>
      <c r="GSO237" s="269"/>
      <c r="GSP237" s="269"/>
      <c r="GSQ237" s="269"/>
      <c r="GSR237" s="269"/>
      <c r="GSS237" s="269"/>
      <c r="GST237" s="269"/>
      <c r="GSU237" s="269"/>
      <c r="GSV237" s="269"/>
      <c r="GSW237" s="269"/>
      <c r="GSX237" s="269"/>
      <c r="GSY237" s="269"/>
      <c r="GSZ237" s="269"/>
      <c r="GTA237" s="269"/>
      <c r="GTB237" s="269"/>
      <c r="GTC237" s="269"/>
      <c r="GTD237" s="269"/>
      <c r="GTE237" s="269"/>
      <c r="GTF237" s="269"/>
      <c r="GTG237" s="269"/>
      <c r="GTH237" s="269"/>
      <c r="GTI237" s="269"/>
      <c r="GTJ237" s="269"/>
      <c r="GTK237" s="269"/>
      <c r="GTL237" s="269"/>
      <c r="GTM237" s="269"/>
      <c r="GTN237" s="269"/>
      <c r="GTO237" s="269"/>
      <c r="GTP237" s="269"/>
      <c r="GTQ237" s="269"/>
      <c r="GTR237" s="269"/>
      <c r="GTS237" s="269"/>
      <c r="GTT237" s="269"/>
      <c r="GTU237" s="269"/>
      <c r="GTV237" s="269"/>
      <c r="GTW237" s="269"/>
      <c r="GTX237" s="269"/>
      <c r="GTY237" s="269"/>
      <c r="GTZ237" s="269"/>
      <c r="GUA237" s="269"/>
      <c r="GUB237" s="269"/>
      <c r="GUC237" s="269"/>
      <c r="GUD237" s="269"/>
      <c r="GUE237" s="269"/>
      <c r="GUF237" s="269"/>
      <c r="GUG237" s="269"/>
      <c r="GUH237" s="269"/>
      <c r="GUI237" s="269"/>
      <c r="GUJ237" s="269"/>
      <c r="GUK237" s="269"/>
      <c r="GUL237" s="269"/>
      <c r="GUM237" s="269"/>
      <c r="GUN237" s="269"/>
      <c r="GUO237" s="269"/>
      <c r="GUP237" s="269"/>
      <c r="GUQ237" s="269"/>
      <c r="GUR237" s="269"/>
      <c r="GUS237" s="269"/>
      <c r="GUT237" s="269"/>
      <c r="GUU237" s="269"/>
      <c r="GUV237" s="269"/>
      <c r="GUW237" s="269"/>
      <c r="GUX237" s="269"/>
      <c r="GUY237" s="269"/>
      <c r="GUZ237" s="269"/>
      <c r="GVA237" s="269"/>
      <c r="GVB237" s="269"/>
      <c r="GVC237" s="269"/>
      <c r="GVD237" s="269"/>
      <c r="GVE237" s="269"/>
      <c r="GVF237" s="269"/>
      <c r="GVG237" s="269"/>
      <c r="GVH237" s="269"/>
      <c r="GVI237" s="269"/>
      <c r="GVJ237" s="269"/>
      <c r="GVK237" s="269"/>
      <c r="GVL237" s="269"/>
      <c r="GVM237" s="269"/>
      <c r="GVN237" s="269"/>
      <c r="GVO237" s="269"/>
      <c r="GVP237" s="269"/>
      <c r="GVQ237" s="269"/>
      <c r="GVR237" s="269"/>
      <c r="GVS237" s="269"/>
      <c r="GVT237" s="269"/>
      <c r="GVU237" s="269"/>
      <c r="GVV237" s="269"/>
      <c r="GVW237" s="269"/>
      <c r="GVX237" s="269"/>
      <c r="GVY237" s="269"/>
      <c r="GVZ237" s="269"/>
      <c r="GWA237" s="269"/>
      <c r="GWB237" s="269"/>
      <c r="GWC237" s="269"/>
      <c r="GWD237" s="269"/>
      <c r="GWE237" s="269"/>
      <c r="GWF237" s="269"/>
      <c r="GWG237" s="269"/>
      <c r="GWH237" s="269"/>
      <c r="GWI237" s="269"/>
      <c r="GWJ237" s="269"/>
      <c r="GWK237" s="269"/>
      <c r="GWL237" s="269"/>
      <c r="GWM237" s="269"/>
      <c r="GWN237" s="269"/>
      <c r="GWO237" s="269"/>
      <c r="GWP237" s="269"/>
      <c r="GWQ237" s="269"/>
      <c r="GWR237" s="269"/>
      <c r="GWS237" s="269"/>
      <c r="GWT237" s="269"/>
      <c r="GWU237" s="269"/>
      <c r="GWV237" s="269"/>
      <c r="GWW237" s="269"/>
      <c r="GWX237" s="269"/>
      <c r="GWY237" s="269"/>
      <c r="GWZ237" s="269"/>
      <c r="GXA237" s="269"/>
      <c r="GXB237" s="269"/>
      <c r="GXC237" s="269"/>
      <c r="GXD237" s="269"/>
      <c r="GXE237" s="269"/>
      <c r="GXF237" s="269"/>
      <c r="GXG237" s="269"/>
      <c r="GXH237" s="269"/>
      <c r="GXI237" s="269"/>
      <c r="GXJ237" s="269"/>
      <c r="GXK237" s="269"/>
      <c r="GXL237" s="269"/>
      <c r="GXM237" s="269"/>
      <c r="GXN237" s="269"/>
      <c r="GXO237" s="269"/>
      <c r="GXP237" s="269"/>
      <c r="GXQ237" s="269"/>
      <c r="GXR237" s="269"/>
      <c r="GXS237" s="269"/>
      <c r="GXT237" s="269"/>
      <c r="GXU237" s="269"/>
      <c r="GXV237" s="269"/>
      <c r="GXW237" s="269"/>
      <c r="GXX237" s="269"/>
      <c r="GXY237" s="269"/>
      <c r="GXZ237" s="269"/>
      <c r="GYA237" s="269"/>
      <c r="GYB237" s="269"/>
      <c r="GYC237" s="269"/>
      <c r="GYD237" s="269"/>
      <c r="GYE237" s="269"/>
      <c r="GYF237" s="269"/>
      <c r="GYG237" s="269"/>
      <c r="GYH237" s="269"/>
      <c r="GYI237" s="269"/>
      <c r="GYJ237" s="269"/>
      <c r="GYK237" s="269"/>
      <c r="GYL237" s="269"/>
      <c r="GYM237" s="269"/>
      <c r="GYN237" s="269"/>
      <c r="GYO237" s="269"/>
      <c r="GYP237" s="269"/>
      <c r="GYQ237" s="269"/>
      <c r="GYR237" s="269"/>
      <c r="GYS237" s="269"/>
      <c r="GYT237" s="269"/>
      <c r="GYU237" s="269"/>
      <c r="GYV237" s="269"/>
      <c r="GYW237" s="269"/>
      <c r="GYX237" s="269"/>
      <c r="GYY237" s="269"/>
      <c r="GYZ237" s="269"/>
      <c r="GZA237" s="269"/>
      <c r="GZB237" s="269"/>
      <c r="GZC237" s="269"/>
      <c r="GZD237" s="269"/>
      <c r="GZE237" s="269"/>
      <c r="GZF237" s="269"/>
      <c r="GZG237" s="269"/>
      <c r="GZH237" s="269"/>
      <c r="GZI237" s="269"/>
      <c r="GZJ237" s="269"/>
      <c r="GZK237" s="269"/>
      <c r="GZL237" s="269"/>
      <c r="GZM237" s="269"/>
      <c r="GZN237" s="269"/>
      <c r="GZO237" s="269"/>
      <c r="GZP237" s="269"/>
      <c r="GZQ237" s="269"/>
      <c r="GZR237" s="269"/>
      <c r="GZS237" s="269"/>
      <c r="GZT237" s="269"/>
      <c r="GZU237" s="269"/>
      <c r="GZV237" s="269"/>
      <c r="GZW237" s="269"/>
      <c r="GZX237" s="269"/>
      <c r="GZY237" s="269"/>
      <c r="GZZ237" s="269"/>
      <c r="HAA237" s="269"/>
      <c r="HAB237" s="269"/>
      <c r="HAC237" s="269"/>
      <c r="HAD237" s="269"/>
      <c r="HAE237" s="269"/>
      <c r="HAF237" s="269"/>
      <c r="HAG237" s="269"/>
      <c r="HAH237" s="269"/>
      <c r="HAI237" s="269"/>
      <c r="HAJ237" s="269"/>
      <c r="HAK237" s="269"/>
      <c r="HAL237" s="269"/>
      <c r="HAM237" s="269"/>
      <c r="HAN237" s="269"/>
      <c r="HAO237" s="269"/>
      <c r="HAP237" s="269"/>
      <c r="HAQ237" s="269"/>
      <c r="HAR237" s="269"/>
      <c r="HAS237" s="269"/>
      <c r="HAT237" s="269"/>
      <c r="HAU237" s="269"/>
      <c r="HAV237" s="269"/>
      <c r="HAW237" s="269"/>
      <c r="HAX237" s="269"/>
      <c r="HAY237" s="269"/>
      <c r="HAZ237" s="269"/>
      <c r="HBA237" s="269"/>
      <c r="HBB237" s="269"/>
      <c r="HBC237" s="269"/>
      <c r="HBD237" s="269"/>
      <c r="HBE237" s="269"/>
      <c r="HBF237" s="269"/>
      <c r="HBG237" s="269"/>
      <c r="HBH237" s="269"/>
      <c r="HBI237" s="269"/>
      <c r="HBJ237" s="269"/>
      <c r="HBK237" s="269"/>
      <c r="HBL237" s="269"/>
      <c r="HBM237" s="269"/>
      <c r="HBN237" s="269"/>
      <c r="HBO237" s="269"/>
      <c r="HBP237" s="269"/>
      <c r="HBQ237" s="269"/>
      <c r="HBR237" s="269"/>
      <c r="HBS237" s="269"/>
      <c r="HBT237" s="269"/>
      <c r="HBU237" s="269"/>
      <c r="HBV237" s="269"/>
      <c r="HBW237" s="269"/>
      <c r="HBX237" s="269"/>
      <c r="HBY237" s="269"/>
      <c r="HBZ237" s="269"/>
      <c r="HCA237" s="269"/>
      <c r="HCB237" s="269"/>
      <c r="HCC237" s="269"/>
      <c r="HCD237" s="269"/>
      <c r="HCE237" s="269"/>
      <c r="HCF237" s="269"/>
      <c r="HCG237" s="269"/>
      <c r="HCH237" s="269"/>
      <c r="HCI237" s="269"/>
      <c r="HCJ237" s="269"/>
      <c r="HCK237" s="269"/>
      <c r="HCL237" s="269"/>
      <c r="HCM237" s="269"/>
      <c r="HCN237" s="269"/>
      <c r="HCO237" s="269"/>
      <c r="HCP237" s="269"/>
      <c r="HCQ237" s="269"/>
      <c r="HCR237" s="269"/>
      <c r="HCS237" s="269"/>
      <c r="HCT237" s="269"/>
      <c r="HCU237" s="269"/>
      <c r="HCV237" s="269"/>
      <c r="HCW237" s="269"/>
      <c r="HCX237" s="269"/>
      <c r="HCY237" s="269"/>
      <c r="HCZ237" s="269"/>
      <c r="HDA237" s="269"/>
      <c r="HDB237" s="269"/>
      <c r="HDC237" s="269"/>
      <c r="HDD237" s="269"/>
      <c r="HDE237" s="269"/>
      <c r="HDF237" s="269"/>
      <c r="HDG237" s="269"/>
      <c r="HDH237" s="269"/>
      <c r="HDI237" s="269"/>
      <c r="HDJ237" s="269"/>
      <c r="HDK237" s="269"/>
      <c r="HDL237" s="269"/>
      <c r="HDM237" s="269"/>
      <c r="HDN237" s="269"/>
      <c r="HDO237" s="269"/>
      <c r="HDP237" s="269"/>
      <c r="HDQ237" s="269"/>
      <c r="HDR237" s="269"/>
      <c r="HDS237" s="269"/>
      <c r="HDT237" s="269"/>
      <c r="HDU237" s="269"/>
      <c r="HDV237" s="269"/>
      <c r="HDW237" s="269"/>
      <c r="HDX237" s="269"/>
      <c r="HDY237" s="269"/>
      <c r="HDZ237" s="269"/>
      <c r="HEA237" s="269"/>
      <c r="HEB237" s="269"/>
      <c r="HEC237" s="269"/>
      <c r="HED237" s="269"/>
      <c r="HEE237" s="269"/>
      <c r="HEF237" s="269"/>
      <c r="HEG237" s="269"/>
      <c r="HEH237" s="269"/>
      <c r="HEI237" s="269"/>
      <c r="HEJ237" s="269"/>
      <c r="HEK237" s="269"/>
      <c r="HEL237" s="269"/>
      <c r="HEM237" s="269"/>
      <c r="HEN237" s="269"/>
      <c r="HEO237" s="269"/>
      <c r="HEP237" s="269"/>
      <c r="HEQ237" s="269"/>
      <c r="HER237" s="269"/>
      <c r="HES237" s="269"/>
      <c r="HET237" s="269"/>
      <c r="HEU237" s="269"/>
      <c r="HEV237" s="269"/>
      <c r="HEW237" s="269"/>
      <c r="HEX237" s="269"/>
      <c r="HEY237" s="269"/>
      <c r="HEZ237" s="269"/>
      <c r="HFA237" s="269"/>
      <c r="HFB237" s="269"/>
      <c r="HFC237" s="269"/>
      <c r="HFD237" s="269"/>
      <c r="HFE237" s="269"/>
      <c r="HFF237" s="269"/>
      <c r="HFG237" s="269"/>
      <c r="HFH237" s="269"/>
      <c r="HFI237" s="269"/>
      <c r="HFJ237" s="269"/>
      <c r="HFK237" s="269"/>
      <c r="HFL237" s="269"/>
      <c r="HFM237" s="269"/>
      <c r="HFN237" s="269"/>
      <c r="HFO237" s="269"/>
      <c r="HFP237" s="269"/>
      <c r="HFQ237" s="269"/>
      <c r="HFR237" s="269"/>
      <c r="HFS237" s="269"/>
      <c r="HFT237" s="269"/>
      <c r="HFU237" s="269"/>
      <c r="HFV237" s="269"/>
      <c r="HFW237" s="269"/>
      <c r="HFX237" s="269"/>
      <c r="HFY237" s="269"/>
      <c r="HFZ237" s="269"/>
      <c r="HGA237" s="269"/>
      <c r="HGB237" s="269"/>
      <c r="HGC237" s="269"/>
      <c r="HGD237" s="269"/>
      <c r="HGE237" s="269"/>
      <c r="HGF237" s="269"/>
      <c r="HGG237" s="269"/>
      <c r="HGH237" s="269"/>
      <c r="HGI237" s="269"/>
      <c r="HGJ237" s="269"/>
      <c r="HGK237" s="269"/>
      <c r="HGL237" s="269"/>
      <c r="HGM237" s="269"/>
      <c r="HGN237" s="269"/>
      <c r="HGO237" s="269"/>
      <c r="HGP237" s="269"/>
      <c r="HGQ237" s="269"/>
      <c r="HGR237" s="269"/>
      <c r="HGS237" s="269"/>
      <c r="HGT237" s="269"/>
      <c r="HGU237" s="269"/>
      <c r="HGV237" s="269"/>
      <c r="HGW237" s="269"/>
      <c r="HGX237" s="269"/>
      <c r="HGY237" s="269"/>
      <c r="HGZ237" s="269"/>
      <c r="HHA237" s="269"/>
      <c r="HHB237" s="269"/>
      <c r="HHC237" s="269"/>
      <c r="HHD237" s="269"/>
      <c r="HHE237" s="269"/>
      <c r="HHF237" s="269"/>
      <c r="HHG237" s="269"/>
      <c r="HHH237" s="269"/>
      <c r="HHI237" s="269"/>
      <c r="HHJ237" s="269"/>
      <c r="HHK237" s="269"/>
      <c r="HHL237" s="269"/>
      <c r="HHM237" s="269"/>
      <c r="HHN237" s="269"/>
      <c r="HHO237" s="269"/>
      <c r="HHP237" s="269"/>
      <c r="HHQ237" s="269"/>
      <c r="HHR237" s="269"/>
      <c r="HHS237" s="269"/>
      <c r="HHT237" s="269"/>
      <c r="HHU237" s="269"/>
      <c r="HHV237" s="269"/>
      <c r="HHW237" s="269"/>
      <c r="HHX237" s="269"/>
      <c r="HHY237" s="269"/>
      <c r="HHZ237" s="269"/>
      <c r="HIA237" s="269"/>
      <c r="HIB237" s="269"/>
      <c r="HIC237" s="269"/>
      <c r="HID237" s="269"/>
      <c r="HIE237" s="269"/>
      <c r="HIF237" s="269"/>
      <c r="HIG237" s="269"/>
      <c r="HIH237" s="269"/>
      <c r="HII237" s="269"/>
      <c r="HIJ237" s="269"/>
      <c r="HIK237" s="269"/>
      <c r="HIL237" s="269"/>
      <c r="HIM237" s="269"/>
      <c r="HIN237" s="269"/>
      <c r="HIO237" s="269"/>
      <c r="HIP237" s="269"/>
      <c r="HIQ237" s="269"/>
      <c r="HIR237" s="269"/>
      <c r="HIS237" s="269"/>
      <c r="HIT237" s="269"/>
      <c r="HIU237" s="269"/>
      <c r="HIV237" s="269"/>
      <c r="HIW237" s="269"/>
      <c r="HIX237" s="269"/>
      <c r="HIY237" s="269"/>
      <c r="HIZ237" s="269"/>
      <c r="HJA237" s="269"/>
      <c r="HJB237" s="269"/>
      <c r="HJC237" s="269"/>
      <c r="HJD237" s="269"/>
      <c r="HJE237" s="269"/>
      <c r="HJF237" s="269"/>
      <c r="HJG237" s="269"/>
      <c r="HJH237" s="269"/>
      <c r="HJI237" s="269"/>
      <c r="HJJ237" s="269"/>
      <c r="HJK237" s="269"/>
      <c r="HJL237" s="269"/>
      <c r="HJM237" s="269"/>
      <c r="HJN237" s="269"/>
      <c r="HJO237" s="269"/>
      <c r="HJP237" s="269"/>
      <c r="HJQ237" s="269"/>
      <c r="HJR237" s="269"/>
      <c r="HJS237" s="269"/>
      <c r="HJT237" s="269"/>
      <c r="HJU237" s="269"/>
      <c r="HJV237" s="269"/>
      <c r="HJW237" s="269"/>
      <c r="HJX237" s="269"/>
      <c r="HJY237" s="269"/>
      <c r="HJZ237" s="269"/>
      <c r="HKA237" s="269"/>
      <c r="HKB237" s="269"/>
      <c r="HKC237" s="269"/>
      <c r="HKD237" s="269"/>
      <c r="HKE237" s="269"/>
      <c r="HKF237" s="269"/>
      <c r="HKG237" s="269"/>
      <c r="HKH237" s="269"/>
      <c r="HKI237" s="269"/>
      <c r="HKJ237" s="269"/>
      <c r="HKK237" s="269"/>
      <c r="HKL237" s="269"/>
      <c r="HKM237" s="269"/>
      <c r="HKN237" s="269"/>
      <c r="HKO237" s="269"/>
      <c r="HKP237" s="269"/>
      <c r="HKQ237" s="269"/>
      <c r="HKR237" s="269"/>
      <c r="HKS237" s="269"/>
      <c r="HKT237" s="269"/>
      <c r="HKU237" s="269"/>
      <c r="HKV237" s="269"/>
      <c r="HKW237" s="269"/>
      <c r="HKX237" s="269"/>
      <c r="HKY237" s="269"/>
      <c r="HKZ237" s="269"/>
      <c r="HLA237" s="269"/>
      <c r="HLB237" s="269"/>
      <c r="HLC237" s="269"/>
      <c r="HLD237" s="269"/>
      <c r="HLE237" s="269"/>
      <c r="HLF237" s="269"/>
      <c r="HLG237" s="269"/>
      <c r="HLH237" s="269"/>
      <c r="HLI237" s="269"/>
      <c r="HLJ237" s="269"/>
      <c r="HLK237" s="269"/>
      <c r="HLL237" s="269"/>
      <c r="HLM237" s="269"/>
      <c r="HLN237" s="269"/>
      <c r="HLO237" s="269"/>
      <c r="HLP237" s="269"/>
      <c r="HLQ237" s="269"/>
      <c r="HLR237" s="269"/>
      <c r="HLS237" s="269"/>
      <c r="HLT237" s="269"/>
      <c r="HLU237" s="269"/>
      <c r="HLV237" s="269"/>
      <c r="HLW237" s="269"/>
      <c r="HLX237" s="269"/>
      <c r="HLY237" s="269"/>
      <c r="HLZ237" s="269"/>
      <c r="HMA237" s="269"/>
      <c r="HMB237" s="269"/>
      <c r="HMC237" s="269"/>
      <c r="HMD237" s="269"/>
      <c r="HME237" s="269"/>
      <c r="HMF237" s="269"/>
      <c r="HMG237" s="269"/>
      <c r="HMH237" s="269"/>
      <c r="HMI237" s="269"/>
      <c r="HMJ237" s="269"/>
      <c r="HMK237" s="269"/>
      <c r="HML237" s="269"/>
      <c r="HMM237" s="269"/>
      <c r="HMN237" s="269"/>
      <c r="HMO237" s="269"/>
      <c r="HMP237" s="269"/>
      <c r="HMQ237" s="269"/>
      <c r="HMR237" s="269"/>
      <c r="HMS237" s="269"/>
      <c r="HMT237" s="269"/>
      <c r="HMU237" s="269"/>
      <c r="HMV237" s="269"/>
      <c r="HMW237" s="269"/>
      <c r="HMX237" s="269"/>
      <c r="HMY237" s="269"/>
      <c r="HMZ237" s="269"/>
      <c r="HNA237" s="269"/>
      <c r="HNB237" s="269"/>
      <c r="HNC237" s="269"/>
      <c r="HND237" s="269"/>
      <c r="HNE237" s="269"/>
      <c r="HNF237" s="269"/>
      <c r="HNG237" s="269"/>
      <c r="HNH237" s="269"/>
      <c r="HNI237" s="269"/>
      <c r="HNJ237" s="269"/>
      <c r="HNK237" s="269"/>
      <c r="HNL237" s="269"/>
      <c r="HNM237" s="269"/>
      <c r="HNN237" s="269"/>
      <c r="HNO237" s="269"/>
      <c r="HNP237" s="269"/>
      <c r="HNQ237" s="269"/>
      <c r="HNR237" s="269"/>
      <c r="HNS237" s="269"/>
      <c r="HNT237" s="269"/>
      <c r="HNU237" s="269"/>
      <c r="HNV237" s="269"/>
      <c r="HNW237" s="269"/>
      <c r="HNX237" s="269"/>
      <c r="HNY237" s="269"/>
      <c r="HNZ237" s="269"/>
      <c r="HOA237" s="269"/>
      <c r="HOB237" s="269"/>
      <c r="HOC237" s="269"/>
      <c r="HOD237" s="269"/>
      <c r="HOE237" s="269"/>
      <c r="HOF237" s="269"/>
      <c r="HOG237" s="269"/>
      <c r="HOH237" s="269"/>
      <c r="HOI237" s="269"/>
      <c r="HOJ237" s="269"/>
      <c r="HOK237" s="269"/>
      <c r="HOL237" s="269"/>
      <c r="HOM237" s="269"/>
      <c r="HON237" s="269"/>
      <c r="HOO237" s="269"/>
      <c r="HOP237" s="269"/>
      <c r="HOQ237" s="269"/>
      <c r="HOR237" s="269"/>
      <c r="HOS237" s="269"/>
      <c r="HOT237" s="269"/>
      <c r="HOU237" s="269"/>
      <c r="HOV237" s="269"/>
      <c r="HOW237" s="269"/>
      <c r="HOX237" s="269"/>
      <c r="HOY237" s="269"/>
      <c r="HOZ237" s="269"/>
      <c r="HPA237" s="269"/>
      <c r="HPB237" s="269"/>
      <c r="HPC237" s="269"/>
      <c r="HPD237" s="269"/>
      <c r="HPE237" s="269"/>
      <c r="HPF237" s="269"/>
      <c r="HPG237" s="269"/>
      <c r="HPH237" s="269"/>
      <c r="HPI237" s="269"/>
      <c r="HPJ237" s="269"/>
      <c r="HPK237" s="269"/>
      <c r="HPL237" s="269"/>
      <c r="HPM237" s="269"/>
      <c r="HPN237" s="269"/>
      <c r="HPO237" s="269"/>
      <c r="HPP237" s="269"/>
      <c r="HPQ237" s="269"/>
      <c r="HPR237" s="269"/>
      <c r="HPS237" s="269"/>
      <c r="HPT237" s="269"/>
      <c r="HPU237" s="269"/>
      <c r="HPV237" s="269"/>
      <c r="HPW237" s="269"/>
      <c r="HPX237" s="269"/>
      <c r="HPY237" s="269"/>
      <c r="HPZ237" s="269"/>
      <c r="HQA237" s="269"/>
      <c r="HQB237" s="269"/>
      <c r="HQC237" s="269"/>
      <c r="HQD237" s="269"/>
      <c r="HQE237" s="269"/>
      <c r="HQF237" s="269"/>
      <c r="HQG237" s="269"/>
      <c r="HQH237" s="269"/>
      <c r="HQI237" s="269"/>
      <c r="HQJ237" s="269"/>
      <c r="HQK237" s="269"/>
      <c r="HQL237" s="269"/>
      <c r="HQM237" s="269"/>
      <c r="HQN237" s="269"/>
      <c r="HQO237" s="269"/>
      <c r="HQP237" s="269"/>
      <c r="HQQ237" s="269"/>
      <c r="HQR237" s="269"/>
      <c r="HQS237" s="269"/>
      <c r="HQT237" s="269"/>
      <c r="HQU237" s="269"/>
      <c r="HQV237" s="269"/>
      <c r="HQW237" s="269"/>
      <c r="HQX237" s="269"/>
      <c r="HQY237" s="269"/>
      <c r="HQZ237" s="269"/>
      <c r="HRA237" s="269"/>
      <c r="HRB237" s="269"/>
      <c r="HRC237" s="269"/>
      <c r="HRD237" s="269"/>
      <c r="HRE237" s="269"/>
      <c r="HRF237" s="269"/>
      <c r="HRG237" s="269"/>
      <c r="HRH237" s="269"/>
      <c r="HRI237" s="269"/>
      <c r="HRJ237" s="269"/>
      <c r="HRK237" s="269"/>
      <c r="HRL237" s="269"/>
      <c r="HRM237" s="269"/>
      <c r="HRN237" s="269"/>
      <c r="HRO237" s="269"/>
      <c r="HRP237" s="269"/>
      <c r="HRQ237" s="269"/>
      <c r="HRR237" s="269"/>
      <c r="HRS237" s="269"/>
      <c r="HRT237" s="269"/>
      <c r="HRU237" s="269"/>
      <c r="HRV237" s="269"/>
      <c r="HRW237" s="269"/>
      <c r="HRX237" s="269"/>
      <c r="HRY237" s="269"/>
      <c r="HRZ237" s="269"/>
      <c r="HSA237" s="269"/>
      <c r="HSB237" s="269"/>
      <c r="HSC237" s="269"/>
      <c r="HSD237" s="269"/>
      <c r="HSE237" s="269"/>
      <c r="HSF237" s="269"/>
      <c r="HSG237" s="269"/>
      <c r="HSH237" s="269"/>
      <c r="HSI237" s="269"/>
      <c r="HSJ237" s="269"/>
      <c r="HSK237" s="269"/>
      <c r="HSL237" s="269"/>
      <c r="HSM237" s="269"/>
      <c r="HSN237" s="269"/>
      <c r="HSO237" s="269"/>
      <c r="HSP237" s="269"/>
      <c r="HSQ237" s="269"/>
      <c r="HSR237" s="269"/>
      <c r="HSS237" s="269"/>
      <c r="HST237" s="269"/>
      <c r="HSU237" s="269"/>
      <c r="HSV237" s="269"/>
      <c r="HSW237" s="269"/>
      <c r="HSX237" s="269"/>
      <c r="HSY237" s="269"/>
      <c r="HSZ237" s="269"/>
      <c r="HTA237" s="269"/>
      <c r="HTB237" s="269"/>
      <c r="HTC237" s="269"/>
      <c r="HTD237" s="269"/>
      <c r="HTE237" s="269"/>
      <c r="HTF237" s="269"/>
      <c r="HTG237" s="269"/>
      <c r="HTH237" s="269"/>
      <c r="HTI237" s="269"/>
      <c r="HTJ237" s="269"/>
      <c r="HTK237" s="269"/>
      <c r="HTL237" s="269"/>
      <c r="HTM237" s="269"/>
      <c r="HTN237" s="269"/>
      <c r="HTO237" s="269"/>
      <c r="HTP237" s="269"/>
      <c r="HTQ237" s="269"/>
      <c r="HTR237" s="269"/>
      <c r="HTS237" s="269"/>
      <c r="HTT237" s="269"/>
      <c r="HTU237" s="269"/>
      <c r="HTV237" s="269"/>
      <c r="HTW237" s="269"/>
      <c r="HTX237" s="269"/>
      <c r="HTY237" s="269"/>
      <c r="HTZ237" s="269"/>
      <c r="HUA237" s="269"/>
      <c r="HUB237" s="269"/>
      <c r="HUC237" s="269"/>
      <c r="HUD237" s="269"/>
      <c r="HUE237" s="269"/>
      <c r="HUF237" s="269"/>
      <c r="HUG237" s="269"/>
      <c r="HUH237" s="269"/>
      <c r="HUI237" s="269"/>
      <c r="HUJ237" s="269"/>
      <c r="HUK237" s="269"/>
      <c r="HUL237" s="269"/>
      <c r="HUM237" s="269"/>
      <c r="HUN237" s="269"/>
      <c r="HUO237" s="269"/>
      <c r="HUP237" s="269"/>
      <c r="HUQ237" s="269"/>
      <c r="HUR237" s="269"/>
      <c r="HUS237" s="269"/>
      <c r="HUT237" s="269"/>
      <c r="HUU237" s="269"/>
      <c r="HUV237" s="269"/>
      <c r="HUW237" s="269"/>
      <c r="HUX237" s="269"/>
      <c r="HUY237" s="269"/>
      <c r="HUZ237" s="269"/>
      <c r="HVA237" s="269"/>
      <c r="HVB237" s="269"/>
      <c r="HVC237" s="269"/>
      <c r="HVD237" s="269"/>
      <c r="HVE237" s="269"/>
      <c r="HVF237" s="269"/>
      <c r="HVG237" s="269"/>
      <c r="HVH237" s="269"/>
      <c r="HVI237" s="269"/>
      <c r="HVJ237" s="269"/>
      <c r="HVK237" s="269"/>
      <c r="HVL237" s="269"/>
      <c r="HVM237" s="269"/>
      <c r="HVN237" s="269"/>
      <c r="HVO237" s="269"/>
      <c r="HVP237" s="269"/>
      <c r="HVQ237" s="269"/>
      <c r="HVR237" s="269"/>
      <c r="HVS237" s="269"/>
      <c r="HVT237" s="269"/>
      <c r="HVU237" s="269"/>
      <c r="HVV237" s="269"/>
      <c r="HVW237" s="269"/>
      <c r="HVX237" s="269"/>
      <c r="HVY237" s="269"/>
      <c r="HVZ237" s="269"/>
      <c r="HWA237" s="269"/>
      <c r="HWB237" s="269"/>
      <c r="HWC237" s="269"/>
      <c r="HWD237" s="269"/>
      <c r="HWE237" s="269"/>
      <c r="HWF237" s="269"/>
      <c r="HWG237" s="269"/>
      <c r="HWH237" s="269"/>
      <c r="HWI237" s="269"/>
      <c r="HWJ237" s="269"/>
      <c r="HWK237" s="269"/>
      <c r="HWL237" s="269"/>
      <c r="HWM237" s="269"/>
      <c r="HWN237" s="269"/>
      <c r="HWO237" s="269"/>
      <c r="HWP237" s="269"/>
      <c r="HWQ237" s="269"/>
      <c r="HWR237" s="269"/>
      <c r="HWS237" s="269"/>
      <c r="HWT237" s="269"/>
      <c r="HWU237" s="269"/>
      <c r="HWV237" s="269"/>
      <c r="HWW237" s="269"/>
      <c r="HWX237" s="269"/>
      <c r="HWY237" s="269"/>
      <c r="HWZ237" s="269"/>
      <c r="HXA237" s="269"/>
      <c r="HXB237" s="269"/>
      <c r="HXC237" s="269"/>
      <c r="HXD237" s="269"/>
      <c r="HXE237" s="269"/>
      <c r="HXF237" s="269"/>
      <c r="HXG237" s="269"/>
      <c r="HXH237" s="269"/>
      <c r="HXI237" s="269"/>
      <c r="HXJ237" s="269"/>
      <c r="HXK237" s="269"/>
      <c r="HXL237" s="269"/>
      <c r="HXM237" s="269"/>
      <c r="HXN237" s="269"/>
      <c r="HXO237" s="269"/>
      <c r="HXP237" s="269"/>
      <c r="HXQ237" s="269"/>
      <c r="HXR237" s="269"/>
      <c r="HXS237" s="269"/>
      <c r="HXT237" s="269"/>
      <c r="HXU237" s="269"/>
      <c r="HXV237" s="269"/>
      <c r="HXW237" s="269"/>
      <c r="HXX237" s="269"/>
      <c r="HXY237" s="269"/>
      <c r="HXZ237" s="269"/>
      <c r="HYA237" s="269"/>
      <c r="HYB237" s="269"/>
      <c r="HYC237" s="269"/>
      <c r="HYD237" s="269"/>
      <c r="HYE237" s="269"/>
      <c r="HYF237" s="269"/>
      <c r="HYG237" s="269"/>
      <c r="HYH237" s="269"/>
      <c r="HYI237" s="269"/>
      <c r="HYJ237" s="269"/>
      <c r="HYK237" s="269"/>
      <c r="HYL237" s="269"/>
      <c r="HYM237" s="269"/>
      <c r="HYN237" s="269"/>
      <c r="HYO237" s="269"/>
      <c r="HYP237" s="269"/>
      <c r="HYQ237" s="269"/>
      <c r="HYR237" s="269"/>
      <c r="HYS237" s="269"/>
      <c r="HYT237" s="269"/>
      <c r="HYU237" s="269"/>
      <c r="HYV237" s="269"/>
      <c r="HYW237" s="269"/>
      <c r="HYX237" s="269"/>
      <c r="HYY237" s="269"/>
      <c r="HYZ237" s="269"/>
      <c r="HZA237" s="269"/>
      <c r="HZB237" s="269"/>
      <c r="HZC237" s="269"/>
      <c r="HZD237" s="269"/>
      <c r="HZE237" s="269"/>
      <c r="HZF237" s="269"/>
      <c r="HZG237" s="269"/>
      <c r="HZH237" s="269"/>
      <c r="HZI237" s="269"/>
      <c r="HZJ237" s="269"/>
      <c r="HZK237" s="269"/>
      <c r="HZL237" s="269"/>
      <c r="HZM237" s="269"/>
      <c r="HZN237" s="269"/>
      <c r="HZO237" s="269"/>
      <c r="HZP237" s="269"/>
      <c r="HZQ237" s="269"/>
      <c r="HZR237" s="269"/>
      <c r="HZS237" s="269"/>
      <c r="HZT237" s="269"/>
      <c r="HZU237" s="269"/>
      <c r="HZV237" s="269"/>
      <c r="HZW237" s="269"/>
      <c r="HZX237" s="269"/>
      <c r="HZY237" s="269"/>
      <c r="HZZ237" s="269"/>
      <c r="IAA237" s="269"/>
      <c r="IAB237" s="269"/>
      <c r="IAC237" s="269"/>
      <c r="IAD237" s="269"/>
      <c r="IAE237" s="269"/>
      <c r="IAF237" s="269"/>
      <c r="IAG237" s="269"/>
      <c r="IAH237" s="269"/>
      <c r="IAI237" s="269"/>
      <c r="IAJ237" s="269"/>
      <c r="IAK237" s="269"/>
      <c r="IAL237" s="269"/>
      <c r="IAM237" s="269"/>
      <c r="IAN237" s="269"/>
      <c r="IAO237" s="269"/>
      <c r="IAP237" s="269"/>
      <c r="IAQ237" s="269"/>
      <c r="IAR237" s="269"/>
      <c r="IAS237" s="269"/>
      <c r="IAT237" s="269"/>
      <c r="IAU237" s="269"/>
      <c r="IAV237" s="269"/>
      <c r="IAW237" s="269"/>
      <c r="IAX237" s="269"/>
      <c r="IAY237" s="269"/>
      <c r="IAZ237" s="269"/>
      <c r="IBA237" s="269"/>
      <c r="IBB237" s="269"/>
      <c r="IBC237" s="269"/>
      <c r="IBD237" s="269"/>
      <c r="IBE237" s="269"/>
      <c r="IBF237" s="269"/>
      <c r="IBG237" s="269"/>
      <c r="IBH237" s="269"/>
      <c r="IBI237" s="269"/>
      <c r="IBJ237" s="269"/>
      <c r="IBK237" s="269"/>
      <c r="IBL237" s="269"/>
      <c r="IBM237" s="269"/>
      <c r="IBN237" s="269"/>
      <c r="IBO237" s="269"/>
      <c r="IBP237" s="269"/>
      <c r="IBQ237" s="269"/>
      <c r="IBR237" s="269"/>
      <c r="IBS237" s="269"/>
      <c r="IBT237" s="269"/>
      <c r="IBU237" s="269"/>
      <c r="IBV237" s="269"/>
      <c r="IBW237" s="269"/>
      <c r="IBX237" s="269"/>
      <c r="IBY237" s="269"/>
      <c r="IBZ237" s="269"/>
      <c r="ICA237" s="269"/>
      <c r="ICB237" s="269"/>
      <c r="ICC237" s="269"/>
      <c r="ICD237" s="269"/>
      <c r="ICE237" s="269"/>
      <c r="ICF237" s="269"/>
      <c r="ICG237" s="269"/>
      <c r="ICH237" s="269"/>
      <c r="ICI237" s="269"/>
      <c r="ICJ237" s="269"/>
      <c r="ICK237" s="269"/>
      <c r="ICL237" s="269"/>
      <c r="ICM237" s="269"/>
      <c r="ICN237" s="269"/>
      <c r="ICO237" s="269"/>
      <c r="ICP237" s="269"/>
      <c r="ICQ237" s="269"/>
      <c r="ICR237" s="269"/>
      <c r="ICS237" s="269"/>
      <c r="ICT237" s="269"/>
      <c r="ICU237" s="269"/>
      <c r="ICV237" s="269"/>
      <c r="ICW237" s="269"/>
      <c r="ICX237" s="269"/>
      <c r="ICY237" s="269"/>
      <c r="ICZ237" s="269"/>
      <c r="IDA237" s="269"/>
      <c r="IDB237" s="269"/>
      <c r="IDC237" s="269"/>
      <c r="IDD237" s="269"/>
      <c r="IDE237" s="269"/>
      <c r="IDF237" s="269"/>
      <c r="IDG237" s="269"/>
      <c r="IDH237" s="269"/>
      <c r="IDI237" s="269"/>
      <c r="IDJ237" s="269"/>
      <c r="IDK237" s="269"/>
      <c r="IDL237" s="269"/>
      <c r="IDM237" s="269"/>
      <c r="IDN237" s="269"/>
      <c r="IDO237" s="269"/>
      <c r="IDP237" s="269"/>
      <c r="IDQ237" s="269"/>
      <c r="IDR237" s="269"/>
      <c r="IDS237" s="269"/>
      <c r="IDT237" s="269"/>
      <c r="IDU237" s="269"/>
      <c r="IDV237" s="269"/>
      <c r="IDW237" s="269"/>
      <c r="IDX237" s="269"/>
      <c r="IDY237" s="269"/>
      <c r="IDZ237" s="269"/>
      <c r="IEA237" s="269"/>
      <c r="IEB237" s="269"/>
      <c r="IEC237" s="269"/>
      <c r="IED237" s="269"/>
      <c r="IEE237" s="269"/>
      <c r="IEF237" s="269"/>
      <c r="IEG237" s="269"/>
      <c r="IEH237" s="269"/>
      <c r="IEI237" s="269"/>
      <c r="IEJ237" s="269"/>
      <c r="IEK237" s="269"/>
      <c r="IEL237" s="269"/>
      <c r="IEM237" s="269"/>
      <c r="IEN237" s="269"/>
      <c r="IEO237" s="269"/>
      <c r="IEP237" s="269"/>
      <c r="IEQ237" s="269"/>
      <c r="IER237" s="269"/>
      <c r="IES237" s="269"/>
      <c r="IET237" s="269"/>
      <c r="IEU237" s="269"/>
      <c r="IEV237" s="269"/>
      <c r="IEW237" s="269"/>
      <c r="IEX237" s="269"/>
      <c r="IEY237" s="269"/>
      <c r="IEZ237" s="269"/>
      <c r="IFA237" s="269"/>
      <c r="IFB237" s="269"/>
      <c r="IFC237" s="269"/>
      <c r="IFD237" s="269"/>
      <c r="IFE237" s="269"/>
      <c r="IFF237" s="269"/>
      <c r="IFG237" s="269"/>
      <c r="IFH237" s="269"/>
      <c r="IFI237" s="269"/>
      <c r="IFJ237" s="269"/>
      <c r="IFK237" s="269"/>
      <c r="IFL237" s="269"/>
      <c r="IFM237" s="269"/>
      <c r="IFN237" s="269"/>
      <c r="IFO237" s="269"/>
      <c r="IFP237" s="269"/>
      <c r="IFQ237" s="269"/>
      <c r="IFR237" s="269"/>
      <c r="IFS237" s="269"/>
      <c r="IFT237" s="269"/>
      <c r="IFU237" s="269"/>
      <c r="IFV237" s="269"/>
      <c r="IFW237" s="269"/>
      <c r="IFX237" s="269"/>
      <c r="IFY237" s="269"/>
      <c r="IFZ237" s="269"/>
      <c r="IGA237" s="269"/>
      <c r="IGB237" s="269"/>
      <c r="IGC237" s="269"/>
      <c r="IGD237" s="269"/>
      <c r="IGE237" s="269"/>
      <c r="IGF237" s="269"/>
      <c r="IGG237" s="269"/>
      <c r="IGH237" s="269"/>
      <c r="IGI237" s="269"/>
      <c r="IGJ237" s="269"/>
      <c r="IGK237" s="269"/>
      <c r="IGL237" s="269"/>
      <c r="IGM237" s="269"/>
      <c r="IGN237" s="269"/>
      <c r="IGO237" s="269"/>
      <c r="IGP237" s="269"/>
      <c r="IGQ237" s="269"/>
      <c r="IGR237" s="269"/>
      <c r="IGS237" s="269"/>
      <c r="IGT237" s="269"/>
      <c r="IGU237" s="269"/>
      <c r="IGV237" s="269"/>
      <c r="IGW237" s="269"/>
      <c r="IGX237" s="269"/>
      <c r="IGY237" s="269"/>
      <c r="IGZ237" s="269"/>
      <c r="IHA237" s="269"/>
      <c r="IHB237" s="269"/>
      <c r="IHC237" s="269"/>
      <c r="IHD237" s="269"/>
      <c r="IHE237" s="269"/>
      <c r="IHF237" s="269"/>
      <c r="IHG237" s="269"/>
      <c r="IHH237" s="269"/>
      <c r="IHI237" s="269"/>
      <c r="IHJ237" s="269"/>
      <c r="IHK237" s="269"/>
      <c r="IHL237" s="269"/>
      <c r="IHM237" s="269"/>
      <c r="IHN237" s="269"/>
      <c r="IHO237" s="269"/>
      <c r="IHP237" s="269"/>
      <c r="IHQ237" s="269"/>
      <c r="IHR237" s="269"/>
      <c r="IHS237" s="269"/>
      <c r="IHT237" s="269"/>
      <c r="IHU237" s="269"/>
      <c r="IHV237" s="269"/>
      <c r="IHW237" s="269"/>
      <c r="IHX237" s="269"/>
      <c r="IHY237" s="269"/>
      <c r="IHZ237" s="269"/>
      <c r="IIA237" s="269"/>
      <c r="IIB237" s="269"/>
      <c r="IIC237" s="269"/>
      <c r="IID237" s="269"/>
      <c r="IIE237" s="269"/>
      <c r="IIF237" s="269"/>
      <c r="IIG237" s="269"/>
      <c r="IIH237" s="269"/>
      <c r="III237" s="269"/>
      <c r="IIJ237" s="269"/>
      <c r="IIK237" s="269"/>
      <c r="IIL237" s="269"/>
      <c r="IIM237" s="269"/>
      <c r="IIN237" s="269"/>
      <c r="IIO237" s="269"/>
      <c r="IIP237" s="269"/>
      <c r="IIQ237" s="269"/>
      <c r="IIR237" s="269"/>
      <c r="IIS237" s="269"/>
      <c r="IIT237" s="269"/>
      <c r="IIU237" s="269"/>
      <c r="IIV237" s="269"/>
      <c r="IIW237" s="269"/>
      <c r="IIX237" s="269"/>
      <c r="IIY237" s="269"/>
      <c r="IIZ237" s="269"/>
      <c r="IJA237" s="269"/>
      <c r="IJB237" s="269"/>
      <c r="IJC237" s="269"/>
      <c r="IJD237" s="269"/>
      <c r="IJE237" s="269"/>
      <c r="IJF237" s="269"/>
      <c r="IJG237" s="269"/>
      <c r="IJH237" s="269"/>
      <c r="IJI237" s="269"/>
      <c r="IJJ237" s="269"/>
      <c r="IJK237" s="269"/>
      <c r="IJL237" s="269"/>
      <c r="IJM237" s="269"/>
      <c r="IJN237" s="269"/>
      <c r="IJO237" s="269"/>
      <c r="IJP237" s="269"/>
      <c r="IJQ237" s="269"/>
      <c r="IJR237" s="269"/>
      <c r="IJS237" s="269"/>
      <c r="IJT237" s="269"/>
      <c r="IJU237" s="269"/>
      <c r="IJV237" s="269"/>
      <c r="IJW237" s="269"/>
      <c r="IJX237" s="269"/>
      <c r="IJY237" s="269"/>
      <c r="IJZ237" s="269"/>
      <c r="IKA237" s="269"/>
      <c r="IKB237" s="269"/>
      <c r="IKC237" s="269"/>
      <c r="IKD237" s="269"/>
      <c r="IKE237" s="269"/>
      <c r="IKF237" s="269"/>
      <c r="IKG237" s="269"/>
      <c r="IKH237" s="269"/>
      <c r="IKI237" s="269"/>
      <c r="IKJ237" s="269"/>
      <c r="IKK237" s="269"/>
      <c r="IKL237" s="269"/>
      <c r="IKM237" s="269"/>
      <c r="IKN237" s="269"/>
      <c r="IKO237" s="269"/>
      <c r="IKP237" s="269"/>
      <c r="IKQ237" s="269"/>
      <c r="IKR237" s="269"/>
      <c r="IKS237" s="269"/>
      <c r="IKT237" s="269"/>
      <c r="IKU237" s="269"/>
      <c r="IKV237" s="269"/>
      <c r="IKW237" s="269"/>
      <c r="IKX237" s="269"/>
      <c r="IKY237" s="269"/>
      <c r="IKZ237" s="269"/>
      <c r="ILA237" s="269"/>
      <c r="ILB237" s="269"/>
      <c r="ILC237" s="269"/>
      <c r="ILD237" s="269"/>
      <c r="ILE237" s="269"/>
      <c r="ILF237" s="269"/>
      <c r="ILG237" s="269"/>
      <c r="ILH237" s="269"/>
      <c r="ILI237" s="269"/>
      <c r="ILJ237" s="269"/>
      <c r="ILK237" s="269"/>
      <c r="ILL237" s="269"/>
      <c r="ILM237" s="269"/>
      <c r="ILN237" s="269"/>
      <c r="ILO237" s="269"/>
      <c r="ILP237" s="269"/>
      <c r="ILQ237" s="269"/>
      <c r="ILR237" s="269"/>
      <c r="ILS237" s="269"/>
      <c r="ILT237" s="269"/>
      <c r="ILU237" s="269"/>
      <c r="ILV237" s="269"/>
      <c r="ILW237" s="269"/>
      <c r="ILX237" s="269"/>
      <c r="ILY237" s="269"/>
      <c r="ILZ237" s="269"/>
      <c r="IMA237" s="269"/>
      <c r="IMB237" s="269"/>
      <c r="IMC237" s="269"/>
      <c r="IMD237" s="269"/>
      <c r="IME237" s="269"/>
      <c r="IMF237" s="269"/>
      <c r="IMG237" s="269"/>
      <c r="IMH237" s="269"/>
      <c r="IMI237" s="269"/>
      <c r="IMJ237" s="269"/>
      <c r="IMK237" s="269"/>
      <c r="IML237" s="269"/>
      <c r="IMM237" s="269"/>
      <c r="IMN237" s="269"/>
      <c r="IMO237" s="269"/>
      <c r="IMP237" s="269"/>
      <c r="IMQ237" s="269"/>
      <c r="IMR237" s="269"/>
      <c r="IMS237" s="269"/>
      <c r="IMT237" s="269"/>
      <c r="IMU237" s="269"/>
      <c r="IMV237" s="269"/>
      <c r="IMW237" s="269"/>
      <c r="IMX237" s="269"/>
      <c r="IMY237" s="269"/>
      <c r="IMZ237" s="269"/>
      <c r="INA237" s="269"/>
      <c r="INB237" s="269"/>
      <c r="INC237" s="269"/>
      <c r="IND237" s="269"/>
      <c r="INE237" s="269"/>
      <c r="INF237" s="269"/>
      <c r="ING237" s="269"/>
      <c r="INH237" s="269"/>
      <c r="INI237" s="269"/>
      <c r="INJ237" s="269"/>
      <c r="INK237" s="269"/>
      <c r="INL237" s="269"/>
      <c r="INM237" s="269"/>
      <c r="INN237" s="269"/>
      <c r="INO237" s="269"/>
      <c r="INP237" s="269"/>
      <c r="INQ237" s="269"/>
      <c r="INR237" s="269"/>
      <c r="INS237" s="269"/>
      <c r="INT237" s="269"/>
      <c r="INU237" s="269"/>
      <c r="INV237" s="269"/>
      <c r="INW237" s="269"/>
      <c r="INX237" s="269"/>
      <c r="INY237" s="269"/>
      <c r="INZ237" s="269"/>
      <c r="IOA237" s="269"/>
      <c r="IOB237" s="269"/>
      <c r="IOC237" s="269"/>
      <c r="IOD237" s="269"/>
      <c r="IOE237" s="269"/>
      <c r="IOF237" s="269"/>
      <c r="IOG237" s="269"/>
      <c r="IOH237" s="269"/>
      <c r="IOI237" s="269"/>
      <c r="IOJ237" s="269"/>
      <c r="IOK237" s="269"/>
      <c r="IOL237" s="269"/>
      <c r="IOM237" s="269"/>
      <c r="ION237" s="269"/>
      <c r="IOO237" s="269"/>
      <c r="IOP237" s="269"/>
      <c r="IOQ237" s="269"/>
      <c r="IOR237" s="269"/>
      <c r="IOS237" s="269"/>
      <c r="IOT237" s="269"/>
      <c r="IOU237" s="269"/>
      <c r="IOV237" s="269"/>
      <c r="IOW237" s="269"/>
      <c r="IOX237" s="269"/>
      <c r="IOY237" s="269"/>
      <c r="IOZ237" s="269"/>
      <c r="IPA237" s="269"/>
      <c r="IPB237" s="269"/>
      <c r="IPC237" s="269"/>
      <c r="IPD237" s="269"/>
      <c r="IPE237" s="269"/>
      <c r="IPF237" s="269"/>
      <c r="IPG237" s="269"/>
      <c r="IPH237" s="269"/>
      <c r="IPI237" s="269"/>
      <c r="IPJ237" s="269"/>
      <c r="IPK237" s="269"/>
      <c r="IPL237" s="269"/>
      <c r="IPM237" s="269"/>
      <c r="IPN237" s="269"/>
      <c r="IPO237" s="269"/>
      <c r="IPP237" s="269"/>
      <c r="IPQ237" s="269"/>
      <c r="IPR237" s="269"/>
      <c r="IPS237" s="269"/>
      <c r="IPT237" s="269"/>
      <c r="IPU237" s="269"/>
      <c r="IPV237" s="269"/>
      <c r="IPW237" s="269"/>
      <c r="IPX237" s="269"/>
      <c r="IPY237" s="269"/>
      <c r="IPZ237" s="269"/>
      <c r="IQA237" s="269"/>
      <c r="IQB237" s="269"/>
      <c r="IQC237" s="269"/>
      <c r="IQD237" s="269"/>
      <c r="IQE237" s="269"/>
      <c r="IQF237" s="269"/>
      <c r="IQG237" s="269"/>
      <c r="IQH237" s="269"/>
      <c r="IQI237" s="269"/>
      <c r="IQJ237" s="269"/>
      <c r="IQK237" s="269"/>
      <c r="IQL237" s="269"/>
      <c r="IQM237" s="269"/>
      <c r="IQN237" s="269"/>
      <c r="IQO237" s="269"/>
      <c r="IQP237" s="269"/>
      <c r="IQQ237" s="269"/>
      <c r="IQR237" s="269"/>
      <c r="IQS237" s="269"/>
      <c r="IQT237" s="269"/>
      <c r="IQU237" s="269"/>
      <c r="IQV237" s="269"/>
      <c r="IQW237" s="269"/>
      <c r="IQX237" s="269"/>
      <c r="IQY237" s="269"/>
      <c r="IQZ237" s="269"/>
      <c r="IRA237" s="269"/>
      <c r="IRB237" s="269"/>
      <c r="IRC237" s="269"/>
      <c r="IRD237" s="269"/>
      <c r="IRE237" s="269"/>
      <c r="IRF237" s="269"/>
      <c r="IRG237" s="269"/>
      <c r="IRH237" s="269"/>
      <c r="IRI237" s="269"/>
      <c r="IRJ237" s="269"/>
      <c r="IRK237" s="269"/>
      <c r="IRL237" s="269"/>
      <c r="IRM237" s="269"/>
      <c r="IRN237" s="269"/>
      <c r="IRO237" s="269"/>
      <c r="IRP237" s="269"/>
      <c r="IRQ237" s="269"/>
      <c r="IRR237" s="269"/>
      <c r="IRS237" s="269"/>
      <c r="IRT237" s="269"/>
      <c r="IRU237" s="269"/>
      <c r="IRV237" s="269"/>
      <c r="IRW237" s="269"/>
      <c r="IRX237" s="269"/>
      <c r="IRY237" s="269"/>
      <c r="IRZ237" s="269"/>
      <c r="ISA237" s="269"/>
      <c r="ISB237" s="269"/>
      <c r="ISC237" s="269"/>
      <c r="ISD237" s="269"/>
      <c r="ISE237" s="269"/>
      <c r="ISF237" s="269"/>
      <c r="ISG237" s="269"/>
      <c r="ISH237" s="269"/>
      <c r="ISI237" s="269"/>
      <c r="ISJ237" s="269"/>
      <c r="ISK237" s="269"/>
      <c r="ISL237" s="269"/>
      <c r="ISM237" s="269"/>
      <c r="ISN237" s="269"/>
      <c r="ISO237" s="269"/>
      <c r="ISP237" s="269"/>
      <c r="ISQ237" s="269"/>
      <c r="ISR237" s="269"/>
      <c r="ISS237" s="269"/>
      <c r="IST237" s="269"/>
      <c r="ISU237" s="269"/>
      <c r="ISV237" s="269"/>
      <c r="ISW237" s="269"/>
      <c r="ISX237" s="269"/>
      <c r="ISY237" s="269"/>
      <c r="ISZ237" s="269"/>
      <c r="ITA237" s="269"/>
      <c r="ITB237" s="269"/>
      <c r="ITC237" s="269"/>
      <c r="ITD237" s="269"/>
      <c r="ITE237" s="269"/>
      <c r="ITF237" s="269"/>
      <c r="ITG237" s="269"/>
      <c r="ITH237" s="269"/>
      <c r="ITI237" s="269"/>
      <c r="ITJ237" s="269"/>
      <c r="ITK237" s="269"/>
      <c r="ITL237" s="269"/>
      <c r="ITM237" s="269"/>
      <c r="ITN237" s="269"/>
      <c r="ITO237" s="269"/>
      <c r="ITP237" s="269"/>
      <c r="ITQ237" s="269"/>
      <c r="ITR237" s="269"/>
      <c r="ITS237" s="269"/>
      <c r="ITT237" s="269"/>
      <c r="ITU237" s="269"/>
      <c r="ITV237" s="269"/>
      <c r="ITW237" s="269"/>
      <c r="ITX237" s="269"/>
      <c r="ITY237" s="269"/>
      <c r="ITZ237" s="269"/>
      <c r="IUA237" s="269"/>
      <c r="IUB237" s="269"/>
      <c r="IUC237" s="269"/>
      <c r="IUD237" s="269"/>
      <c r="IUE237" s="269"/>
      <c r="IUF237" s="269"/>
      <c r="IUG237" s="269"/>
      <c r="IUH237" s="269"/>
      <c r="IUI237" s="269"/>
      <c r="IUJ237" s="269"/>
      <c r="IUK237" s="269"/>
      <c r="IUL237" s="269"/>
      <c r="IUM237" s="269"/>
      <c r="IUN237" s="269"/>
      <c r="IUO237" s="269"/>
      <c r="IUP237" s="269"/>
      <c r="IUQ237" s="269"/>
      <c r="IUR237" s="269"/>
      <c r="IUS237" s="269"/>
      <c r="IUT237" s="269"/>
      <c r="IUU237" s="269"/>
      <c r="IUV237" s="269"/>
      <c r="IUW237" s="269"/>
      <c r="IUX237" s="269"/>
      <c r="IUY237" s="269"/>
      <c r="IUZ237" s="269"/>
      <c r="IVA237" s="269"/>
      <c r="IVB237" s="269"/>
      <c r="IVC237" s="269"/>
      <c r="IVD237" s="269"/>
      <c r="IVE237" s="269"/>
      <c r="IVF237" s="269"/>
      <c r="IVG237" s="269"/>
      <c r="IVH237" s="269"/>
      <c r="IVI237" s="269"/>
      <c r="IVJ237" s="269"/>
      <c r="IVK237" s="269"/>
      <c r="IVL237" s="269"/>
      <c r="IVM237" s="269"/>
      <c r="IVN237" s="269"/>
      <c r="IVO237" s="269"/>
      <c r="IVP237" s="269"/>
      <c r="IVQ237" s="269"/>
      <c r="IVR237" s="269"/>
      <c r="IVS237" s="269"/>
      <c r="IVT237" s="269"/>
      <c r="IVU237" s="269"/>
      <c r="IVV237" s="269"/>
      <c r="IVW237" s="269"/>
      <c r="IVX237" s="269"/>
      <c r="IVY237" s="269"/>
      <c r="IVZ237" s="269"/>
      <c r="IWA237" s="269"/>
      <c r="IWB237" s="269"/>
      <c r="IWC237" s="269"/>
      <c r="IWD237" s="269"/>
      <c r="IWE237" s="269"/>
      <c r="IWF237" s="269"/>
      <c r="IWG237" s="269"/>
      <c r="IWH237" s="269"/>
      <c r="IWI237" s="269"/>
      <c r="IWJ237" s="269"/>
      <c r="IWK237" s="269"/>
      <c r="IWL237" s="269"/>
      <c r="IWM237" s="269"/>
      <c r="IWN237" s="269"/>
      <c r="IWO237" s="269"/>
      <c r="IWP237" s="269"/>
      <c r="IWQ237" s="269"/>
      <c r="IWR237" s="269"/>
      <c r="IWS237" s="269"/>
      <c r="IWT237" s="269"/>
      <c r="IWU237" s="269"/>
      <c r="IWV237" s="269"/>
      <c r="IWW237" s="269"/>
      <c r="IWX237" s="269"/>
      <c r="IWY237" s="269"/>
      <c r="IWZ237" s="269"/>
      <c r="IXA237" s="269"/>
      <c r="IXB237" s="269"/>
      <c r="IXC237" s="269"/>
      <c r="IXD237" s="269"/>
      <c r="IXE237" s="269"/>
      <c r="IXF237" s="269"/>
      <c r="IXG237" s="269"/>
      <c r="IXH237" s="269"/>
      <c r="IXI237" s="269"/>
      <c r="IXJ237" s="269"/>
      <c r="IXK237" s="269"/>
      <c r="IXL237" s="269"/>
      <c r="IXM237" s="269"/>
      <c r="IXN237" s="269"/>
      <c r="IXO237" s="269"/>
      <c r="IXP237" s="269"/>
      <c r="IXQ237" s="269"/>
      <c r="IXR237" s="269"/>
      <c r="IXS237" s="269"/>
      <c r="IXT237" s="269"/>
      <c r="IXU237" s="269"/>
      <c r="IXV237" s="269"/>
      <c r="IXW237" s="269"/>
      <c r="IXX237" s="269"/>
      <c r="IXY237" s="269"/>
      <c r="IXZ237" s="269"/>
      <c r="IYA237" s="269"/>
      <c r="IYB237" s="269"/>
      <c r="IYC237" s="269"/>
      <c r="IYD237" s="269"/>
      <c r="IYE237" s="269"/>
      <c r="IYF237" s="269"/>
      <c r="IYG237" s="269"/>
      <c r="IYH237" s="269"/>
      <c r="IYI237" s="269"/>
      <c r="IYJ237" s="269"/>
      <c r="IYK237" s="269"/>
      <c r="IYL237" s="269"/>
      <c r="IYM237" s="269"/>
      <c r="IYN237" s="269"/>
      <c r="IYO237" s="269"/>
      <c r="IYP237" s="269"/>
      <c r="IYQ237" s="269"/>
      <c r="IYR237" s="269"/>
      <c r="IYS237" s="269"/>
      <c r="IYT237" s="269"/>
      <c r="IYU237" s="269"/>
      <c r="IYV237" s="269"/>
      <c r="IYW237" s="269"/>
      <c r="IYX237" s="269"/>
      <c r="IYY237" s="269"/>
      <c r="IYZ237" s="269"/>
      <c r="IZA237" s="269"/>
      <c r="IZB237" s="269"/>
      <c r="IZC237" s="269"/>
      <c r="IZD237" s="269"/>
      <c r="IZE237" s="269"/>
      <c r="IZF237" s="269"/>
      <c r="IZG237" s="269"/>
      <c r="IZH237" s="269"/>
      <c r="IZI237" s="269"/>
      <c r="IZJ237" s="269"/>
      <c r="IZK237" s="269"/>
      <c r="IZL237" s="269"/>
      <c r="IZM237" s="269"/>
      <c r="IZN237" s="269"/>
      <c r="IZO237" s="269"/>
      <c r="IZP237" s="269"/>
      <c r="IZQ237" s="269"/>
      <c r="IZR237" s="269"/>
      <c r="IZS237" s="269"/>
      <c r="IZT237" s="269"/>
      <c r="IZU237" s="269"/>
      <c r="IZV237" s="269"/>
      <c r="IZW237" s="269"/>
      <c r="IZX237" s="269"/>
      <c r="IZY237" s="269"/>
      <c r="IZZ237" s="269"/>
      <c r="JAA237" s="269"/>
      <c r="JAB237" s="269"/>
      <c r="JAC237" s="269"/>
      <c r="JAD237" s="269"/>
      <c r="JAE237" s="269"/>
      <c r="JAF237" s="269"/>
      <c r="JAG237" s="269"/>
      <c r="JAH237" s="269"/>
      <c r="JAI237" s="269"/>
      <c r="JAJ237" s="269"/>
      <c r="JAK237" s="269"/>
      <c r="JAL237" s="269"/>
      <c r="JAM237" s="269"/>
      <c r="JAN237" s="269"/>
      <c r="JAO237" s="269"/>
      <c r="JAP237" s="269"/>
      <c r="JAQ237" s="269"/>
      <c r="JAR237" s="269"/>
      <c r="JAS237" s="269"/>
      <c r="JAT237" s="269"/>
      <c r="JAU237" s="269"/>
      <c r="JAV237" s="269"/>
      <c r="JAW237" s="269"/>
      <c r="JAX237" s="269"/>
      <c r="JAY237" s="269"/>
      <c r="JAZ237" s="269"/>
      <c r="JBA237" s="269"/>
      <c r="JBB237" s="269"/>
      <c r="JBC237" s="269"/>
      <c r="JBD237" s="269"/>
      <c r="JBE237" s="269"/>
      <c r="JBF237" s="269"/>
      <c r="JBG237" s="269"/>
      <c r="JBH237" s="269"/>
      <c r="JBI237" s="269"/>
      <c r="JBJ237" s="269"/>
      <c r="JBK237" s="269"/>
      <c r="JBL237" s="269"/>
      <c r="JBM237" s="269"/>
      <c r="JBN237" s="269"/>
      <c r="JBO237" s="269"/>
      <c r="JBP237" s="269"/>
      <c r="JBQ237" s="269"/>
      <c r="JBR237" s="269"/>
      <c r="JBS237" s="269"/>
      <c r="JBT237" s="269"/>
      <c r="JBU237" s="269"/>
      <c r="JBV237" s="269"/>
      <c r="JBW237" s="269"/>
      <c r="JBX237" s="269"/>
      <c r="JBY237" s="269"/>
      <c r="JBZ237" s="269"/>
      <c r="JCA237" s="269"/>
      <c r="JCB237" s="269"/>
      <c r="JCC237" s="269"/>
      <c r="JCD237" s="269"/>
      <c r="JCE237" s="269"/>
      <c r="JCF237" s="269"/>
      <c r="JCG237" s="269"/>
      <c r="JCH237" s="269"/>
      <c r="JCI237" s="269"/>
      <c r="JCJ237" s="269"/>
      <c r="JCK237" s="269"/>
      <c r="JCL237" s="269"/>
      <c r="JCM237" s="269"/>
      <c r="JCN237" s="269"/>
      <c r="JCO237" s="269"/>
      <c r="JCP237" s="269"/>
      <c r="JCQ237" s="269"/>
      <c r="JCR237" s="269"/>
      <c r="JCS237" s="269"/>
      <c r="JCT237" s="269"/>
      <c r="JCU237" s="269"/>
      <c r="JCV237" s="269"/>
      <c r="JCW237" s="269"/>
      <c r="JCX237" s="269"/>
      <c r="JCY237" s="269"/>
      <c r="JCZ237" s="269"/>
      <c r="JDA237" s="269"/>
      <c r="JDB237" s="269"/>
      <c r="JDC237" s="269"/>
      <c r="JDD237" s="269"/>
      <c r="JDE237" s="269"/>
      <c r="JDF237" s="269"/>
      <c r="JDG237" s="269"/>
      <c r="JDH237" s="269"/>
      <c r="JDI237" s="269"/>
      <c r="JDJ237" s="269"/>
      <c r="JDK237" s="269"/>
      <c r="JDL237" s="269"/>
      <c r="JDM237" s="269"/>
      <c r="JDN237" s="269"/>
      <c r="JDO237" s="269"/>
      <c r="JDP237" s="269"/>
      <c r="JDQ237" s="269"/>
      <c r="JDR237" s="269"/>
      <c r="JDS237" s="269"/>
      <c r="JDT237" s="269"/>
      <c r="JDU237" s="269"/>
      <c r="JDV237" s="269"/>
      <c r="JDW237" s="269"/>
      <c r="JDX237" s="269"/>
      <c r="JDY237" s="269"/>
      <c r="JDZ237" s="269"/>
      <c r="JEA237" s="269"/>
      <c r="JEB237" s="269"/>
      <c r="JEC237" s="269"/>
      <c r="JED237" s="269"/>
      <c r="JEE237" s="269"/>
      <c r="JEF237" s="269"/>
      <c r="JEG237" s="269"/>
      <c r="JEH237" s="269"/>
      <c r="JEI237" s="269"/>
      <c r="JEJ237" s="269"/>
      <c r="JEK237" s="269"/>
      <c r="JEL237" s="269"/>
      <c r="JEM237" s="269"/>
      <c r="JEN237" s="269"/>
      <c r="JEO237" s="269"/>
      <c r="JEP237" s="269"/>
      <c r="JEQ237" s="269"/>
      <c r="JER237" s="269"/>
      <c r="JES237" s="269"/>
      <c r="JET237" s="269"/>
      <c r="JEU237" s="269"/>
      <c r="JEV237" s="269"/>
      <c r="JEW237" s="269"/>
      <c r="JEX237" s="269"/>
      <c r="JEY237" s="269"/>
      <c r="JEZ237" s="269"/>
      <c r="JFA237" s="269"/>
      <c r="JFB237" s="269"/>
      <c r="JFC237" s="269"/>
      <c r="JFD237" s="269"/>
      <c r="JFE237" s="269"/>
      <c r="JFF237" s="269"/>
      <c r="JFG237" s="269"/>
      <c r="JFH237" s="269"/>
      <c r="JFI237" s="269"/>
      <c r="JFJ237" s="269"/>
      <c r="JFK237" s="269"/>
      <c r="JFL237" s="269"/>
      <c r="JFM237" s="269"/>
      <c r="JFN237" s="269"/>
      <c r="JFO237" s="269"/>
      <c r="JFP237" s="269"/>
      <c r="JFQ237" s="269"/>
      <c r="JFR237" s="269"/>
      <c r="JFS237" s="269"/>
      <c r="JFT237" s="269"/>
      <c r="JFU237" s="269"/>
      <c r="JFV237" s="269"/>
      <c r="JFW237" s="269"/>
      <c r="JFX237" s="269"/>
      <c r="JFY237" s="269"/>
      <c r="JFZ237" s="269"/>
      <c r="JGA237" s="269"/>
      <c r="JGB237" s="269"/>
      <c r="JGC237" s="269"/>
      <c r="JGD237" s="269"/>
      <c r="JGE237" s="269"/>
      <c r="JGF237" s="269"/>
      <c r="JGG237" s="269"/>
      <c r="JGH237" s="269"/>
      <c r="JGI237" s="269"/>
      <c r="JGJ237" s="269"/>
      <c r="JGK237" s="269"/>
      <c r="JGL237" s="269"/>
      <c r="JGM237" s="269"/>
      <c r="JGN237" s="269"/>
      <c r="JGO237" s="269"/>
      <c r="JGP237" s="269"/>
      <c r="JGQ237" s="269"/>
      <c r="JGR237" s="269"/>
      <c r="JGS237" s="269"/>
      <c r="JGT237" s="269"/>
      <c r="JGU237" s="269"/>
      <c r="JGV237" s="269"/>
      <c r="JGW237" s="269"/>
      <c r="JGX237" s="269"/>
      <c r="JGY237" s="269"/>
      <c r="JGZ237" s="269"/>
      <c r="JHA237" s="269"/>
      <c r="JHB237" s="269"/>
      <c r="JHC237" s="269"/>
      <c r="JHD237" s="269"/>
      <c r="JHE237" s="269"/>
      <c r="JHF237" s="269"/>
      <c r="JHG237" s="269"/>
      <c r="JHH237" s="269"/>
      <c r="JHI237" s="269"/>
      <c r="JHJ237" s="269"/>
      <c r="JHK237" s="269"/>
      <c r="JHL237" s="269"/>
      <c r="JHM237" s="269"/>
      <c r="JHN237" s="269"/>
      <c r="JHO237" s="269"/>
      <c r="JHP237" s="269"/>
      <c r="JHQ237" s="269"/>
      <c r="JHR237" s="269"/>
      <c r="JHS237" s="269"/>
      <c r="JHT237" s="269"/>
      <c r="JHU237" s="269"/>
      <c r="JHV237" s="269"/>
      <c r="JHW237" s="269"/>
      <c r="JHX237" s="269"/>
      <c r="JHY237" s="269"/>
      <c r="JHZ237" s="269"/>
      <c r="JIA237" s="269"/>
      <c r="JIB237" s="269"/>
      <c r="JIC237" s="269"/>
      <c r="JID237" s="269"/>
      <c r="JIE237" s="269"/>
      <c r="JIF237" s="269"/>
      <c r="JIG237" s="269"/>
      <c r="JIH237" s="269"/>
      <c r="JII237" s="269"/>
      <c r="JIJ237" s="269"/>
      <c r="JIK237" s="269"/>
      <c r="JIL237" s="269"/>
      <c r="JIM237" s="269"/>
      <c r="JIN237" s="269"/>
      <c r="JIO237" s="269"/>
      <c r="JIP237" s="269"/>
      <c r="JIQ237" s="269"/>
      <c r="JIR237" s="269"/>
      <c r="JIS237" s="269"/>
      <c r="JIT237" s="269"/>
      <c r="JIU237" s="269"/>
      <c r="JIV237" s="269"/>
      <c r="JIW237" s="269"/>
      <c r="JIX237" s="269"/>
      <c r="JIY237" s="269"/>
      <c r="JIZ237" s="269"/>
      <c r="JJA237" s="269"/>
      <c r="JJB237" s="269"/>
      <c r="JJC237" s="269"/>
      <c r="JJD237" s="269"/>
      <c r="JJE237" s="269"/>
      <c r="JJF237" s="269"/>
      <c r="JJG237" s="269"/>
      <c r="JJH237" s="269"/>
      <c r="JJI237" s="269"/>
      <c r="JJJ237" s="269"/>
      <c r="JJK237" s="269"/>
      <c r="JJL237" s="269"/>
      <c r="JJM237" s="269"/>
      <c r="JJN237" s="269"/>
      <c r="JJO237" s="269"/>
      <c r="JJP237" s="269"/>
      <c r="JJQ237" s="269"/>
      <c r="JJR237" s="269"/>
      <c r="JJS237" s="269"/>
      <c r="JJT237" s="269"/>
      <c r="JJU237" s="269"/>
      <c r="JJV237" s="269"/>
      <c r="JJW237" s="269"/>
      <c r="JJX237" s="269"/>
      <c r="JJY237" s="269"/>
      <c r="JJZ237" s="269"/>
      <c r="JKA237" s="269"/>
      <c r="JKB237" s="269"/>
      <c r="JKC237" s="269"/>
      <c r="JKD237" s="269"/>
      <c r="JKE237" s="269"/>
      <c r="JKF237" s="269"/>
      <c r="JKG237" s="269"/>
      <c r="JKH237" s="269"/>
      <c r="JKI237" s="269"/>
      <c r="JKJ237" s="269"/>
      <c r="JKK237" s="269"/>
      <c r="JKL237" s="269"/>
      <c r="JKM237" s="269"/>
      <c r="JKN237" s="269"/>
      <c r="JKO237" s="269"/>
      <c r="JKP237" s="269"/>
      <c r="JKQ237" s="269"/>
      <c r="JKR237" s="269"/>
      <c r="JKS237" s="269"/>
      <c r="JKT237" s="269"/>
      <c r="JKU237" s="269"/>
      <c r="JKV237" s="269"/>
      <c r="JKW237" s="269"/>
      <c r="JKX237" s="269"/>
      <c r="JKY237" s="269"/>
      <c r="JKZ237" s="269"/>
      <c r="JLA237" s="269"/>
      <c r="JLB237" s="269"/>
      <c r="JLC237" s="269"/>
      <c r="JLD237" s="269"/>
      <c r="JLE237" s="269"/>
      <c r="JLF237" s="269"/>
      <c r="JLG237" s="269"/>
      <c r="JLH237" s="269"/>
      <c r="JLI237" s="269"/>
      <c r="JLJ237" s="269"/>
      <c r="JLK237" s="269"/>
      <c r="JLL237" s="269"/>
      <c r="JLM237" s="269"/>
      <c r="JLN237" s="269"/>
      <c r="JLO237" s="269"/>
      <c r="JLP237" s="269"/>
      <c r="JLQ237" s="269"/>
      <c r="JLR237" s="269"/>
      <c r="JLS237" s="269"/>
      <c r="JLT237" s="269"/>
      <c r="JLU237" s="269"/>
      <c r="JLV237" s="269"/>
      <c r="JLW237" s="269"/>
      <c r="JLX237" s="269"/>
      <c r="JLY237" s="269"/>
      <c r="JLZ237" s="269"/>
      <c r="JMA237" s="269"/>
      <c r="JMB237" s="269"/>
      <c r="JMC237" s="269"/>
      <c r="JMD237" s="269"/>
      <c r="JME237" s="269"/>
      <c r="JMF237" s="269"/>
      <c r="JMG237" s="269"/>
      <c r="JMH237" s="269"/>
      <c r="JMI237" s="269"/>
      <c r="JMJ237" s="269"/>
      <c r="JMK237" s="269"/>
      <c r="JML237" s="269"/>
      <c r="JMM237" s="269"/>
      <c r="JMN237" s="269"/>
      <c r="JMO237" s="269"/>
      <c r="JMP237" s="269"/>
      <c r="JMQ237" s="269"/>
      <c r="JMR237" s="269"/>
      <c r="JMS237" s="269"/>
      <c r="JMT237" s="269"/>
      <c r="JMU237" s="269"/>
      <c r="JMV237" s="269"/>
      <c r="JMW237" s="269"/>
      <c r="JMX237" s="269"/>
      <c r="JMY237" s="269"/>
      <c r="JMZ237" s="269"/>
      <c r="JNA237" s="269"/>
      <c r="JNB237" s="269"/>
      <c r="JNC237" s="269"/>
      <c r="JND237" s="269"/>
      <c r="JNE237" s="269"/>
      <c r="JNF237" s="269"/>
      <c r="JNG237" s="269"/>
      <c r="JNH237" s="269"/>
      <c r="JNI237" s="269"/>
      <c r="JNJ237" s="269"/>
      <c r="JNK237" s="269"/>
      <c r="JNL237" s="269"/>
      <c r="JNM237" s="269"/>
      <c r="JNN237" s="269"/>
      <c r="JNO237" s="269"/>
      <c r="JNP237" s="269"/>
      <c r="JNQ237" s="269"/>
      <c r="JNR237" s="269"/>
      <c r="JNS237" s="269"/>
      <c r="JNT237" s="269"/>
      <c r="JNU237" s="269"/>
      <c r="JNV237" s="269"/>
      <c r="JNW237" s="269"/>
      <c r="JNX237" s="269"/>
      <c r="JNY237" s="269"/>
      <c r="JNZ237" s="269"/>
      <c r="JOA237" s="269"/>
      <c r="JOB237" s="269"/>
      <c r="JOC237" s="269"/>
      <c r="JOD237" s="269"/>
      <c r="JOE237" s="269"/>
      <c r="JOF237" s="269"/>
      <c r="JOG237" s="269"/>
      <c r="JOH237" s="269"/>
      <c r="JOI237" s="269"/>
      <c r="JOJ237" s="269"/>
      <c r="JOK237" s="269"/>
      <c r="JOL237" s="269"/>
      <c r="JOM237" s="269"/>
      <c r="JON237" s="269"/>
      <c r="JOO237" s="269"/>
      <c r="JOP237" s="269"/>
      <c r="JOQ237" s="269"/>
      <c r="JOR237" s="269"/>
      <c r="JOS237" s="269"/>
      <c r="JOT237" s="269"/>
      <c r="JOU237" s="269"/>
      <c r="JOV237" s="269"/>
      <c r="JOW237" s="269"/>
      <c r="JOX237" s="269"/>
      <c r="JOY237" s="269"/>
      <c r="JOZ237" s="269"/>
      <c r="JPA237" s="269"/>
      <c r="JPB237" s="269"/>
      <c r="JPC237" s="269"/>
      <c r="JPD237" s="269"/>
      <c r="JPE237" s="269"/>
      <c r="JPF237" s="269"/>
      <c r="JPG237" s="269"/>
      <c r="JPH237" s="269"/>
      <c r="JPI237" s="269"/>
      <c r="JPJ237" s="269"/>
      <c r="JPK237" s="269"/>
      <c r="JPL237" s="269"/>
      <c r="JPM237" s="269"/>
      <c r="JPN237" s="269"/>
      <c r="JPO237" s="269"/>
      <c r="JPP237" s="269"/>
      <c r="JPQ237" s="269"/>
      <c r="JPR237" s="269"/>
      <c r="JPS237" s="269"/>
      <c r="JPT237" s="269"/>
      <c r="JPU237" s="269"/>
      <c r="JPV237" s="269"/>
      <c r="JPW237" s="269"/>
      <c r="JPX237" s="269"/>
      <c r="JPY237" s="269"/>
      <c r="JPZ237" s="269"/>
      <c r="JQA237" s="269"/>
      <c r="JQB237" s="269"/>
      <c r="JQC237" s="269"/>
      <c r="JQD237" s="269"/>
      <c r="JQE237" s="269"/>
      <c r="JQF237" s="269"/>
      <c r="JQG237" s="269"/>
      <c r="JQH237" s="269"/>
      <c r="JQI237" s="269"/>
      <c r="JQJ237" s="269"/>
      <c r="JQK237" s="269"/>
      <c r="JQL237" s="269"/>
      <c r="JQM237" s="269"/>
      <c r="JQN237" s="269"/>
      <c r="JQO237" s="269"/>
      <c r="JQP237" s="269"/>
      <c r="JQQ237" s="269"/>
      <c r="JQR237" s="269"/>
      <c r="JQS237" s="269"/>
      <c r="JQT237" s="269"/>
      <c r="JQU237" s="269"/>
      <c r="JQV237" s="269"/>
      <c r="JQW237" s="269"/>
      <c r="JQX237" s="269"/>
      <c r="JQY237" s="269"/>
      <c r="JQZ237" s="269"/>
      <c r="JRA237" s="269"/>
      <c r="JRB237" s="269"/>
      <c r="JRC237" s="269"/>
      <c r="JRD237" s="269"/>
      <c r="JRE237" s="269"/>
      <c r="JRF237" s="269"/>
      <c r="JRG237" s="269"/>
      <c r="JRH237" s="269"/>
      <c r="JRI237" s="269"/>
      <c r="JRJ237" s="269"/>
      <c r="JRK237" s="269"/>
      <c r="JRL237" s="269"/>
      <c r="JRM237" s="269"/>
      <c r="JRN237" s="269"/>
      <c r="JRO237" s="269"/>
      <c r="JRP237" s="269"/>
      <c r="JRQ237" s="269"/>
      <c r="JRR237" s="269"/>
      <c r="JRS237" s="269"/>
      <c r="JRT237" s="269"/>
      <c r="JRU237" s="269"/>
      <c r="JRV237" s="269"/>
      <c r="JRW237" s="269"/>
      <c r="JRX237" s="269"/>
      <c r="JRY237" s="269"/>
      <c r="JRZ237" s="269"/>
      <c r="JSA237" s="269"/>
      <c r="JSB237" s="269"/>
      <c r="JSC237" s="269"/>
      <c r="JSD237" s="269"/>
      <c r="JSE237" s="269"/>
      <c r="JSF237" s="269"/>
      <c r="JSG237" s="269"/>
      <c r="JSH237" s="269"/>
      <c r="JSI237" s="269"/>
      <c r="JSJ237" s="269"/>
      <c r="JSK237" s="269"/>
      <c r="JSL237" s="269"/>
      <c r="JSM237" s="269"/>
      <c r="JSN237" s="269"/>
      <c r="JSO237" s="269"/>
      <c r="JSP237" s="269"/>
      <c r="JSQ237" s="269"/>
      <c r="JSR237" s="269"/>
      <c r="JSS237" s="269"/>
      <c r="JST237" s="269"/>
      <c r="JSU237" s="269"/>
      <c r="JSV237" s="269"/>
      <c r="JSW237" s="269"/>
      <c r="JSX237" s="269"/>
      <c r="JSY237" s="269"/>
      <c r="JSZ237" s="269"/>
      <c r="JTA237" s="269"/>
      <c r="JTB237" s="269"/>
      <c r="JTC237" s="269"/>
      <c r="JTD237" s="269"/>
      <c r="JTE237" s="269"/>
      <c r="JTF237" s="269"/>
      <c r="JTG237" s="269"/>
      <c r="JTH237" s="269"/>
      <c r="JTI237" s="269"/>
      <c r="JTJ237" s="269"/>
      <c r="JTK237" s="269"/>
      <c r="JTL237" s="269"/>
      <c r="JTM237" s="269"/>
      <c r="JTN237" s="269"/>
      <c r="JTO237" s="269"/>
      <c r="JTP237" s="269"/>
      <c r="JTQ237" s="269"/>
      <c r="JTR237" s="269"/>
      <c r="JTS237" s="269"/>
      <c r="JTT237" s="269"/>
      <c r="JTU237" s="269"/>
      <c r="JTV237" s="269"/>
      <c r="JTW237" s="269"/>
      <c r="JTX237" s="269"/>
      <c r="JTY237" s="269"/>
      <c r="JTZ237" s="269"/>
      <c r="JUA237" s="269"/>
      <c r="JUB237" s="269"/>
      <c r="JUC237" s="269"/>
      <c r="JUD237" s="269"/>
      <c r="JUE237" s="269"/>
      <c r="JUF237" s="269"/>
      <c r="JUG237" s="269"/>
      <c r="JUH237" s="269"/>
      <c r="JUI237" s="269"/>
      <c r="JUJ237" s="269"/>
      <c r="JUK237" s="269"/>
      <c r="JUL237" s="269"/>
      <c r="JUM237" s="269"/>
      <c r="JUN237" s="269"/>
      <c r="JUO237" s="269"/>
      <c r="JUP237" s="269"/>
      <c r="JUQ237" s="269"/>
      <c r="JUR237" s="269"/>
      <c r="JUS237" s="269"/>
      <c r="JUT237" s="269"/>
      <c r="JUU237" s="269"/>
      <c r="JUV237" s="269"/>
      <c r="JUW237" s="269"/>
      <c r="JUX237" s="269"/>
      <c r="JUY237" s="269"/>
      <c r="JUZ237" s="269"/>
      <c r="JVA237" s="269"/>
      <c r="JVB237" s="269"/>
      <c r="JVC237" s="269"/>
      <c r="JVD237" s="269"/>
      <c r="JVE237" s="269"/>
      <c r="JVF237" s="269"/>
      <c r="JVG237" s="269"/>
      <c r="JVH237" s="269"/>
      <c r="JVI237" s="269"/>
      <c r="JVJ237" s="269"/>
      <c r="JVK237" s="269"/>
      <c r="JVL237" s="269"/>
      <c r="JVM237" s="269"/>
      <c r="JVN237" s="269"/>
      <c r="JVO237" s="269"/>
      <c r="JVP237" s="269"/>
      <c r="JVQ237" s="269"/>
      <c r="JVR237" s="269"/>
      <c r="JVS237" s="269"/>
      <c r="JVT237" s="269"/>
      <c r="JVU237" s="269"/>
      <c r="JVV237" s="269"/>
      <c r="JVW237" s="269"/>
      <c r="JVX237" s="269"/>
      <c r="JVY237" s="269"/>
      <c r="JVZ237" s="269"/>
      <c r="JWA237" s="269"/>
      <c r="JWB237" s="269"/>
      <c r="JWC237" s="269"/>
      <c r="JWD237" s="269"/>
      <c r="JWE237" s="269"/>
      <c r="JWF237" s="269"/>
      <c r="JWG237" s="269"/>
      <c r="JWH237" s="269"/>
      <c r="JWI237" s="269"/>
      <c r="JWJ237" s="269"/>
      <c r="JWK237" s="269"/>
      <c r="JWL237" s="269"/>
      <c r="JWM237" s="269"/>
      <c r="JWN237" s="269"/>
      <c r="JWO237" s="269"/>
      <c r="JWP237" s="269"/>
      <c r="JWQ237" s="269"/>
      <c r="JWR237" s="269"/>
      <c r="JWS237" s="269"/>
      <c r="JWT237" s="269"/>
      <c r="JWU237" s="269"/>
      <c r="JWV237" s="269"/>
      <c r="JWW237" s="269"/>
      <c r="JWX237" s="269"/>
      <c r="JWY237" s="269"/>
      <c r="JWZ237" s="269"/>
      <c r="JXA237" s="269"/>
      <c r="JXB237" s="269"/>
      <c r="JXC237" s="269"/>
      <c r="JXD237" s="269"/>
      <c r="JXE237" s="269"/>
      <c r="JXF237" s="269"/>
      <c r="JXG237" s="269"/>
      <c r="JXH237" s="269"/>
      <c r="JXI237" s="269"/>
      <c r="JXJ237" s="269"/>
      <c r="JXK237" s="269"/>
      <c r="JXL237" s="269"/>
      <c r="JXM237" s="269"/>
      <c r="JXN237" s="269"/>
      <c r="JXO237" s="269"/>
      <c r="JXP237" s="269"/>
      <c r="JXQ237" s="269"/>
      <c r="JXR237" s="269"/>
      <c r="JXS237" s="269"/>
      <c r="JXT237" s="269"/>
      <c r="JXU237" s="269"/>
      <c r="JXV237" s="269"/>
      <c r="JXW237" s="269"/>
      <c r="JXX237" s="269"/>
      <c r="JXY237" s="269"/>
      <c r="JXZ237" s="269"/>
      <c r="JYA237" s="269"/>
      <c r="JYB237" s="269"/>
      <c r="JYC237" s="269"/>
      <c r="JYD237" s="269"/>
      <c r="JYE237" s="269"/>
      <c r="JYF237" s="269"/>
      <c r="JYG237" s="269"/>
      <c r="JYH237" s="269"/>
      <c r="JYI237" s="269"/>
      <c r="JYJ237" s="269"/>
      <c r="JYK237" s="269"/>
      <c r="JYL237" s="269"/>
      <c r="JYM237" s="269"/>
      <c r="JYN237" s="269"/>
      <c r="JYO237" s="269"/>
      <c r="JYP237" s="269"/>
      <c r="JYQ237" s="269"/>
      <c r="JYR237" s="269"/>
      <c r="JYS237" s="269"/>
      <c r="JYT237" s="269"/>
      <c r="JYU237" s="269"/>
      <c r="JYV237" s="269"/>
      <c r="JYW237" s="269"/>
      <c r="JYX237" s="269"/>
      <c r="JYY237" s="269"/>
      <c r="JYZ237" s="269"/>
      <c r="JZA237" s="269"/>
      <c r="JZB237" s="269"/>
      <c r="JZC237" s="269"/>
      <c r="JZD237" s="269"/>
      <c r="JZE237" s="269"/>
      <c r="JZF237" s="269"/>
      <c r="JZG237" s="269"/>
      <c r="JZH237" s="269"/>
      <c r="JZI237" s="269"/>
      <c r="JZJ237" s="269"/>
      <c r="JZK237" s="269"/>
      <c r="JZL237" s="269"/>
      <c r="JZM237" s="269"/>
      <c r="JZN237" s="269"/>
      <c r="JZO237" s="269"/>
      <c r="JZP237" s="269"/>
      <c r="JZQ237" s="269"/>
      <c r="JZR237" s="269"/>
      <c r="JZS237" s="269"/>
      <c r="JZT237" s="269"/>
      <c r="JZU237" s="269"/>
      <c r="JZV237" s="269"/>
      <c r="JZW237" s="269"/>
      <c r="JZX237" s="269"/>
      <c r="JZY237" s="269"/>
      <c r="JZZ237" s="269"/>
      <c r="KAA237" s="269"/>
      <c r="KAB237" s="269"/>
      <c r="KAC237" s="269"/>
      <c r="KAD237" s="269"/>
      <c r="KAE237" s="269"/>
      <c r="KAF237" s="269"/>
      <c r="KAG237" s="269"/>
      <c r="KAH237" s="269"/>
      <c r="KAI237" s="269"/>
      <c r="KAJ237" s="269"/>
      <c r="KAK237" s="269"/>
      <c r="KAL237" s="269"/>
      <c r="KAM237" s="269"/>
      <c r="KAN237" s="269"/>
      <c r="KAO237" s="269"/>
      <c r="KAP237" s="269"/>
      <c r="KAQ237" s="269"/>
      <c r="KAR237" s="269"/>
      <c r="KAS237" s="269"/>
      <c r="KAT237" s="269"/>
      <c r="KAU237" s="269"/>
      <c r="KAV237" s="269"/>
      <c r="KAW237" s="269"/>
      <c r="KAX237" s="269"/>
      <c r="KAY237" s="269"/>
      <c r="KAZ237" s="269"/>
      <c r="KBA237" s="269"/>
      <c r="KBB237" s="269"/>
      <c r="KBC237" s="269"/>
      <c r="KBD237" s="269"/>
      <c r="KBE237" s="269"/>
      <c r="KBF237" s="269"/>
      <c r="KBG237" s="269"/>
      <c r="KBH237" s="269"/>
      <c r="KBI237" s="269"/>
      <c r="KBJ237" s="269"/>
      <c r="KBK237" s="269"/>
      <c r="KBL237" s="269"/>
      <c r="KBM237" s="269"/>
      <c r="KBN237" s="269"/>
      <c r="KBO237" s="269"/>
      <c r="KBP237" s="269"/>
      <c r="KBQ237" s="269"/>
      <c r="KBR237" s="269"/>
      <c r="KBS237" s="269"/>
      <c r="KBT237" s="269"/>
      <c r="KBU237" s="269"/>
      <c r="KBV237" s="269"/>
      <c r="KBW237" s="269"/>
      <c r="KBX237" s="269"/>
      <c r="KBY237" s="269"/>
      <c r="KBZ237" s="269"/>
      <c r="KCA237" s="269"/>
      <c r="KCB237" s="269"/>
      <c r="KCC237" s="269"/>
      <c r="KCD237" s="269"/>
      <c r="KCE237" s="269"/>
      <c r="KCF237" s="269"/>
      <c r="KCG237" s="269"/>
      <c r="KCH237" s="269"/>
      <c r="KCI237" s="269"/>
      <c r="KCJ237" s="269"/>
      <c r="KCK237" s="269"/>
      <c r="KCL237" s="269"/>
      <c r="KCM237" s="269"/>
      <c r="KCN237" s="269"/>
      <c r="KCO237" s="269"/>
      <c r="KCP237" s="269"/>
      <c r="KCQ237" s="269"/>
      <c r="KCR237" s="269"/>
      <c r="KCS237" s="269"/>
      <c r="KCT237" s="269"/>
      <c r="KCU237" s="269"/>
      <c r="KCV237" s="269"/>
      <c r="KCW237" s="269"/>
      <c r="KCX237" s="269"/>
      <c r="KCY237" s="269"/>
      <c r="KCZ237" s="269"/>
      <c r="KDA237" s="269"/>
      <c r="KDB237" s="269"/>
      <c r="KDC237" s="269"/>
      <c r="KDD237" s="269"/>
      <c r="KDE237" s="269"/>
      <c r="KDF237" s="269"/>
      <c r="KDG237" s="269"/>
      <c r="KDH237" s="269"/>
      <c r="KDI237" s="269"/>
      <c r="KDJ237" s="269"/>
      <c r="KDK237" s="269"/>
      <c r="KDL237" s="269"/>
      <c r="KDM237" s="269"/>
      <c r="KDN237" s="269"/>
      <c r="KDO237" s="269"/>
      <c r="KDP237" s="269"/>
      <c r="KDQ237" s="269"/>
      <c r="KDR237" s="269"/>
      <c r="KDS237" s="269"/>
      <c r="KDT237" s="269"/>
      <c r="KDU237" s="269"/>
      <c r="KDV237" s="269"/>
      <c r="KDW237" s="269"/>
      <c r="KDX237" s="269"/>
      <c r="KDY237" s="269"/>
      <c r="KDZ237" s="269"/>
      <c r="KEA237" s="269"/>
      <c r="KEB237" s="269"/>
      <c r="KEC237" s="269"/>
      <c r="KED237" s="269"/>
      <c r="KEE237" s="269"/>
      <c r="KEF237" s="269"/>
      <c r="KEG237" s="269"/>
      <c r="KEH237" s="269"/>
      <c r="KEI237" s="269"/>
      <c r="KEJ237" s="269"/>
      <c r="KEK237" s="269"/>
      <c r="KEL237" s="269"/>
      <c r="KEM237" s="269"/>
      <c r="KEN237" s="269"/>
      <c r="KEO237" s="269"/>
      <c r="KEP237" s="269"/>
      <c r="KEQ237" s="269"/>
      <c r="KER237" s="269"/>
      <c r="KES237" s="269"/>
      <c r="KET237" s="269"/>
      <c r="KEU237" s="269"/>
      <c r="KEV237" s="269"/>
      <c r="KEW237" s="269"/>
      <c r="KEX237" s="269"/>
      <c r="KEY237" s="269"/>
      <c r="KEZ237" s="269"/>
      <c r="KFA237" s="269"/>
      <c r="KFB237" s="269"/>
      <c r="KFC237" s="269"/>
      <c r="KFD237" s="269"/>
      <c r="KFE237" s="269"/>
      <c r="KFF237" s="269"/>
      <c r="KFG237" s="269"/>
      <c r="KFH237" s="269"/>
      <c r="KFI237" s="269"/>
      <c r="KFJ237" s="269"/>
      <c r="KFK237" s="269"/>
      <c r="KFL237" s="269"/>
      <c r="KFM237" s="269"/>
      <c r="KFN237" s="269"/>
      <c r="KFO237" s="269"/>
      <c r="KFP237" s="269"/>
      <c r="KFQ237" s="269"/>
      <c r="KFR237" s="269"/>
      <c r="KFS237" s="269"/>
      <c r="KFT237" s="269"/>
      <c r="KFU237" s="269"/>
      <c r="KFV237" s="269"/>
      <c r="KFW237" s="269"/>
      <c r="KFX237" s="269"/>
      <c r="KFY237" s="269"/>
      <c r="KFZ237" s="269"/>
      <c r="KGA237" s="269"/>
      <c r="KGB237" s="269"/>
      <c r="KGC237" s="269"/>
      <c r="KGD237" s="269"/>
      <c r="KGE237" s="269"/>
      <c r="KGF237" s="269"/>
      <c r="KGG237" s="269"/>
      <c r="KGH237" s="269"/>
      <c r="KGI237" s="269"/>
      <c r="KGJ237" s="269"/>
      <c r="KGK237" s="269"/>
      <c r="KGL237" s="269"/>
      <c r="KGM237" s="269"/>
      <c r="KGN237" s="269"/>
      <c r="KGO237" s="269"/>
      <c r="KGP237" s="269"/>
      <c r="KGQ237" s="269"/>
      <c r="KGR237" s="269"/>
      <c r="KGS237" s="269"/>
      <c r="KGT237" s="269"/>
      <c r="KGU237" s="269"/>
      <c r="KGV237" s="269"/>
      <c r="KGW237" s="269"/>
      <c r="KGX237" s="269"/>
      <c r="KGY237" s="269"/>
      <c r="KGZ237" s="269"/>
      <c r="KHA237" s="269"/>
      <c r="KHB237" s="269"/>
      <c r="KHC237" s="269"/>
      <c r="KHD237" s="269"/>
      <c r="KHE237" s="269"/>
      <c r="KHF237" s="269"/>
      <c r="KHG237" s="269"/>
      <c r="KHH237" s="269"/>
      <c r="KHI237" s="269"/>
      <c r="KHJ237" s="269"/>
      <c r="KHK237" s="269"/>
      <c r="KHL237" s="269"/>
      <c r="KHM237" s="269"/>
      <c r="KHN237" s="269"/>
      <c r="KHO237" s="269"/>
      <c r="KHP237" s="269"/>
      <c r="KHQ237" s="269"/>
      <c r="KHR237" s="269"/>
      <c r="KHS237" s="269"/>
      <c r="KHT237" s="269"/>
      <c r="KHU237" s="269"/>
      <c r="KHV237" s="269"/>
      <c r="KHW237" s="269"/>
      <c r="KHX237" s="269"/>
      <c r="KHY237" s="269"/>
      <c r="KHZ237" s="269"/>
      <c r="KIA237" s="269"/>
      <c r="KIB237" s="269"/>
      <c r="KIC237" s="269"/>
      <c r="KID237" s="269"/>
      <c r="KIE237" s="269"/>
      <c r="KIF237" s="269"/>
      <c r="KIG237" s="269"/>
      <c r="KIH237" s="269"/>
      <c r="KII237" s="269"/>
      <c r="KIJ237" s="269"/>
      <c r="KIK237" s="269"/>
      <c r="KIL237" s="269"/>
      <c r="KIM237" s="269"/>
      <c r="KIN237" s="269"/>
      <c r="KIO237" s="269"/>
      <c r="KIP237" s="269"/>
      <c r="KIQ237" s="269"/>
      <c r="KIR237" s="269"/>
      <c r="KIS237" s="269"/>
      <c r="KIT237" s="269"/>
      <c r="KIU237" s="269"/>
      <c r="KIV237" s="269"/>
      <c r="KIW237" s="269"/>
      <c r="KIX237" s="269"/>
      <c r="KIY237" s="269"/>
      <c r="KIZ237" s="269"/>
      <c r="KJA237" s="269"/>
      <c r="KJB237" s="269"/>
      <c r="KJC237" s="269"/>
      <c r="KJD237" s="269"/>
      <c r="KJE237" s="269"/>
      <c r="KJF237" s="269"/>
      <c r="KJG237" s="269"/>
      <c r="KJH237" s="269"/>
      <c r="KJI237" s="269"/>
      <c r="KJJ237" s="269"/>
      <c r="KJK237" s="269"/>
      <c r="KJL237" s="269"/>
      <c r="KJM237" s="269"/>
      <c r="KJN237" s="269"/>
      <c r="KJO237" s="269"/>
      <c r="KJP237" s="269"/>
      <c r="KJQ237" s="269"/>
      <c r="KJR237" s="269"/>
      <c r="KJS237" s="269"/>
      <c r="KJT237" s="269"/>
      <c r="KJU237" s="269"/>
      <c r="KJV237" s="269"/>
      <c r="KJW237" s="269"/>
      <c r="KJX237" s="269"/>
      <c r="KJY237" s="269"/>
      <c r="KJZ237" s="269"/>
      <c r="KKA237" s="269"/>
      <c r="KKB237" s="269"/>
      <c r="KKC237" s="269"/>
      <c r="KKD237" s="269"/>
      <c r="KKE237" s="269"/>
      <c r="KKF237" s="269"/>
      <c r="KKG237" s="269"/>
      <c r="KKH237" s="269"/>
      <c r="KKI237" s="269"/>
      <c r="KKJ237" s="269"/>
      <c r="KKK237" s="269"/>
      <c r="KKL237" s="269"/>
      <c r="KKM237" s="269"/>
      <c r="KKN237" s="269"/>
      <c r="KKO237" s="269"/>
      <c r="KKP237" s="269"/>
      <c r="KKQ237" s="269"/>
      <c r="KKR237" s="269"/>
      <c r="KKS237" s="269"/>
      <c r="KKT237" s="269"/>
      <c r="KKU237" s="269"/>
      <c r="KKV237" s="269"/>
      <c r="KKW237" s="269"/>
      <c r="KKX237" s="269"/>
      <c r="KKY237" s="269"/>
      <c r="KKZ237" s="269"/>
      <c r="KLA237" s="269"/>
      <c r="KLB237" s="269"/>
      <c r="KLC237" s="269"/>
      <c r="KLD237" s="269"/>
      <c r="KLE237" s="269"/>
      <c r="KLF237" s="269"/>
      <c r="KLG237" s="269"/>
      <c r="KLH237" s="269"/>
      <c r="KLI237" s="269"/>
      <c r="KLJ237" s="269"/>
      <c r="KLK237" s="269"/>
      <c r="KLL237" s="269"/>
      <c r="KLM237" s="269"/>
      <c r="KLN237" s="269"/>
      <c r="KLO237" s="269"/>
      <c r="KLP237" s="269"/>
      <c r="KLQ237" s="269"/>
      <c r="KLR237" s="269"/>
      <c r="KLS237" s="269"/>
      <c r="KLT237" s="269"/>
      <c r="KLU237" s="269"/>
      <c r="KLV237" s="269"/>
      <c r="KLW237" s="269"/>
      <c r="KLX237" s="269"/>
      <c r="KLY237" s="269"/>
      <c r="KLZ237" s="269"/>
      <c r="KMA237" s="269"/>
      <c r="KMB237" s="269"/>
      <c r="KMC237" s="269"/>
      <c r="KMD237" s="269"/>
      <c r="KME237" s="269"/>
      <c r="KMF237" s="269"/>
      <c r="KMG237" s="269"/>
      <c r="KMH237" s="269"/>
      <c r="KMI237" s="269"/>
      <c r="KMJ237" s="269"/>
      <c r="KMK237" s="269"/>
      <c r="KML237" s="269"/>
      <c r="KMM237" s="269"/>
      <c r="KMN237" s="269"/>
      <c r="KMO237" s="269"/>
      <c r="KMP237" s="269"/>
      <c r="KMQ237" s="269"/>
      <c r="KMR237" s="269"/>
      <c r="KMS237" s="269"/>
      <c r="KMT237" s="269"/>
      <c r="KMU237" s="269"/>
      <c r="KMV237" s="269"/>
      <c r="KMW237" s="269"/>
      <c r="KMX237" s="269"/>
      <c r="KMY237" s="269"/>
      <c r="KMZ237" s="269"/>
      <c r="KNA237" s="269"/>
      <c r="KNB237" s="269"/>
      <c r="KNC237" s="269"/>
      <c r="KND237" s="269"/>
      <c r="KNE237" s="269"/>
      <c r="KNF237" s="269"/>
      <c r="KNG237" s="269"/>
      <c r="KNH237" s="269"/>
      <c r="KNI237" s="269"/>
      <c r="KNJ237" s="269"/>
      <c r="KNK237" s="269"/>
      <c r="KNL237" s="269"/>
      <c r="KNM237" s="269"/>
      <c r="KNN237" s="269"/>
      <c r="KNO237" s="269"/>
      <c r="KNP237" s="269"/>
      <c r="KNQ237" s="269"/>
      <c r="KNR237" s="269"/>
      <c r="KNS237" s="269"/>
      <c r="KNT237" s="269"/>
      <c r="KNU237" s="269"/>
      <c r="KNV237" s="269"/>
      <c r="KNW237" s="269"/>
      <c r="KNX237" s="269"/>
      <c r="KNY237" s="269"/>
      <c r="KNZ237" s="269"/>
      <c r="KOA237" s="269"/>
      <c r="KOB237" s="269"/>
      <c r="KOC237" s="269"/>
      <c r="KOD237" s="269"/>
      <c r="KOE237" s="269"/>
      <c r="KOF237" s="269"/>
      <c r="KOG237" s="269"/>
      <c r="KOH237" s="269"/>
      <c r="KOI237" s="269"/>
      <c r="KOJ237" s="269"/>
      <c r="KOK237" s="269"/>
      <c r="KOL237" s="269"/>
      <c r="KOM237" s="269"/>
      <c r="KON237" s="269"/>
      <c r="KOO237" s="269"/>
      <c r="KOP237" s="269"/>
      <c r="KOQ237" s="269"/>
      <c r="KOR237" s="269"/>
      <c r="KOS237" s="269"/>
      <c r="KOT237" s="269"/>
      <c r="KOU237" s="269"/>
      <c r="KOV237" s="269"/>
      <c r="KOW237" s="269"/>
      <c r="KOX237" s="269"/>
      <c r="KOY237" s="269"/>
      <c r="KOZ237" s="269"/>
      <c r="KPA237" s="269"/>
      <c r="KPB237" s="269"/>
      <c r="KPC237" s="269"/>
      <c r="KPD237" s="269"/>
      <c r="KPE237" s="269"/>
      <c r="KPF237" s="269"/>
      <c r="KPG237" s="269"/>
      <c r="KPH237" s="269"/>
      <c r="KPI237" s="269"/>
      <c r="KPJ237" s="269"/>
      <c r="KPK237" s="269"/>
      <c r="KPL237" s="269"/>
      <c r="KPM237" s="269"/>
      <c r="KPN237" s="269"/>
      <c r="KPO237" s="269"/>
      <c r="KPP237" s="269"/>
      <c r="KPQ237" s="269"/>
      <c r="KPR237" s="269"/>
      <c r="KPS237" s="269"/>
      <c r="KPT237" s="269"/>
      <c r="KPU237" s="269"/>
      <c r="KPV237" s="269"/>
      <c r="KPW237" s="269"/>
      <c r="KPX237" s="269"/>
      <c r="KPY237" s="269"/>
      <c r="KPZ237" s="269"/>
      <c r="KQA237" s="269"/>
      <c r="KQB237" s="269"/>
      <c r="KQC237" s="269"/>
      <c r="KQD237" s="269"/>
      <c r="KQE237" s="269"/>
      <c r="KQF237" s="269"/>
      <c r="KQG237" s="269"/>
      <c r="KQH237" s="269"/>
      <c r="KQI237" s="269"/>
      <c r="KQJ237" s="269"/>
      <c r="KQK237" s="269"/>
      <c r="KQL237" s="269"/>
      <c r="KQM237" s="269"/>
      <c r="KQN237" s="269"/>
      <c r="KQO237" s="269"/>
      <c r="KQP237" s="269"/>
      <c r="KQQ237" s="269"/>
      <c r="KQR237" s="269"/>
      <c r="KQS237" s="269"/>
      <c r="KQT237" s="269"/>
      <c r="KQU237" s="269"/>
      <c r="KQV237" s="269"/>
      <c r="KQW237" s="269"/>
      <c r="KQX237" s="269"/>
      <c r="KQY237" s="269"/>
      <c r="KQZ237" s="269"/>
      <c r="KRA237" s="269"/>
      <c r="KRB237" s="269"/>
      <c r="KRC237" s="269"/>
      <c r="KRD237" s="269"/>
      <c r="KRE237" s="269"/>
      <c r="KRF237" s="269"/>
      <c r="KRG237" s="269"/>
      <c r="KRH237" s="269"/>
      <c r="KRI237" s="269"/>
      <c r="KRJ237" s="269"/>
      <c r="KRK237" s="269"/>
      <c r="KRL237" s="269"/>
      <c r="KRM237" s="269"/>
      <c r="KRN237" s="269"/>
      <c r="KRO237" s="269"/>
      <c r="KRP237" s="269"/>
      <c r="KRQ237" s="269"/>
      <c r="KRR237" s="269"/>
      <c r="KRS237" s="269"/>
      <c r="KRT237" s="269"/>
      <c r="KRU237" s="269"/>
      <c r="KRV237" s="269"/>
      <c r="KRW237" s="269"/>
      <c r="KRX237" s="269"/>
      <c r="KRY237" s="269"/>
      <c r="KRZ237" s="269"/>
      <c r="KSA237" s="269"/>
      <c r="KSB237" s="269"/>
      <c r="KSC237" s="269"/>
      <c r="KSD237" s="269"/>
      <c r="KSE237" s="269"/>
      <c r="KSF237" s="269"/>
      <c r="KSG237" s="269"/>
      <c r="KSH237" s="269"/>
      <c r="KSI237" s="269"/>
      <c r="KSJ237" s="269"/>
      <c r="KSK237" s="269"/>
      <c r="KSL237" s="269"/>
      <c r="KSM237" s="269"/>
      <c r="KSN237" s="269"/>
      <c r="KSO237" s="269"/>
      <c r="KSP237" s="269"/>
      <c r="KSQ237" s="269"/>
      <c r="KSR237" s="269"/>
      <c r="KSS237" s="269"/>
      <c r="KST237" s="269"/>
      <c r="KSU237" s="269"/>
      <c r="KSV237" s="269"/>
      <c r="KSW237" s="269"/>
      <c r="KSX237" s="269"/>
      <c r="KSY237" s="269"/>
      <c r="KSZ237" s="269"/>
      <c r="KTA237" s="269"/>
      <c r="KTB237" s="269"/>
      <c r="KTC237" s="269"/>
      <c r="KTD237" s="269"/>
      <c r="KTE237" s="269"/>
      <c r="KTF237" s="269"/>
      <c r="KTG237" s="269"/>
      <c r="KTH237" s="269"/>
      <c r="KTI237" s="269"/>
      <c r="KTJ237" s="269"/>
      <c r="KTK237" s="269"/>
      <c r="KTL237" s="269"/>
      <c r="KTM237" s="269"/>
      <c r="KTN237" s="269"/>
      <c r="KTO237" s="269"/>
      <c r="KTP237" s="269"/>
      <c r="KTQ237" s="269"/>
      <c r="KTR237" s="269"/>
      <c r="KTS237" s="269"/>
      <c r="KTT237" s="269"/>
      <c r="KTU237" s="269"/>
      <c r="KTV237" s="269"/>
      <c r="KTW237" s="269"/>
      <c r="KTX237" s="269"/>
      <c r="KTY237" s="269"/>
      <c r="KTZ237" s="269"/>
      <c r="KUA237" s="269"/>
      <c r="KUB237" s="269"/>
      <c r="KUC237" s="269"/>
      <c r="KUD237" s="269"/>
      <c r="KUE237" s="269"/>
      <c r="KUF237" s="269"/>
      <c r="KUG237" s="269"/>
      <c r="KUH237" s="269"/>
      <c r="KUI237" s="269"/>
      <c r="KUJ237" s="269"/>
      <c r="KUK237" s="269"/>
      <c r="KUL237" s="269"/>
      <c r="KUM237" s="269"/>
      <c r="KUN237" s="269"/>
      <c r="KUO237" s="269"/>
      <c r="KUP237" s="269"/>
      <c r="KUQ237" s="269"/>
      <c r="KUR237" s="269"/>
      <c r="KUS237" s="269"/>
      <c r="KUT237" s="269"/>
      <c r="KUU237" s="269"/>
      <c r="KUV237" s="269"/>
      <c r="KUW237" s="269"/>
      <c r="KUX237" s="269"/>
      <c r="KUY237" s="269"/>
      <c r="KUZ237" s="269"/>
      <c r="KVA237" s="269"/>
      <c r="KVB237" s="269"/>
      <c r="KVC237" s="269"/>
      <c r="KVD237" s="269"/>
      <c r="KVE237" s="269"/>
      <c r="KVF237" s="269"/>
      <c r="KVG237" s="269"/>
      <c r="KVH237" s="269"/>
      <c r="KVI237" s="269"/>
      <c r="KVJ237" s="269"/>
      <c r="KVK237" s="269"/>
      <c r="KVL237" s="269"/>
      <c r="KVM237" s="269"/>
      <c r="KVN237" s="269"/>
      <c r="KVO237" s="269"/>
      <c r="KVP237" s="269"/>
      <c r="KVQ237" s="269"/>
      <c r="KVR237" s="269"/>
      <c r="KVS237" s="269"/>
      <c r="KVT237" s="269"/>
      <c r="KVU237" s="269"/>
      <c r="KVV237" s="269"/>
      <c r="KVW237" s="269"/>
      <c r="KVX237" s="269"/>
      <c r="KVY237" s="269"/>
      <c r="KVZ237" s="269"/>
      <c r="KWA237" s="269"/>
      <c r="KWB237" s="269"/>
      <c r="KWC237" s="269"/>
      <c r="KWD237" s="269"/>
      <c r="KWE237" s="269"/>
      <c r="KWF237" s="269"/>
      <c r="KWG237" s="269"/>
      <c r="KWH237" s="269"/>
      <c r="KWI237" s="269"/>
      <c r="KWJ237" s="269"/>
      <c r="KWK237" s="269"/>
      <c r="KWL237" s="269"/>
      <c r="KWM237" s="269"/>
      <c r="KWN237" s="269"/>
      <c r="KWO237" s="269"/>
      <c r="KWP237" s="269"/>
      <c r="KWQ237" s="269"/>
      <c r="KWR237" s="269"/>
      <c r="KWS237" s="269"/>
      <c r="KWT237" s="269"/>
      <c r="KWU237" s="269"/>
      <c r="KWV237" s="269"/>
      <c r="KWW237" s="269"/>
      <c r="KWX237" s="269"/>
      <c r="KWY237" s="269"/>
      <c r="KWZ237" s="269"/>
      <c r="KXA237" s="269"/>
      <c r="KXB237" s="269"/>
      <c r="KXC237" s="269"/>
      <c r="KXD237" s="269"/>
      <c r="KXE237" s="269"/>
      <c r="KXF237" s="269"/>
      <c r="KXG237" s="269"/>
      <c r="KXH237" s="269"/>
      <c r="KXI237" s="269"/>
      <c r="KXJ237" s="269"/>
      <c r="KXK237" s="269"/>
      <c r="KXL237" s="269"/>
      <c r="KXM237" s="269"/>
      <c r="KXN237" s="269"/>
      <c r="KXO237" s="269"/>
      <c r="KXP237" s="269"/>
      <c r="KXQ237" s="269"/>
      <c r="KXR237" s="269"/>
      <c r="KXS237" s="269"/>
      <c r="KXT237" s="269"/>
      <c r="KXU237" s="269"/>
      <c r="KXV237" s="269"/>
      <c r="KXW237" s="269"/>
      <c r="KXX237" s="269"/>
      <c r="KXY237" s="269"/>
      <c r="KXZ237" s="269"/>
      <c r="KYA237" s="269"/>
      <c r="KYB237" s="269"/>
      <c r="KYC237" s="269"/>
      <c r="KYD237" s="269"/>
      <c r="KYE237" s="269"/>
      <c r="KYF237" s="269"/>
      <c r="KYG237" s="269"/>
      <c r="KYH237" s="269"/>
      <c r="KYI237" s="269"/>
      <c r="KYJ237" s="269"/>
      <c r="KYK237" s="269"/>
      <c r="KYL237" s="269"/>
      <c r="KYM237" s="269"/>
      <c r="KYN237" s="269"/>
      <c r="KYO237" s="269"/>
      <c r="KYP237" s="269"/>
      <c r="KYQ237" s="269"/>
      <c r="KYR237" s="269"/>
      <c r="KYS237" s="269"/>
      <c r="KYT237" s="269"/>
      <c r="KYU237" s="269"/>
      <c r="KYV237" s="269"/>
      <c r="KYW237" s="269"/>
      <c r="KYX237" s="269"/>
      <c r="KYY237" s="269"/>
      <c r="KYZ237" s="269"/>
      <c r="KZA237" s="269"/>
      <c r="KZB237" s="269"/>
      <c r="KZC237" s="269"/>
      <c r="KZD237" s="269"/>
      <c r="KZE237" s="269"/>
      <c r="KZF237" s="269"/>
      <c r="KZG237" s="269"/>
      <c r="KZH237" s="269"/>
      <c r="KZI237" s="269"/>
      <c r="KZJ237" s="269"/>
      <c r="KZK237" s="269"/>
      <c r="KZL237" s="269"/>
      <c r="KZM237" s="269"/>
      <c r="KZN237" s="269"/>
      <c r="KZO237" s="269"/>
      <c r="KZP237" s="269"/>
      <c r="KZQ237" s="269"/>
      <c r="KZR237" s="269"/>
      <c r="KZS237" s="269"/>
      <c r="KZT237" s="269"/>
      <c r="KZU237" s="269"/>
      <c r="KZV237" s="269"/>
      <c r="KZW237" s="269"/>
      <c r="KZX237" s="269"/>
      <c r="KZY237" s="269"/>
      <c r="KZZ237" s="269"/>
      <c r="LAA237" s="269"/>
      <c r="LAB237" s="269"/>
      <c r="LAC237" s="269"/>
      <c r="LAD237" s="269"/>
      <c r="LAE237" s="269"/>
      <c r="LAF237" s="269"/>
      <c r="LAG237" s="269"/>
      <c r="LAH237" s="269"/>
      <c r="LAI237" s="269"/>
      <c r="LAJ237" s="269"/>
      <c r="LAK237" s="269"/>
      <c r="LAL237" s="269"/>
      <c r="LAM237" s="269"/>
      <c r="LAN237" s="269"/>
      <c r="LAO237" s="269"/>
      <c r="LAP237" s="269"/>
      <c r="LAQ237" s="269"/>
      <c r="LAR237" s="269"/>
      <c r="LAS237" s="269"/>
      <c r="LAT237" s="269"/>
      <c r="LAU237" s="269"/>
      <c r="LAV237" s="269"/>
      <c r="LAW237" s="269"/>
      <c r="LAX237" s="269"/>
      <c r="LAY237" s="269"/>
      <c r="LAZ237" s="269"/>
      <c r="LBA237" s="269"/>
      <c r="LBB237" s="269"/>
      <c r="LBC237" s="269"/>
      <c r="LBD237" s="269"/>
      <c r="LBE237" s="269"/>
      <c r="LBF237" s="269"/>
      <c r="LBG237" s="269"/>
      <c r="LBH237" s="269"/>
      <c r="LBI237" s="269"/>
      <c r="LBJ237" s="269"/>
      <c r="LBK237" s="269"/>
      <c r="LBL237" s="269"/>
      <c r="LBM237" s="269"/>
      <c r="LBN237" s="269"/>
      <c r="LBO237" s="269"/>
      <c r="LBP237" s="269"/>
      <c r="LBQ237" s="269"/>
      <c r="LBR237" s="269"/>
      <c r="LBS237" s="269"/>
      <c r="LBT237" s="269"/>
      <c r="LBU237" s="269"/>
      <c r="LBV237" s="269"/>
      <c r="LBW237" s="269"/>
      <c r="LBX237" s="269"/>
      <c r="LBY237" s="269"/>
      <c r="LBZ237" s="269"/>
      <c r="LCA237" s="269"/>
      <c r="LCB237" s="269"/>
      <c r="LCC237" s="269"/>
      <c r="LCD237" s="269"/>
      <c r="LCE237" s="269"/>
      <c r="LCF237" s="269"/>
      <c r="LCG237" s="269"/>
      <c r="LCH237" s="269"/>
      <c r="LCI237" s="269"/>
      <c r="LCJ237" s="269"/>
      <c r="LCK237" s="269"/>
      <c r="LCL237" s="269"/>
      <c r="LCM237" s="269"/>
      <c r="LCN237" s="269"/>
      <c r="LCO237" s="269"/>
      <c r="LCP237" s="269"/>
      <c r="LCQ237" s="269"/>
      <c r="LCR237" s="269"/>
      <c r="LCS237" s="269"/>
      <c r="LCT237" s="269"/>
      <c r="LCU237" s="269"/>
      <c r="LCV237" s="269"/>
      <c r="LCW237" s="269"/>
      <c r="LCX237" s="269"/>
      <c r="LCY237" s="269"/>
      <c r="LCZ237" s="269"/>
      <c r="LDA237" s="269"/>
      <c r="LDB237" s="269"/>
      <c r="LDC237" s="269"/>
      <c r="LDD237" s="269"/>
      <c r="LDE237" s="269"/>
      <c r="LDF237" s="269"/>
      <c r="LDG237" s="269"/>
      <c r="LDH237" s="269"/>
      <c r="LDI237" s="269"/>
      <c r="LDJ237" s="269"/>
      <c r="LDK237" s="269"/>
      <c r="LDL237" s="269"/>
      <c r="LDM237" s="269"/>
      <c r="LDN237" s="269"/>
      <c r="LDO237" s="269"/>
      <c r="LDP237" s="269"/>
      <c r="LDQ237" s="269"/>
      <c r="LDR237" s="269"/>
      <c r="LDS237" s="269"/>
      <c r="LDT237" s="269"/>
      <c r="LDU237" s="269"/>
      <c r="LDV237" s="269"/>
      <c r="LDW237" s="269"/>
      <c r="LDX237" s="269"/>
      <c r="LDY237" s="269"/>
      <c r="LDZ237" s="269"/>
      <c r="LEA237" s="269"/>
      <c r="LEB237" s="269"/>
      <c r="LEC237" s="269"/>
      <c r="LED237" s="269"/>
      <c r="LEE237" s="269"/>
      <c r="LEF237" s="269"/>
      <c r="LEG237" s="269"/>
      <c r="LEH237" s="269"/>
      <c r="LEI237" s="269"/>
      <c r="LEJ237" s="269"/>
      <c r="LEK237" s="269"/>
      <c r="LEL237" s="269"/>
      <c r="LEM237" s="269"/>
      <c r="LEN237" s="269"/>
      <c r="LEO237" s="269"/>
      <c r="LEP237" s="269"/>
      <c r="LEQ237" s="269"/>
      <c r="LER237" s="269"/>
      <c r="LES237" s="269"/>
      <c r="LET237" s="269"/>
      <c r="LEU237" s="269"/>
      <c r="LEV237" s="269"/>
      <c r="LEW237" s="269"/>
      <c r="LEX237" s="269"/>
      <c r="LEY237" s="269"/>
      <c r="LEZ237" s="269"/>
      <c r="LFA237" s="269"/>
      <c r="LFB237" s="269"/>
      <c r="LFC237" s="269"/>
      <c r="LFD237" s="269"/>
      <c r="LFE237" s="269"/>
      <c r="LFF237" s="269"/>
      <c r="LFG237" s="269"/>
      <c r="LFH237" s="269"/>
      <c r="LFI237" s="269"/>
      <c r="LFJ237" s="269"/>
      <c r="LFK237" s="269"/>
      <c r="LFL237" s="269"/>
      <c r="LFM237" s="269"/>
      <c r="LFN237" s="269"/>
      <c r="LFO237" s="269"/>
      <c r="LFP237" s="269"/>
      <c r="LFQ237" s="269"/>
      <c r="LFR237" s="269"/>
      <c r="LFS237" s="269"/>
      <c r="LFT237" s="269"/>
      <c r="LFU237" s="269"/>
      <c r="LFV237" s="269"/>
      <c r="LFW237" s="269"/>
      <c r="LFX237" s="269"/>
      <c r="LFY237" s="269"/>
      <c r="LFZ237" s="269"/>
      <c r="LGA237" s="269"/>
      <c r="LGB237" s="269"/>
      <c r="LGC237" s="269"/>
      <c r="LGD237" s="269"/>
      <c r="LGE237" s="269"/>
      <c r="LGF237" s="269"/>
      <c r="LGG237" s="269"/>
      <c r="LGH237" s="269"/>
      <c r="LGI237" s="269"/>
      <c r="LGJ237" s="269"/>
      <c r="LGK237" s="269"/>
      <c r="LGL237" s="269"/>
      <c r="LGM237" s="269"/>
      <c r="LGN237" s="269"/>
      <c r="LGO237" s="269"/>
      <c r="LGP237" s="269"/>
      <c r="LGQ237" s="269"/>
      <c r="LGR237" s="269"/>
      <c r="LGS237" s="269"/>
      <c r="LGT237" s="269"/>
      <c r="LGU237" s="269"/>
      <c r="LGV237" s="269"/>
      <c r="LGW237" s="269"/>
      <c r="LGX237" s="269"/>
      <c r="LGY237" s="269"/>
      <c r="LGZ237" s="269"/>
      <c r="LHA237" s="269"/>
      <c r="LHB237" s="269"/>
      <c r="LHC237" s="269"/>
      <c r="LHD237" s="269"/>
      <c r="LHE237" s="269"/>
      <c r="LHF237" s="269"/>
      <c r="LHG237" s="269"/>
      <c r="LHH237" s="269"/>
      <c r="LHI237" s="269"/>
      <c r="LHJ237" s="269"/>
      <c r="LHK237" s="269"/>
      <c r="LHL237" s="269"/>
      <c r="LHM237" s="269"/>
      <c r="LHN237" s="269"/>
      <c r="LHO237" s="269"/>
      <c r="LHP237" s="269"/>
      <c r="LHQ237" s="269"/>
      <c r="LHR237" s="269"/>
      <c r="LHS237" s="269"/>
      <c r="LHT237" s="269"/>
      <c r="LHU237" s="269"/>
      <c r="LHV237" s="269"/>
      <c r="LHW237" s="269"/>
      <c r="LHX237" s="269"/>
      <c r="LHY237" s="269"/>
      <c r="LHZ237" s="269"/>
      <c r="LIA237" s="269"/>
      <c r="LIB237" s="269"/>
      <c r="LIC237" s="269"/>
      <c r="LID237" s="269"/>
      <c r="LIE237" s="269"/>
      <c r="LIF237" s="269"/>
      <c r="LIG237" s="269"/>
      <c r="LIH237" s="269"/>
      <c r="LII237" s="269"/>
      <c r="LIJ237" s="269"/>
      <c r="LIK237" s="269"/>
      <c r="LIL237" s="269"/>
      <c r="LIM237" s="269"/>
      <c r="LIN237" s="269"/>
      <c r="LIO237" s="269"/>
      <c r="LIP237" s="269"/>
      <c r="LIQ237" s="269"/>
      <c r="LIR237" s="269"/>
      <c r="LIS237" s="269"/>
      <c r="LIT237" s="269"/>
      <c r="LIU237" s="269"/>
      <c r="LIV237" s="269"/>
      <c r="LIW237" s="269"/>
      <c r="LIX237" s="269"/>
      <c r="LIY237" s="269"/>
      <c r="LIZ237" s="269"/>
      <c r="LJA237" s="269"/>
      <c r="LJB237" s="269"/>
      <c r="LJC237" s="269"/>
      <c r="LJD237" s="269"/>
      <c r="LJE237" s="269"/>
      <c r="LJF237" s="269"/>
      <c r="LJG237" s="269"/>
      <c r="LJH237" s="269"/>
      <c r="LJI237" s="269"/>
      <c r="LJJ237" s="269"/>
      <c r="LJK237" s="269"/>
      <c r="LJL237" s="269"/>
      <c r="LJM237" s="269"/>
      <c r="LJN237" s="269"/>
      <c r="LJO237" s="269"/>
      <c r="LJP237" s="269"/>
      <c r="LJQ237" s="269"/>
      <c r="LJR237" s="269"/>
      <c r="LJS237" s="269"/>
      <c r="LJT237" s="269"/>
      <c r="LJU237" s="269"/>
      <c r="LJV237" s="269"/>
      <c r="LJW237" s="269"/>
      <c r="LJX237" s="269"/>
      <c r="LJY237" s="269"/>
      <c r="LJZ237" s="269"/>
      <c r="LKA237" s="269"/>
      <c r="LKB237" s="269"/>
      <c r="LKC237" s="269"/>
      <c r="LKD237" s="269"/>
      <c r="LKE237" s="269"/>
      <c r="LKF237" s="269"/>
      <c r="LKG237" s="269"/>
      <c r="LKH237" s="269"/>
      <c r="LKI237" s="269"/>
      <c r="LKJ237" s="269"/>
      <c r="LKK237" s="269"/>
      <c r="LKL237" s="269"/>
      <c r="LKM237" s="269"/>
      <c r="LKN237" s="269"/>
      <c r="LKO237" s="269"/>
      <c r="LKP237" s="269"/>
      <c r="LKQ237" s="269"/>
      <c r="LKR237" s="269"/>
      <c r="LKS237" s="269"/>
      <c r="LKT237" s="269"/>
      <c r="LKU237" s="269"/>
      <c r="LKV237" s="269"/>
      <c r="LKW237" s="269"/>
      <c r="LKX237" s="269"/>
      <c r="LKY237" s="269"/>
      <c r="LKZ237" s="269"/>
      <c r="LLA237" s="269"/>
      <c r="LLB237" s="269"/>
      <c r="LLC237" s="269"/>
      <c r="LLD237" s="269"/>
      <c r="LLE237" s="269"/>
      <c r="LLF237" s="269"/>
      <c r="LLG237" s="269"/>
      <c r="LLH237" s="269"/>
      <c r="LLI237" s="269"/>
      <c r="LLJ237" s="269"/>
      <c r="LLK237" s="269"/>
      <c r="LLL237" s="269"/>
      <c r="LLM237" s="269"/>
      <c r="LLN237" s="269"/>
      <c r="LLO237" s="269"/>
      <c r="LLP237" s="269"/>
      <c r="LLQ237" s="269"/>
      <c r="LLR237" s="269"/>
      <c r="LLS237" s="269"/>
      <c r="LLT237" s="269"/>
      <c r="LLU237" s="269"/>
      <c r="LLV237" s="269"/>
      <c r="LLW237" s="269"/>
      <c r="LLX237" s="269"/>
      <c r="LLY237" s="269"/>
      <c r="LLZ237" s="269"/>
      <c r="LMA237" s="269"/>
      <c r="LMB237" s="269"/>
      <c r="LMC237" s="269"/>
      <c r="LMD237" s="269"/>
      <c r="LME237" s="269"/>
      <c r="LMF237" s="269"/>
      <c r="LMG237" s="269"/>
      <c r="LMH237" s="269"/>
      <c r="LMI237" s="269"/>
      <c r="LMJ237" s="269"/>
      <c r="LMK237" s="269"/>
      <c r="LML237" s="269"/>
      <c r="LMM237" s="269"/>
      <c r="LMN237" s="269"/>
      <c r="LMO237" s="269"/>
      <c r="LMP237" s="269"/>
      <c r="LMQ237" s="269"/>
      <c r="LMR237" s="269"/>
      <c r="LMS237" s="269"/>
      <c r="LMT237" s="269"/>
      <c r="LMU237" s="269"/>
      <c r="LMV237" s="269"/>
      <c r="LMW237" s="269"/>
      <c r="LMX237" s="269"/>
      <c r="LMY237" s="269"/>
      <c r="LMZ237" s="269"/>
      <c r="LNA237" s="269"/>
      <c r="LNB237" s="269"/>
      <c r="LNC237" s="269"/>
      <c r="LND237" s="269"/>
      <c r="LNE237" s="269"/>
      <c r="LNF237" s="269"/>
      <c r="LNG237" s="269"/>
      <c r="LNH237" s="269"/>
      <c r="LNI237" s="269"/>
      <c r="LNJ237" s="269"/>
      <c r="LNK237" s="269"/>
      <c r="LNL237" s="269"/>
      <c r="LNM237" s="269"/>
      <c r="LNN237" s="269"/>
      <c r="LNO237" s="269"/>
      <c r="LNP237" s="269"/>
      <c r="LNQ237" s="269"/>
      <c r="LNR237" s="269"/>
      <c r="LNS237" s="269"/>
      <c r="LNT237" s="269"/>
      <c r="LNU237" s="269"/>
      <c r="LNV237" s="269"/>
      <c r="LNW237" s="269"/>
      <c r="LNX237" s="269"/>
      <c r="LNY237" s="269"/>
      <c r="LNZ237" s="269"/>
      <c r="LOA237" s="269"/>
      <c r="LOB237" s="269"/>
      <c r="LOC237" s="269"/>
      <c r="LOD237" s="269"/>
      <c r="LOE237" s="269"/>
      <c r="LOF237" s="269"/>
      <c r="LOG237" s="269"/>
      <c r="LOH237" s="269"/>
      <c r="LOI237" s="269"/>
      <c r="LOJ237" s="269"/>
      <c r="LOK237" s="269"/>
      <c r="LOL237" s="269"/>
      <c r="LOM237" s="269"/>
      <c r="LON237" s="269"/>
      <c r="LOO237" s="269"/>
      <c r="LOP237" s="269"/>
      <c r="LOQ237" s="269"/>
      <c r="LOR237" s="269"/>
      <c r="LOS237" s="269"/>
      <c r="LOT237" s="269"/>
      <c r="LOU237" s="269"/>
      <c r="LOV237" s="269"/>
      <c r="LOW237" s="269"/>
      <c r="LOX237" s="269"/>
      <c r="LOY237" s="269"/>
      <c r="LOZ237" s="269"/>
      <c r="LPA237" s="269"/>
      <c r="LPB237" s="269"/>
      <c r="LPC237" s="269"/>
      <c r="LPD237" s="269"/>
      <c r="LPE237" s="269"/>
      <c r="LPF237" s="269"/>
      <c r="LPG237" s="269"/>
      <c r="LPH237" s="269"/>
      <c r="LPI237" s="269"/>
      <c r="LPJ237" s="269"/>
      <c r="LPK237" s="269"/>
      <c r="LPL237" s="269"/>
      <c r="LPM237" s="269"/>
      <c r="LPN237" s="269"/>
      <c r="LPO237" s="269"/>
      <c r="LPP237" s="269"/>
      <c r="LPQ237" s="269"/>
      <c r="LPR237" s="269"/>
      <c r="LPS237" s="269"/>
      <c r="LPT237" s="269"/>
      <c r="LPU237" s="269"/>
      <c r="LPV237" s="269"/>
      <c r="LPW237" s="269"/>
      <c r="LPX237" s="269"/>
      <c r="LPY237" s="269"/>
      <c r="LPZ237" s="269"/>
      <c r="LQA237" s="269"/>
      <c r="LQB237" s="269"/>
      <c r="LQC237" s="269"/>
      <c r="LQD237" s="269"/>
      <c r="LQE237" s="269"/>
      <c r="LQF237" s="269"/>
      <c r="LQG237" s="269"/>
      <c r="LQH237" s="269"/>
      <c r="LQI237" s="269"/>
      <c r="LQJ237" s="269"/>
      <c r="LQK237" s="269"/>
      <c r="LQL237" s="269"/>
      <c r="LQM237" s="269"/>
      <c r="LQN237" s="269"/>
      <c r="LQO237" s="269"/>
      <c r="LQP237" s="269"/>
      <c r="LQQ237" s="269"/>
      <c r="LQR237" s="269"/>
      <c r="LQS237" s="269"/>
      <c r="LQT237" s="269"/>
      <c r="LQU237" s="269"/>
      <c r="LQV237" s="269"/>
      <c r="LQW237" s="269"/>
      <c r="LQX237" s="269"/>
      <c r="LQY237" s="269"/>
      <c r="LQZ237" s="269"/>
      <c r="LRA237" s="269"/>
      <c r="LRB237" s="269"/>
      <c r="LRC237" s="269"/>
      <c r="LRD237" s="269"/>
      <c r="LRE237" s="269"/>
      <c r="LRF237" s="269"/>
      <c r="LRG237" s="269"/>
      <c r="LRH237" s="269"/>
      <c r="LRI237" s="269"/>
      <c r="LRJ237" s="269"/>
      <c r="LRK237" s="269"/>
      <c r="LRL237" s="269"/>
      <c r="LRM237" s="269"/>
      <c r="LRN237" s="269"/>
      <c r="LRO237" s="269"/>
      <c r="LRP237" s="269"/>
      <c r="LRQ237" s="269"/>
      <c r="LRR237" s="269"/>
      <c r="LRS237" s="269"/>
      <c r="LRT237" s="269"/>
      <c r="LRU237" s="269"/>
      <c r="LRV237" s="269"/>
      <c r="LRW237" s="269"/>
      <c r="LRX237" s="269"/>
      <c r="LRY237" s="269"/>
      <c r="LRZ237" s="269"/>
      <c r="LSA237" s="269"/>
      <c r="LSB237" s="269"/>
      <c r="LSC237" s="269"/>
      <c r="LSD237" s="269"/>
      <c r="LSE237" s="269"/>
      <c r="LSF237" s="269"/>
      <c r="LSG237" s="269"/>
      <c r="LSH237" s="269"/>
      <c r="LSI237" s="269"/>
      <c r="LSJ237" s="269"/>
      <c r="LSK237" s="269"/>
      <c r="LSL237" s="269"/>
      <c r="LSM237" s="269"/>
      <c r="LSN237" s="269"/>
      <c r="LSO237" s="269"/>
      <c r="LSP237" s="269"/>
      <c r="LSQ237" s="269"/>
      <c r="LSR237" s="269"/>
      <c r="LSS237" s="269"/>
      <c r="LST237" s="269"/>
      <c r="LSU237" s="269"/>
      <c r="LSV237" s="269"/>
      <c r="LSW237" s="269"/>
      <c r="LSX237" s="269"/>
      <c r="LSY237" s="269"/>
      <c r="LSZ237" s="269"/>
      <c r="LTA237" s="269"/>
      <c r="LTB237" s="269"/>
      <c r="LTC237" s="269"/>
      <c r="LTD237" s="269"/>
      <c r="LTE237" s="269"/>
      <c r="LTF237" s="269"/>
      <c r="LTG237" s="269"/>
      <c r="LTH237" s="269"/>
      <c r="LTI237" s="269"/>
      <c r="LTJ237" s="269"/>
      <c r="LTK237" s="269"/>
      <c r="LTL237" s="269"/>
      <c r="LTM237" s="269"/>
      <c r="LTN237" s="269"/>
      <c r="LTO237" s="269"/>
      <c r="LTP237" s="269"/>
      <c r="LTQ237" s="269"/>
      <c r="LTR237" s="269"/>
      <c r="LTS237" s="269"/>
      <c r="LTT237" s="269"/>
      <c r="LTU237" s="269"/>
      <c r="LTV237" s="269"/>
      <c r="LTW237" s="269"/>
      <c r="LTX237" s="269"/>
      <c r="LTY237" s="269"/>
      <c r="LTZ237" s="269"/>
      <c r="LUA237" s="269"/>
      <c r="LUB237" s="269"/>
      <c r="LUC237" s="269"/>
      <c r="LUD237" s="269"/>
      <c r="LUE237" s="269"/>
      <c r="LUF237" s="269"/>
      <c r="LUG237" s="269"/>
      <c r="LUH237" s="269"/>
      <c r="LUI237" s="269"/>
      <c r="LUJ237" s="269"/>
      <c r="LUK237" s="269"/>
      <c r="LUL237" s="269"/>
      <c r="LUM237" s="269"/>
      <c r="LUN237" s="269"/>
      <c r="LUO237" s="269"/>
      <c r="LUP237" s="269"/>
      <c r="LUQ237" s="269"/>
      <c r="LUR237" s="269"/>
      <c r="LUS237" s="269"/>
      <c r="LUT237" s="269"/>
      <c r="LUU237" s="269"/>
      <c r="LUV237" s="269"/>
      <c r="LUW237" s="269"/>
      <c r="LUX237" s="269"/>
      <c r="LUY237" s="269"/>
      <c r="LUZ237" s="269"/>
      <c r="LVA237" s="269"/>
      <c r="LVB237" s="269"/>
      <c r="LVC237" s="269"/>
      <c r="LVD237" s="269"/>
      <c r="LVE237" s="269"/>
      <c r="LVF237" s="269"/>
      <c r="LVG237" s="269"/>
      <c r="LVH237" s="269"/>
      <c r="LVI237" s="269"/>
      <c r="LVJ237" s="269"/>
      <c r="LVK237" s="269"/>
      <c r="LVL237" s="269"/>
      <c r="LVM237" s="269"/>
      <c r="LVN237" s="269"/>
      <c r="LVO237" s="269"/>
      <c r="LVP237" s="269"/>
      <c r="LVQ237" s="269"/>
      <c r="LVR237" s="269"/>
      <c r="LVS237" s="269"/>
      <c r="LVT237" s="269"/>
      <c r="LVU237" s="269"/>
      <c r="LVV237" s="269"/>
      <c r="LVW237" s="269"/>
      <c r="LVX237" s="269"/>
      <c r="LVY237" s="269"/>
      <c r="LVZ237" s="269"/>
      <c r="LWA237" s="269"/>
      <c r="LWB237" s="269"/>
      <c r="LWC237" s="269"/>
      <c r="LWD237" s="269"/>
      <c r="LWE237" s="269"/>
      <c r="LWF237" s="269"/>
      <c r="LWG237" s="269"/>
      <c r="LWH237" s="269"/>
      <c r="LWI237" s="269"/>
      <c r="LWJ237" s="269"/>
      <c r="LWK237" s="269"/>
      <c r="LWL237" s="269"/>
      <c r="LWM237" s="269"/>
      <c r="LWN237" s="269"/>
      <c r="LWO237" s="269"/>
      <c r="LWP237" s="269"/>
      <c r="LWQ237" s="269"/>
      <c r="LWR237" s="269"/>
      <c r="LWS237" s="269"/>
      <c r="LWT237" s="269"/>
      <c r="LWU237" s="269"/>
      <c r="LWV237" s="269"/>
      <c r="LWW237" s="269"/>
      <c r="LWX237" s="269"/>
      <c r="LWY237" s="269"/>
      <c r="LWZ237" s="269"/>
      <c r="LXA237" s="269"/>
      <c r="LXB237" s="269"/>
      <c r="LXC237" s="269"/>
      <c r="LXD237" s="269"/>
      <c r="LXE237" s="269"/>
      <c r="LXF237" s="269"/>
      <c r="LXG237" s="269"/>
      <c r="LXH237" s="269"/>
      <c r="LXI237" s="269"/>
      <c r="LXJ237" s="269"/>
      <c r="LXK237" s="269"/>
      <c r="LXL237" s="269"/>
      <c r="LXM237" s="269"/>
      <c r="LXN237" s="269"/>
      <c r="LXO237" s="269"/>
      <c r="LXP237" s="269"/>
      <c r="LXQ237" s="269"/>
      <c r="LXR237" s="269"/>
      <c r="LXS237" s="269"/>
      <c r="LXT237" s="269"/>
      <c r="LXU237" s="269"/>
      <c r="LXV237" s="269"/>
      <c r="LXW237" s="269"/>
      <c r="LXX237" s="269"/>
      <c r="LXY237" s="269"/>
      <c r="LXZ237" s="269"/>
      <c r="LYA237" s="269"/>
      <c r="LYB237" s="269"/>
      <c r="LYC237" s="269"/>
      <c r="LYD237" s="269"/>
      <c r="LYE237" s="269"/>
      <c r="LYF237" s="269"/>
      <c r="LYG237" s="269"/>
      <c r="LYH237" s="269"/>
      <c r="LYI237" s="269"/>
      <c r="LYJ237" s="269"/>
      <c r="LYK237" s="269"/>
      <c r="LYL237" s="269"/>
      <c r="LYM237" s="269"/>
      <c r="LYN237" s="269"/>
      <c r="LYO237" s="269"/>
      <c r="LYP237" s="269"/>
      <c r="LYQ237" s="269"/>
      <c r="LYR237" s="269"/>
      <c r="LYS237" s="269"/>
      <c r="LYT237" s="269"/>
      <c r="LYU237" s="269"/>
      <c r="LYV237" s="269"/>
      <c r="LYW237" s="269"/>
      <c r="LYX237" s="269"/>
      <c r="LYY237" s="269"/>
      <c r="LYZ237" s="269"/>
      <c r="LZA237" s="269"/>
      <c r="LZB237" s="269"/>
      <c r="LZC237" s="269"/>
      <c r="LZD237" s="269"/>
      <c r="LZE237" s="269"/>
      <c r="LZF237" s="269"/>
      <c r="LZG237" s="269"/>
      <c r="LZH237" s="269"/>
      <c r="LZI237" s="269"/>
      <c r="LZJ237" s="269"/>
      <c r="LZK237" s="269"/>
      <c r="LZL237" s="269"/>
      <c r="LZM237" s="269"/>
      <c r="LZN237" s="269"/>
      <c r="LZO237" s="269"/>
      <c r="LZP237" s="269"/>
      <c r="LZQ237" s="269"/>
      <c r="LZR237" s="269"/>
      <c r="LZS237" s="269"/>
      <c r="LZT237" s="269"/>
      <c r="LZU237" s="269"/>
      <c r="LZV237" s="269"/>
      <c r="LZW237" s="269"/>
      <c r="LZX237" s="269"/>
      <c r="LZY237" s="269"/>
      <c r="LZZ237" s="269"/>
      <c r="MAA237" s="269"/>
      <c r="MAB237" s="269"/>
      <c r="MAC237" s="269"/>
      <c r="MAD237" s="269"/>
      <c r="MAE237" s="269"/>
      <c r="MAF237" s="269"/>
      <c r="MAG237" s="269"/>
      <c r="MAH237" s="269"/>
      <c r="MAI237" s="269"/>
      <c r="MAJ237" s="269"/>
      <c r="MAK237" s="269"/>
      <c r="MAL237" s="269"/>
      <c r="MAM237" s="269"/>
      <c r="MAN237" s="269"/>
      <c r="MAO237" s="269"/>
      <c r="MAP237" s="269"/>
      <c r="MAQ237" s="269"/>
      <c r="MAR237" s="269"/>
      <c r="MAS237" s="269"/>
      <c r="MAT237" s="269"/>
      <c r="MAU237" s="269"/>
      <c r="MAV237" s="269"/>
      <c r="MAW237" s="269"/>
      <c r="MAX237" s="269"/>
      <c r="MAY237" s="269"/>
      <c r="MAZ237" s="269"/>
      <c r="MBA237" s="269"/>
      <c r="MBB237" s="269"/>
      <c r="MBC237" s="269"/>
      <c r="MBD237" s="269"/>
      <c r="MBE237" s="269"/>
      <c r="MBF237" s="269"/>
      <c r="MBG237" s="269"/>
      <c r="MBH237" s="269"/>
      <c r="MBI237" s="269"/>
      <c r="MBJ237" s="269"/>
      <c r="MBK237" s="269"/>
      <c r="MBL237" s="269"/>
      <c r="MBM237" s="269"/>
      <c r="MBN237" s="269"/>
      <c r="MBO237" s="269"/>
      <c r="MBP237" s="269"/>
      <c r="MBQ237" s="269"/>
      <c r="MBR237" s="269"/>
      <c r="MBS237" s="269"/>
      <c r="MBT237" s="269"/>
      <c r="MBU237" s="269"/>
      <c r="MBV237" s="269"/>
      <c r="MBW237" s="269"/>
      <c r="MBX237" s="269"/>
      <c r="MBY237" s="269"/>
      <c r="MBZ237" s="269"/>
      <c r="MCA237" s="269"/>
      <c r="MCB237" s="269"/>
      <c r="MCC237" s="269"/>
      <c r="MCD237" s="269"/>
      <c r="MCE237" s="269"/>
      <c r="MCF237" s="269"/>
      <c r="MCG237" s="269"/>
      <c r="MCH237" s="269"/>
      <c r="MCI237" s="269"/>
      <c r="MCJ237" s="269"/>
      <c r="MCK237" s="269"/>
      <c r="MCL237" s="269"/>
      <c r="MCM237" s="269"/>
      <c r="MCN237" s="269"/>
      <c r="MCO237" s="269"/>
      <c r="MCP237" s="269"/>
      <c r="MCQ237" s="269"/>
      <c r="MCR237" s="269"/>
      <c r="MCS237" s="269"/>
      <c r="MCT237" s="269"/>
      <c r="MCU237" s="269"/>
      <c r="MCV237" s="269"/>
      <c r="MCW237" s="269"/>
      <c r="MCX237" s="269"/>
      <c r="MCY237" s="269"/>
      <c r="MCZ237" s="269"/>
      <c r="MDA237" s="269"/>
      <c r="MDB237" s="269"/>
      <c r="MDC237" s="269"/>
      <c r="MDD237" s="269"/>
      <c r="MDE237" s="269"/>
      <c r="MDF237" s="269"/>
      <c r="MDG237" s="269"/>
      <c r="MDH237" s="269"/>
      <c r="MDI237" s="269"/>
      <c r="MDJ237" s="269"/>
      <c r="MDK237" s="269"/>
      <c r="MDL237" s="269"/>
      <c r="MDM237" s="269"/>
      <c r="MDN237" s="269"/>
      <c r="MDO237" s="269"/>
      <c r="MDP237" s="269"/>
      <c r="MDQ237" s="269"/>
      <c r="MDR237" s="269"/>
      <c r="MDS237" s="269"/>
      <c r="MDT237" s="269"/>
      <c r="MDU237" s="269"/>
      <c r="MDV237" s="269"/>
      <c r="MDW237" s="269"/>
      <c r="MDX237" s="269"/>
      <c r="MDY237" s="269"/>
      <c r="MDZ237" s="269"/>
      <c r="MEA237" s="269"/>
      <c r="MEB237" s="269"/>
      <c r="MEC237" s="269"/>
      <c r="MED237" s="269"/>
      <c r="MEE237" s="269"/>
      <c r="MEF237" s="269"/>
      <c r="MEG237" s="269"/>
      <c r="MEH237" s="269"/>
      <c r="MEI237" s="269"/>
      <c r="MEJ237" s="269"/>
      <c r="MEK237" s="269"/>
      <c r="MEL237" s="269"/>
      <c r="MEM237" s="269"/>
      <c r="MEN237" s="269"/>
      <c r="MEO237" s="269"/>
      <c r="MEP237" s="269"/>
      <c r="MEQ237" s="269"/>
      <c r="MER237" s="269"/>
      <c r="MES237" s="269"/>
      <c r="MET237" s="269"/>
      <c r="MEU237" s="269"/>
      <c r="MEV237" s="269"/>
      <c r="MEW237" s="269"/>
      <c r="MEX237" s="269"/>
      <c r="MEY237" s="269"/>
      <c r="MEZ237" s="269"/>
      <c r="MFA237" s="269"/>
      <c r="MFB237" s="269"/>
      <c r="MFC237" s="269"/>
      <c r="MFD237" s="269"/>
      <c r="MFE237" s="269"/>
      <c r="MFF237" s="269"/>
      <c r="MFG237" s="269"/>
      <c r="MFH237" s="269"/>
      <c r="MFI237" s="269"/>
      <c r="MFJ237" s="269"/>
      <c r="MFK237" s="269"/>
      <c r="MFL237" s="269"/>
      <c r="MFM237" s="269"/>
      <c r="MFN237" s="269"/>
      <c r="MFO237" s="269"/>
      <c r="MFP237" s="269"/>
      <c r="MFQ237" s="269"/>
      <c r="MFR237" s="269"/>
      <c r="MFS237" s="269"/>
      <c r="MFT237" s="269"/>
      <c r="MFU237" s="269"/>
      <c r="MFV237" s="269"/>
      <c r="MFW237" s="269"/>
      <c r="MFX237" s="269"/>
      <c r="MFY237" s="269"/>
      <c r="MFZ237" s="269"/>
      <c r="MGA237" s="269"/>
      <c r="MGB237" s="269"/>
      <c r="MGC237" s="269"/>
      <c r="MGD237" s="269"/>
      <c r="MGE237" s="269"/>
      <c r="MGF237" s="269"/>
      <c r="MGG237" s="269"/>
      <c r="MGH237" s="269"/>
      <c r="MGI237" s="269"/>
      <c r="MGJ237" s="269"/>
      <c r="MGK237" s="269"/>
      <c r="MGL237" s="269"/>
      <c r="MGM237" s="269"/>
      <c r="MGN237" s="269"/>
      <c r="MGO237" s="269"/>
      <c r="MGP237" s="269"/>
      <c r="MGQ237" s="269"/>
      <c r="MGR237" s="269"/>
      <c r="MGS237" s="269"/>
      <c r="MGT237" s="269"/>
      <c r="MGU237" s="269"/>
      <c r="MGV237" s="269"/>
      <c r="MGW237" s="269"/>
      <c r="MGX237" s="269"/>
      <c r="MGY237" s="269"/>
      <c r="MGZ237" s="269"/>
      <c r="MHA237" s="269"/>
      <c r="MHB237" s="269"/>
      <c r="MHC237" s="269"/>
      <c r="MHD237" s="269"/>
      <c r="MHE237" s="269"/>
      <c r="MHF237" s="269"/>
      <c r="MHG237" s="269"/>
      <c r="MHH237" s="269"/>
      <c r="MHI237" s="269"/>
      <c r="MHJ237" s="269"/>
      <c r="MHK237" s="269"/>
      <c r="MHL237" s="269"/>
      <c r="MHM237" s="269"/>
      <c r="MHN237" s="269"/>
      <c r="MHO237" s="269"/>
      <c r="MHP237" s="269"/>
      <c r="MHQ237" s="269"/>
      <c r="MHR237" s="269"/>
      <c r="MHS237" s="269"/>
      <c r="MHT237" s="269"/>
      <c r="MHU237" s="269"/>
      <c r="MHV237" s="269"/>
      <c r="MHW237" s="269"/>
      <c r="MHX237" s="269"/>
      <c r="MHY237" s="269"/>
      <c r="MHZ237" s="269"/>
      <c r="MIA237" s="269"/>
      <c r="MIB237" s="269"/>
      <c r="MIC237" s="269"/>
      <c r="MID237" s="269"/>
      <c r="MIE237" s="269"/>
      <c r="MIF237" s="269"/>
      <c r="MIG237" s="269"/>
      <c r="MIH237" s="269"/>
      <c r="MII237" s="269"/>
      <c r="MIJ237" s="269"/>
      <c r="MIK237" s="269"/>
      <c r="MIL237" s="269"/>
      <c r="MIM237" s="269"/>
      <c r="MIN237" s="269"/>
      <c r="MIO237" s="269"/>
      <c r="MIP237" s="269"/>
      <c r="MIQ237" s="269"/>
      <c r="MIR237" s="269"/>
      <c r="MIS237" s="269"/>
      <c r="MIT237" s="269"/>
      <c r="MIU237" s="269"/>
      <c r="MIV237" s="269"/>
      <c r="MIW237" s="269"/>
      <c r="MIX237" s="269"/>
      <c r="MIY237" s="269"/>
      <c r="MIZ237" s="269"/>
      <c r="MJA237" s="269"/>
      <c r="MJB237" s="269"/>
      <c r="MJC237" s="269"/>
      <c r="MJD237" s="269"/>
      <c r="MJE237" s="269"/>
      <c r="MJF237" s="269"/>
      <c r="MJG237" s="269"/>
      <c r="MJH237" s="269"/>
      <c r="MJI237" s="269"/>
      <c r="MJJ237" s="269"/>
      <c r="MJK237" s="269"/>
      <c r="MJL237" s="269"/>
      <c r="MJM237" s="269"/>
      <c r="MJN237" s="269"/>
      <c r="MJO237" s="269"/>
      <c r="MJP237" s="269"/>
      <c r="MJQ237" s="269"/>
      <c r="MJR237" s="269"/>
      <c r="MJS237" s="269"/>
      <c r="MJT237" s="269"/>
      <c r="MJU237" s="269"/>
      <c r="MJV237" s="269"/>
      <c r="MJW237" s="269"/>
      <c r="MJX237" s="269"/>
      <c r="MJY237" s="269"/>
      <c r="MJZ237" s="269"/>
      <c r="MKA237" s="269"/>
      <c r="MKB237" s="269"/>
      <c r="MKC237" s="269"/>
      <c r="MKD237" s="269"/>
      <c r="MKE237" s="269"/>
      <c r="MKF237" s="269"/>
      <c r="MKG237" s="269"/>
      <c r="MKH237" s="269"/>
      <c r="MKI237" s="269"/>
      <c r="MKJ237" s="269"/>
      <c r="MKK237" s="269"/>
      <c r="MKL237" s="269"/>
      <c r="MKM237" s="269"/>
      <c r="MKN237" s="269"/>
      <c r="MKO237" s="269"/>
      <c r="MKP237" s="269"/>
      <c r="MKQ237" s="269"/>
      <c r="MKR237" s="269"/>
      <c r="MKS237" s="269"/>
      <c r="MKT237" s="269"/>
      <c r="MKU237" s="269"/>
      <c r="MKV237" s="269"/>
      <c r="MKW237" s="269"/>
      <c r="MKX237" s="269"/>
      <c r="MKY237" s="269"/>
      <c r="MKZ237" s="269"/>
      <c r="MLA237" s="269"/>
      <c r="MLB237" s="269"/>
      <c r="MLC237" s="269"/>
      <c r="MLD237" s="269"/>
      <c r="MLE237" s="269"/>
      <c r="MLF237" s="269"/>
      <c r="MLG237" s="269"/>
      <c r="MLH237" s="269"/>
      <c r="MLI237" s="269"/>
      <c r="MLJ237" s="269"/>
      <c r="MLK237" s="269"/>
      <c r="MLL237" s="269"/>
      <c r="MLM237" s="269"/>
      <c r="MLN237" s="269"/>
      <c r="MLO237" s="269"/>
      <c r="MLP237" s="269"/>
      <c r="MLQ237" s="269"/>
      <c r="MLR237" s="269"/>
      <c r="MLS237" s="269"/>
      <c r="MLT237" s="269"/>
      <c r="MLU237" s="269"/>
      <c r="MLV237" s="269"/>
      <c r="MLW237" s="269"/>
      <c r="MLX237" s="269"/>
      <c r="MLY237" s="269"/>
      <c r="MLZ237" s="269"/>
      <c r="MMA237" s="269"/>
      <c r="MMB237" s="269"/>
      <c r="MMC237" s="269"/>
      <c r="MMD237" s="269"/>
      <c r="MME237" s="269"/>
      <c r="MMF237" s="269"/>
      <c r="MMG237" s="269"/>
      <c r="MMH237" s="269"/>
      <c r="MMI237" s="269"/>
      <c r="MMJ237" s="269"/>
      <c r="MMK237" s="269"/>
      <c r="MML237" s="269"/>
      <c r="MMM237" s="269"/>
      <c r="MMN237" s="269"/>
      <c r="MMO237" s="269"/>
      <c r="MMP237" s="269"/>
      <c r="MMQ237" s="269"/>
      <c r="MMR237" s="269"/>
      <c r="MMS237" s="269"/>
      <c r="MMT237" s="269"/>
      <c r="MMU237" s="269"/>
      <c r="MMV237" s="269"/>
      <c r="MMW237" s="269"/>
      <c r="MMX237" s="269"/>
      <c r="MMY237" s="269"/>
      <c r="MMZ237" s="269"/>
      <c r="MNA237" s="269"/>
      <c r="MNB237" s="269"/>
      <c r="MNC237" s="269"/>
      <c r="MND237" s="269"/>
      <c r="MNE237" s="269"/>
      <c r="MNF237" s="269"/>
      <c r="MNG237" s="269"/>
      <c r="MNH237" s="269"/>
      <c r="MNI237" s="269"/>
      <c r="MNJ237" s="269"/>
      <c r="MNK237" s="269"/>
      <c r="MNL237" s="269"/>
      <c r="MNM237" s="269"/>
      <c r="MNN237" s="269"/>
      <c r="MNO237" s="269"/>
      <c r="MNP237" s="269"/>
      <c r="MNQ237" s="269"/>
      <c r="MNR237" s="269"/>
      <c r="MNS237" s="269"/>
      <c r="MNT237" s="269"/>
      <c r="MNU237" s="269"/>
      <c r="MNV237" s="269"/>
      <c r="MNW237" s="269"/>
      <c r="MNX237" s="269"/>
      <c r="MNY237" s="269"/>
      <c r="MNZ237" s="269"/>
      <c r="MOA237" s="269"/>
      <c r="MOB237" s="269"/>
      <c r="MOC237" s="269"/>
      <c r="MOD237" s="269"/>
      <c r="MOE237" s="269"/>
      <c r="MOF237" s="269"/>
      <c r="MOG237" s="269"/>
      <c r="MOH237" s="269"/>
      <c r="MOI237" s="269"/>
      <c r="MOJ237" s="269"/>
      <c r="MOK237" s="269"/>
      <c r="MOL237" s="269"/>
      <c r="MOM237" s="269"/>
      <c r="MON237" s="269"/>
      <c r="MOO237" s="269"/>
      <c r="MOP237" s="269"/>
      <c r="MOQ237" s="269"/>
      <c r="MOR237" s="269"/>
      <c r="MOS237" s="269"/>
      <c r="MOT237" s="269"/>
      <c r="MOU237" s="269"/>
      <c r="MOV237" s="269"/>
      <c r="MOW237" s="269"/>
      <c r="MOX237" s="269"/>
      <c r="MOY237" s="269"/>
      <c r="MOZ237" s="269"/>
      <c r="MPA237" s="269"/>
      <c r="MPB237" s="269"/>
      <c r="MPC237" s="269"/>
      <c r="MPD237" s="269"/>
      <c r="MPE237" s="269"/>
      <c r="MPF237" s="269"/>
      <c r="MPG237" s="269"/>
      <c r="MPH237" s="269"/>
      <c r="MPI237" s="269"/>
      <c r="MPJ237" s="269"/>
      <c r="MPK237" s="269"/>
      <c r="MPL237" s="269"/>
      <c r="MPM237" s="269"/>
      <c r="MPN237" s="269"/>
      <c r="MPO237" s="269"/>
      <c r="MPP237" s="269"/>
      <c r="MPQ237" s="269"/>
      <c r="MPR237" s="269"/>
      <c r="MPS237" s="269"/>
      <c r="MPT237" s="269"/>
      <c r="MPU237" s="269"/>
      <c r="MPV237" s="269"/>
      <c r="MPW237" s="269"/>
      <c r="MPX237" s="269"/>
      <c r="MPY237" s="269"/>
      <c r="MPZ237" s="269"/>
      <c r="MQA237" s="269"/>
      <c r="MQB237" s="269"/>
      <c r="MQC237" s="269"/>
      <c r="MQD237" s="269"/>
      <c r="MQE237" s="269"/>
      <c r="MQF237" s="269"/>
      <c r="MQG237" s="269"/>
      <c r="MQH237" s="269"/>
      <c r="MQI237" s="269"/>
      <c r="MQJ237" s="269"/>
      <c r="MQK237" s="269"/>
      <c r="MQL237" s="269"/>
      <c r="MQM237" s="269"/>
      <c r="MQN237" s="269"/>
      <c r="MQO237" s="269"/>
      <c r="MQP237" s="269"/>
      <c r="MQQ237" s="269"/>
      <c r="MQR237" s="269"/>
      <c r="MQS237" s="269"/>
      <c r="MQT237" s="269"/>
      <c r="MQU237" s="269"/>
      <c r="MQV237" s="269"/>
      <c r="MQW237" s="269"/>
      <c r="MQX237" s="269"/>
      <c r="MQY237" s="269"/>
      <c r="MQZ237" s="269"/>
      <c r="MRA237" s="269"/>
      <c r="MRB237" s="269"/>
      <c r="MRC237" s="269"/>
      <c r="MRD237" s="269"/>
      <c r="MRE237" s="269"/>
      <c r="MRF237" s="269"/>
      <c r="MRG237" s="269"/>
      <c r="MRH237" s="269"/>
      <c r="MRI237" s="269"/>
      <c r="MRJ237" s="269"/>
      <c r="MRK237" s="269"/>
      <c r="MRL237" s="269"/>
      <c r="MRM237" s="269"/>
      <c r="MRN237" s="269"/>
      <c r="MRO237" s="269"/>
      <c r="MRP237" s="269"/>
      <c r="MRQ237" s="269"/>
      <c r="MRR237" s="269"/>
      <c r="MRS237" s="269"/>
      <c r="MRT237" s="269"/>
      <c r="MRU237" s="269"/>
      <c r="MRV237" s="269"/>
      <c r="MRW237" s="269"/>
      <c r="MRX237" s="269"/>
      <c r="MRY237" s="269"/>
      <c r="MRZ237" s="269"/>
      <c r="MSA237" s="269"/>
      <c r="MSB237" s="269"/>
      <c r="MSC237" s="269"/>
      <c r="MSD237" s="269"/>
      <c r="MSE237" s="269"/>
      <c r="MSF237" s="269"/>
      <c r="MSG237" s="269"/>
      <c r="MSH237" s="269"/>
      <c r="MSI237" s="269"/>
      <c r="MSJ237" s="269"/>
      <c r="MSK237" s="269"/>
      <c r="MSL237" s="269"/>
      <c r="MSM237" s="269"/>
      <c r="MSN237" s="269"/>
      <c r="MSO237" s="269"/>
      <c r="MSP237" s="269"/>
      <c r="MSQ237" s="269"/>
      <c r="MSR237" s="269"/>
      <c r="MSS237" s="269"/>
      <c r="MST237" s="269"/>
      <c r="MSU237" s="269"/>
      <c r="MSV237" s="269"/>
      <c r="MSW237" s="269"/>
      <c r="MSX237" s="269"/>
      <c r="MSY237" s="269"/>
      <c r="MSZ237" s="269"/>
      <c r="MTA237" s="269"/>
      <c r="MTB237" s="269"/>
      <c r="MTC237" s="269"/>
      <c r="MTD237" s="269"/>
      <c r="MTE237" s="269"/>
      <c r="MTF237" s="269"/>
      <c r="MTG237" s="269"/>
      <c r="MTH237" s="269"/>
      <c r="MTI237" s="269"/>
      <c r="MTJ237" s="269"/>
      <c r="MTK237" s="269"/>
      <c r="MTL237" s="269"/>
      <c r="MTM237" s="269"/>
      <c r="MTN237" s="269"/>
      <c r="MTO237" s="269"/>
      <c r="MTP237" s="269"/>
      <c r="MTQ237" s="269"/>
      <c r="MTR237" s="269"/>
      <c r="MTS237" s="269"/>
      <c r="MTT237" s="269"/>
      <c r="MTU237" s="269"/>
      <c r="MTV237" s="269"/>
      <c r="MTW237" s="269"/>
      <c r="MTX237" s="269"/>
      <c r="MTY237" s="269"/>
      <c r="MTZ237" s="269"/>
      <c r="MUA237" s="269"/>
      <c r="MUB237" s="269"/>
      <c r="MUC237" s="269"/>
      <c r="MUD237" s="269"/>
      <c r="MUE237" s="269"/>
      <c r="MUF237" s="269"/>
      <c r="MUG237" s="269"/>
      <c r="MUH237" s="269"/>
      <c r="MUI237" s="269"/>
      <c r="MUJ237" s="269"/>
      <c r="MUK237" s="269"/>
      <c r="MUL237" s="269"/>
      <c r="MUM237" s="269"/>
      <c r="MUN237" s="269"/>
      <c r="MUO237" s="269"/>
      <c r="MUP237" s="269"/>
      <c r="MUQ237" s="269"/>
      <c r="MUR237" s="269"/>
      <c r="MUS237" s="269"/>
      <c r="MUT237" s="269"/>
      <c r="MUU237" s="269"/>
      <c r="MUV237" s="269"/>
      <c r="MUW237" s="269"/>
      <c r="MUX237" s="269"/>
      <c r="MUY237" s="269"/>
      <c r="MUZ237" s="269"/>
      <c r="MVA237" s="269"/>
      <c r="MVB237" s="269"/>
      <c r="MVC237" s="269"/>
      <c r="MVD237" s="269"/>
      <c r="MVE237" s="269"/>
      <c r="MVF237" s="269"/>
      <c r="MVG237" s="269"/>
      <c r="MVH237" s="269"/>
      <c r="MVI237" s="269"/>
      <c r="MVJ237" s="269"/>
      <c r="MVK237" s="269"/>
      <c r="MVL237" s="269"/>
      <c r="MVM237" s="269"/>
      <c r="MVN237" s="269"/>
      <c r="MVO237" s="269"/>
      <c r="MVP237" s="269"/>
      <c r="MVQ237" s="269"/>
      <c r="MVR237" s="269"/>
      <c r="MVS237" s="269"/>
      <c r="MVT237" s="269"/>
      <c r="MVU237" s="269"/>
      <c r="MVV237" s="269"/>
      <c r="MVW237" s="269"/>
      <c r="MVX237" s="269"/>
      <c r="MVY237" s="269"/>
      <c r="MVZ237" s="269"/>
      <c r="MWA237" s="269"/>
      <c r="MWB237" s="269"/>
      <c r="MWC237" s="269"/>
      <c r="MWD237" s="269"/>
      <c r="MWE237" s="269"/>
      <c r="MWF237" s="269"/>
      <c r="MWG237" s="269"/>
      <c r="MWH237" s="269"/>
      <c r="MWI237" s="269"/>
      <c r="MWJ237" s="269"/>
      <c r="MWK237" s="269"/>
      <c r="MWL237" s="269"/>
      <c r="MWM237" s="269"/>
      <c r="MWN237" s="269"/>
      <c r="MWO237" s="269"/>
      <c r="MWP237" s="269"/>
      <c r="MWQ237" s="269"/>
      <c r="MWR237" s="269"/>
      <c r="MWS237" s="269"/>
      <c r="MWT237" s="269"/>
      <c r="MWU237" s="269"/>
      <c r="MWV237" s="269"/>
      <c r="MWW237" s="269"/>
      <c r="MWX237" s="269"/>
      <c r="MWY237" s="269"/>
      <c r="MWZ237" s="269"/>
      <c r="MXA237" s="269"/>
      <c r="MXB237" s="269"/>
      <c r="MXC237" s="269"/>
      <c r="MXD237" s="269"/>
      <c r="MXE237" s="269"/>
      <c r="MXF237" s="269"/>
      <c r="MXG237" s="269"/>
      <c r="MXH237" s="269"/>
      <c r="MXI237" s="269"/>
      <c r="MXJ237" s="269"/>
      <c r="MXK237" s="269"/>
      <c r="MXL237" s="269"/>
      <c r="MXM237" s="269"/>
      <c r="MXN237" s="269"/>
      <c r="MXO237" s="269"/>
      <c r="MXP237" s="269"/>
      <c r="MXQ237" s="269"/>
      <c r="MXR237" s="269"/>
      <c r="MXS237" s="269"/>
      <c r="MXT237" s="269"/>
      <c r="MXU237" s="269"/>
      <c r="MXV237" s="269"/>
      <c r="MXW237" s="269"/>
      <c r="MXX237" s="269"/>
      <c r="MXY237" s="269"/>
      <c r="MXZ237" s="269"/>
      <c r="MYA237" s="269"/>
      <c r="MYB237" s="269"/>
      <c r="MYC237" s="269"/>
      <c r="MYD237" s="269"/>
      <c r="MYE237" s="269"/>
      <c r="MYF237" s="269"/>
      <c r="MYG237" s="269"/>
      <c r="MYH237" s="269"/>
      <c r="MYI237" s="269"/>
      <c r="MYJ237" s="269"/>
      <c r="MYK237" s="269"/>
      <c r="MYL237" s="269"/>
      <c r="MYM237" s="269"/>
      <c r="MYN237" s="269"/>
      <c r="MYO237" s="269"/>
      <c r="MYP237" s="269"/>
      <c r="MYQ237" s="269"/>
      <c r="MYR237" s="269"/>
      <c r="MYS237" s="269"/>
      <c r="MYT237" s="269"/>
      <c r="MYU237" s="269"/>
      <c r="MYV237" s="269"/>
      <c r="MYW237" s="269"/>
      <c r="MYX237" s="269"/>
      <c r="MYY237" s="269"/>
      <c r="MYZ237" s="269"/>
      <c r="MZA237" s="269"/>
      <c r="MZB237" s="269"/>
      <c r="MZC237" s="269"/>
      <c r="MZD237" s="269"/>
      <c r="MZE237" s="269"/>
      <c r="MZF237" s="269"/>
      <c r="MZG237" s="269"/>
      <c r="MZH237" s="269"/>
      <c r="MZI237" s="269"/>
      <c r="MZJ237" s="269"/>
      <c r="MZK237" s="269"/>
      <c r="MZL237" s="269"/>
      <c r="MZM237" s="269"/>
      <c r="MZN237" s="269"/>
      <c r="MZO237" s="269"/>
      <c r="MZP237" s="269"/>
      <c r="MZQ237" s="269"/>
      <c r="MZR237" s="269"/>
      <c r="MZS237" s="269"/>
      <c r="MZT237" s="269"/>
      <c r="MZU237" s="269"/>
      <c r="MZV237" s="269"/>
      <c r="MZW237" s="269"/>
      <c r="MZX237" s="269"/>
      <c r="MZY237" s="269"/>
      <c r="MZZ237" s="269"/>
      <c r="NAA237" s="269"/>
      <c r="NAB237" s="269"/>
      <c r="NAC237" s="269"/>
      <c r="NAD237" s="269"/>
      <c r="NAE237" s="269"/>
      <c r="NAF237" s="269"/>
      <c r="NAG237" s="269"/>
      <c r="NAH237" s="269"/>
      <c r="NAI237" s="269"/>
      <c r="NAJ237" s="269"/>
      <c r="NAK237" s="269"/>
      <c r="NAL237" s="269"/>
      <c r="NAM237" s="269"/>
      <c r="NAN237" s="269"/>
      <c r="NAO237" s="269"/>
      <c r="NAP237" s="269"/>
      <c r="NAQ237" s="269"/>
      <c r="NAR237" s="269"/>
      <c r="NAS237" s="269"/>
      <c r="NAT237" s="269"/>
      <c r="NAU237" s="269"/>
      <c r="NAV237" s="269"/>
      <c r="NAW237" s="269"/>
      <c r="NAX237" s="269"/>
      <c r="NAY237" s="269"/>
      <c r="NAZ237" s="269"/>
      <c r="NBA237" s="269"/>
      <c r="NBB237" s="269"/>
      <c r="NBC237" s="269"/>
      <c r="NBD237" s="269"/>
      <c r="NBE237" s="269"/>
      <c r="NBF237" s="269"/>
      <c r="NBG237" s="269"/>
      <c r="NBH237" s="269"/>
      <c r="NBI237" s="269"/>
      <c r="NBJ237" s="269"/>
      <c r="NBK237" s="269"/>
      <c r="NBL237" s="269"/>
      <c r="NBM237" s="269"/>
      <c r="NBN237" s="269"/>
      <c r="NBO237" s="269"/>
      <c r="NBP237" s="269"/>
      <c r="NBQ237" s="269"/>
      <c r="NBR237" s="269"/>
      <c r="NBS237" s="269"/>
      <c r="NBT237" s="269"/>
      <c r="NBU237" s="269"/>
      <c r="NBV237" s="269"/>
      <c r="NBW237" s="269"/>
      <c r="NBX237" s="269"/>
      <c r="NBY237" s="269"/>
      <c r="NBZ237" s="269"/>
      <c r="NCA237" s="269"/>
      <c r="NCB237" s="269"/>
      <c r="NCC237" s="269"/>
      <c r="NCD237" s="269"/>
      <c r="NCE237" s="269"/>
      <c r="NCF237" s="269"/>
      <c r="NCG237" s="269"/>
      <c r="NCH237" s="269"/>
      <c r="NCI237" s="269"/>
      <c r="NCJ237" s="269"/>
      <c r="NCK237" s="269"/>
      <c r="NCL237" s="269"/>
      <c r="NCM237" s="269"/>
      <c r="NCN237" s="269"/>
      <c r="NCO237" s="269"/>
      <c r="NCP237" s="269"/>
      <c r="NCQ237" s="269"/>
      <c r="NCR237" s="269"/>
      <c r="NCS237" s="269"/>
      <c r="NCT237" s="269"/>
      <c r="NCU237" s="269"/>
      <c r="NCV237" s="269"/>
      <c r="NCW237" s="269"/>
      <c r="NCX237" s="269"/>
      <c r="NCY237" s="269"/>
      <c r="NCZ237" s="269"/>
      <c r="NDA237" s="269"/>
      <c r="NDB237" s="269"/>
      <c r="NDC237" s="269"/>
      <c r="NDD237" s="269"/>
      <c r="NDE237" s="269"/>
      <c r="NDF237" s="269"/>
      <c r="NDG237" s="269"/>
      <c r="NDH237" s="269"/>
      <c r="NDI237" s="269"/>
      <c r="NDJ237" s="269"/>
      <c r="NDK237" s="269"/>
      <c r="NDL237" s="269"/>
      <c r="NDM237" s="269"/>
      <c r="NDN237" s="269"/>
      <c r="NDO237" s="269"/>
      <c r="NDP237" s="269"/>
      <c r="NDQ237" s="269"/>
      <c r="NDR237" s="269"/>
      <c r="NDS237" s="269"/>
      <c r="NDT237" s="269"/>
      <c r="NDU237" s="269"/>
      <c r="NDV237" s="269"/>
      <c r="NDW237" s="269"/>
      <c r="NDX237" s="269"/>
      <c r="NDY237" s="269"/>
      <c r="NDZ237" s="269"/>
      <c r="NEA237" s="269"/>
      <c r="NEB237" s="269"/>
      <c r="NEC237" s="269"/>
      <c r="NED237" s="269"/>
      <c r="NEE237" s="269"/>
      <c r="NEF237" s="269"/>
      <c r="NEG237" s="269"/>
      <c r="NEH237" s="269"/>
      <c r="NEI237" s="269"/>
      <c r="NEJ237" s="269"/>
      <c r="NEK237" s="269"/>
      <c r="NEL237" s="269"/>
      <c r="NEM237" s="269"/>
      <c r="NEN237" s="269"/>
      <c r="NEO237" s="269"/>
      <c r="NEP237" s="269"/>
      <c r="NEQ237" s="269"/>
      <c r="NER237" s="269"/>
      <c r="NES237" s="269"/>
      <c r="NET237" s="269"/>
      <c r="NEU237" s="269"/>
      <c r="NEV237" s="269"/>
      <c r="NEW237" s="269"/>
      <c r="NEX237" s="269"/>
      <c r="NEY237" s="269"/>
      <c r="NEZ237" s="269"/>
      <c r="NFA237" s="269"/>
      <c r="NFB237" s="269"/>
      <c r="NFC237" s="269"/>
      <c r="NFD237" s="269"/>
      <c r="NFE237" s="269"/>
      <c r="NFF237" s="269"/>
      <c r="NFG237" s="269"/>
      <c r="NFH237" s="269"/>
      <c r="NFI237" s="269"/>
      <c r="NFJ237" s="269"/>
      <c r="NFK237" s="269"/>
      <c r="NFL237" s="269"/>
      <c r="NFM237" s="269"/>
      <c r="NFN237" s="269"/>
      <c r="NFO237" s="269"/>
      <c r="NFP237" s="269"/>
      <c r="NFQ237" s="269"/>
      <c r="NFR237" s="269"/>
      <c r="NFS237" s="269"/>
      <c r="NFT237" s="269"/>
      <c r="NFU237" s="269"/>
      <c r="NFV237" s="269"/>
      <c r="NFW237" s="269"/>
      <c r="NFX237" s="269"/>
      <c r="NFY237" s="269"/>
      <c r="NFZ237" s="269"/>
      <c r="NGA237" s="269"/>
      <c r="NGB237" s="269"/>
      <c r="NGC237" s="269"/>
      <c r="NGD237" s="269"/>
      <c r="NGE237" s="269"/>
      <c r="NGF237" s="269"/>
      <c r="NGG237" s="269"/>
      <c r="NGH237" s="269"/>
      <c r="NGI237" s="269"/>
      <c r="NGJ237" s="269"/>
      <c r="NGK237" s="269"/>
      <c r="NGL237" s="269"/>
      <c r="NGM237" s="269"/>
      <c r="NGN237" s="269"/>
      <c r="NGO237" s="269"/>
      <c r="NGP237" s="269"/>
      <c r="NGQ237" s="269"/>
      <c r="NGR237" s="269"/>
      <c r="NGS237" s="269"/>
      <c r="NGT237" s="269"/>
      <c r="NGU237" s="269"/>
      <c r="NGV237" s="269"/>
      <c r="NGW237" s="269"/>
      <c r="NGX237" s="269"/>
      <c r="NGY237" s="269"/>
      <c r="NGZ237" s="269"/>
      <c r="NHA237" s="269"/>
      <c r="NHB237" s="269"/>
      <c r="NHC237" s="269"/>
      <c r="NHD237" s="269"/>
      <c r="NHE237" s="269"/>
      <c r="NHF237" s="269"/>
      <c r="NHG237" s="269"/>
      <c r="NHH237" s="269"/>
      <c r="NHI237" s="269"/>
      <c r="NHJ237" s="269"/>
      <c r="NHK237" s="269"/>
      <c r="NHL237" s="269"/>
      <c r="NHM237" s="269"/>
      <c r="NHN237" s="269"/>
      <c r="NHO237" s="269"/>
      <c r="NHP237" s="269"/>
      <c r="NHQ237" s="269"/>
      <c r="NHR237" s="269"/>
      <c r="NHS237" s="269"/>
      <c r="NHT237" s="269"/>
      <c r="NHU237" s="269"/>
      <c r="NHV237" s="269"/>
      <c r="NHW237" s="269"/>
      <c r="NHX237" s="269"/>
      <c r="NHY237" s="269"/>
      <c r="NHZ237" s="269"/>
      <c r="NIA237" s="269"/>
      <c r="NIB237" s="269"/>
      <c r="NIC237" s="269"/>
      <c r="NID237" s="269"/>
      <c r="NIE237" s="269"/>
      <c r="NIF237" s="269"/>
      <c r="NIG237" s="269"/>
      <c r="NIH237" s="269"/>
      <c r="NII237" s="269"/>
      <c r="NIJ237" s="269"/>
      <c r="NIK237" s="269"/>
      <c r="NIL237" s="269"/>
      <c r="NIM237" s="269"/>
      <c r="NIN237" s="269"/>
      <c r="NIO237" s="269"/>
      <c r="NIP237" s="269"/>
      <c r="NIQ237" s="269"/>
      <c r="NIR237" s="269"/>
      <c r="NIS237" s="269"/>
      <c r="NIT237" s="269"/>
      <c r="NIU237" s="269"/>
      <c r="NIV237" s="269"/>
      <c r="NIW237" s="269"/>
      <c r="NIX237" s="269"/>
      <c r="NIY237" s="269"/>
      <c r="NIZ237" s="269"/>
      <c r="NJA237" s="269"/>
      <c r="NJB237" s="269"/>
      <c r="NJC237" s="269"/>
      <c r="NJD237" s="269"/>
      <c r="NJE237" s="269"/>
      <c r="NJF237" s="269"/>
      <c r="NJG237" s="269"/>
      <c r="NJH237" s="269"/>
      <c r="NJI237" s="269"/>
      <c r="NJJ237" s="269"/>
      <c r="NJK237" s="269"/>
      <c r="NJL237" s="269"/>
      <c r="NJM237" s="269"/>
      <c r="NJN237" s="269"/>
      <c r="NJO237" s="269"/>
      <c r="NJP237" s="269"/>
      <c r="NJQ237" s="269"/>
      <c r="NJR237" s="269"/>
      <c r="NJS237" s="269"/>
      <c r="NJT237" s="269"/>
      <c r="NJU237" s="269"/>
      <c r="NJV237" s="269"/>
      <c r="NJW237" s="269"/>
      <c r="NJX237" s="269"/>
      <c r="NJY237" s="269"/>
      <c r="NJZ237" s="269"/>
      <c r="NKA237" s="269"/>
      <c r="NKB237" s="269"/>
      <c r="NKC237" s="269"/>
      <c r="NKD237" s="269"/>
      <c r="NKE237" s="269"/>
      <c r="NKF237" s="269"/>
      <c r="NKG237" s="269"/>
      <c r="NKH237" s="269"/>
      <c r="NKI237" s="269"/>
      <c r="NKJ237" s="269"/>
      <c r="NKK237" s="269"/>
      <c r="NKL237" s="269"/>
      <c r="NKM237" s="269"/>
      <c r="NKN237" s="269"/>
      <c r="NKO237" s="269"/>
      <c r="NKP237" s="269"/>
      <c r="NKQ237" s="269"/>
      <c r="NKR237" s="269"/>
      <c r="NKS237" s="269"/>
      <c r="NKT237" s="269"/>
      <c r="NKU237" s="269"/>
      <c r="NKV237" s="269"/>
      <c r="NKW237" s="269"/>
      <c r="NKX237" s="269"/>
      <c r="NKY237" s="269"/>
      <c r="NKZ237" s="269"/>
      <c r="NLA237" s="269"/>
      <c r="NLB237" s="269"/>
      <c r="NLC237" s="269"/>
      <c r="NLD237" s="269"/>
      <c r="NLE237" s="269"/>
      <c r="NLF237" s="269"/>
      <c r="NLG237" s="269"/>
      <c r="NLH237" s="269"/>
      <c r="NLI237" s="269"/>
      <c r="NLJ237" s="269"/>
      <c r="NLK237" s="269"/>
      <c r="NLL237" s="269"/>
      <c r="NLM237" s="269"/>
      <c r="NLN237" s="269"/>
      <c r="NLO237" s="269"/>
      <c r="NLP237" s="269"/>
      <c r="NLQ237" s="269"/>
      <c r="NLR237" s="269"/>
      <c r="NLS237" s="269"/>
      <c r="NLT237" s="269"/>
      <c r="NLU237" s="269"/>
      <c r="NLV237" s="269"/>
      <c r="NLW237" s="269"/>
      <c r="NLX237" s="269"/>
      <c r="NLY237" s="269"/>
      <c r="NLZ237" s="269"/>
      <c r="NMA237" s="269"/>
      <c r="NMB237" s="269"/>
      <c r="NMC237" s="269"/>
      <c r="NMD237" s="269"/>
      <c r="NME237" s="269"/>
      <c r="NMF237" s="269"/>
      <c r="NMG237" s="269"/>
      <c r="NMH237" s="269"/>
      <c r="NMI237" s="269"/>
      <c r="NMJ237" s="269"/>
      <c r="NMK237" s="269"/>
      <c r="NML237" s="269"/>
      <c r="NMM237" s="269"/>
      <c r="NMN237" s="269"/>
      <c r="NMO237" s="269"/>
      <c r="NMP237" s="269"/>
      <c r="NMQ237" s="269"/>
      <c r="NMR237" s="269"/>
      <c r="NMS237" s="269"/>
      <c r="NMT237" s="269"/>
      <c r="NMU237" s="269"/>
      <c r="NMV237" s="269"/>
      <c r="NMW237" s="269"/>
      <c r="NMX237" s="269"/>
      <c r="NMY237" s="269"/>
      <c r="NMZ237" s="269"/>
      <c r="NNA237" s="269"/>
      <c r="NNB237" s="269"/>
      <c r="NNC237" s="269"/>
      <c r="NND237" s="269"/>
      <c r="NNE237" s="269"/>
      <c r="NNF237" s="269"/>
      <c r="NNG237" s="269"/>
      <c r="NNH237" s="269"/>
      <c r="NNI237" s="269"/>
      <c r="NNJ237" s="269"/>
      <c r="NNK237" s="269"/>
      <c r="NNL237" s="269"/>
      <c r="NNM237" s="269"/>
      <c r="NNN237" s="269"/>
      <c r="NNO237" s="269"/>
      <c r="NNP237" s="269"/>
      <c r="NNQ237" s="269"/>
      <c r="NNR237" s="269"/>
      <c r="NNS237" s="269"/>
      <c r="NNT237" s="269"/>
      <c r="NNU237" s="269"/>
      <c r="NNV237" s="269"/>
      <c r="NNW237" s="269"/>
      <c r="NNX237" s="269"/>
      <c r="NNY237" s="269"/>
      <c r="NNZ237" s="269"/>
      <c r="NOA237" s="269"/>
      <c r="NOB237" s="269"/>
      <c r="NOC237" s="269"/>
      <c r="NOD237" s="269"/>
      <c r="NOE237" s="269"/>
      <c r="NOF237" s="269"/>
      <c r="NOG237" s="269"/>
      <c r="NOH237" s="269"/>
      <c r="NOI237" s="269"/>
      <c r="NOJ237" s="269"/>
      <c r="NOK237" s="269"/>
      <c r="NOL237" s="269"/>
      <c r="NOM237" s="269"/>
      <c r="NON237" s="269"/>
      <c r="NOO237" s="269"/>
      <c r="NOP237" s="269"/>
      <c r="NOQ237" s="269"/>
      <c r="NOR237" s="269"/>
      <c r="NOS237" s="269"/>
      <c r="NOT237" s="269"/>
      <c r="NOU237" s="269"/>
      <c r="NOV237" s="269"/>
      <c r="NOW237" s="269"/>
      <c r="NOX237" s="269"/>
      <c r="NOY237" s="269"/>
      <c r="NOZ237" s="269"/>
      <c r="NPA237" s="269"/>
      <c r="NPB237" s="269"/>
      <c r="NPC237" s="269"/>
      <c r="NPD237" s="269"/>
      <c r="NPE237" s="269"/>
      <c r="NPF237" s="269"/>
      <c r="NPG237" s="269"/>
      <c r="NPH237" s="269"/>
      <c r="NPI237" s="269"/>
      <c r="NPJ237" s="269"/>
      <c r="NPK237" s="269"/>
      <c r="NPL237" s="269"/>
      <c r="NPM237" s="269"/>
      <c r="NPN237" s="269"/>
      <c r="NPO237" s="269"/>
      <c r="NPP237" s="269"/>
      <c r="NPQ237" s="269"/>
      <c r="NPR237" s="269"/>
      <c r="NPS237" s="269"/>
      <c r="NPT237" s="269"/>
      <c r="NPU237" s="269"/>
      <c r="NPV237" s="269"/>
      <c r="NPW237" s="269"/>
      <c r="NPX237" s="269"/>
      <c r="NPY237" s="269"/>
      <c r="NPZ237" s="269"/>
      <c r="NQA237" s="269"/>
      <c r="NQB237" s="269"/>
      <c r="NQC237" s="269"/>
      <c r="NQD237" s="269"/>
      <c r="NQE237" s="269"/>
      <c r="NQF237" s="269"/>
      <c r="NQG237" s="269"/>
      <c r="NQH237" s="269"/>
      <c r="NQI237" s="269"/>
      <c r="NQJ237" s="269"/>
      <c r="NQK237" s="269"/>
      <c r="NQL237" s="269"/>
      <c r="NQM237" s="269"/>
      <c r="NQN237" s="269"/>
      <c r="NQO237" s="269"/>
      <c r="NQP237" s="269"/>
      <c r="NQQ237" s="269"/>
      <c r="NQR237" s="269"/>
      <c r="NQS237" s="269"/>
      <c r="NQT237" s="269"/>
      <c r="NQU237" s="269"/>
      <c r="NQV237" s="269"/>
      <c r="NQW237" s="269"/>
      <c r="NQX237" s="269"/>
      <c r="NQY237" s="269"/>
      <c r="NQZ237" s="269"/>
      <c r="NRA237" s="269"/>
      <c r="NRB237" s="269"/>
      <c r="NRC237" s="269"/>
      <c r="NRD237" s="269"/>
      <c r="NRE237" s="269"/>
      <c r="NRF237" s="269"/>
      <c r="NRG237" s="269"/>
      <c r="NRH237" s="269"/>
      <c r="NRI237" s="269"/>
      <c r="NRJ237" s="269"/>
      <c r="NRK237" s="269"/>
      <c r="NRL237" s="269"/>
      <c r="NRM237" s="269"/>
      <c r="NRN237" s="269"/>
      <c r="NRO237" s="269"/>
      <c r="NRP237" s="269"/>
      <c r="NRQ237" s="269"/>
      <c r="NRR237" s="269"/>
      <c r="NRS237" s="269"/>
      <c r="NRT237" s="269"/>
      <c r="NRU237" s="269"/>
      <c r="NRV237" s="269"/>
      <c r="NRW237" s="269"/>
      <c r="NRX237" s="269"/>
      <c r="NRY237" s="269"/>
      <c r="NRZ237" s="269"/>
      <c r="NSA237" s="269"/>
      <c r="NSB237" s="269"/>
      <c r="NSC237" s="269"/>
      <c r="NSD237" s="269"/>
      <c r="NSE237" s="269"/>
      <c r="NSF237" s="269"/>
      <c r="NSG237" s="269"/>
      <c r="NSH237" s="269"/>
      <c r="NSI237" s="269"/>
      <c r="NSJ237" s="269"/>
      <c r="NSK237" s="269"/>
      <c r="NSL237" s="269"/>
      <c r="NSM237" s="269"/>
      <c r="NSN237" s="269"/>
      <c r="NSO237" s="269"/>
      <c r="NSP237" s="269"/>
      <c r="NSQ237" s="269"/>
      <c r="NSR237" s="269"/>
      <c r="NSS237" s="269"/>
      <c r="NST237" s="269"/>
      <c r="NSU237" s="269"/>
      <c r="NSV237" s="269"/>
      <c r="NSW237" s="269"/>
      <c r="NSX237" s="269"/>
      <c r="NSY237" s="269"/>
      <c r="NSZ237" s="269"/>
      <c r="NTA237" s="269"/>
      <c r="NTB237" s="269"/>
      <c r="NTC237" s="269"/>
      <c r="NTD237" s="269"/>
      <c r="NTE237" s="269"/>
      <c r="NTF237" s="269"/>
      <c r="NTG237" s="269"/>
      <c r="NTH237" s="269"/>
      <c r="NTI237" s="269"/>
      <c r="NTJ237" s="269"/>
      <c r="NTK237" s="269"/>
      <c r="NTL237" s="269"/>
      <c r="NTM237" s="269"/>
      <c r="NTN237" s="269"/>
      <c r="NTO237" s="269"/>
      <c r="NTP237" s="269"/>
      <c r="NTQ237" s="269"/>
      <c r="NTR237" s="269"/>
      <c r="NTS237" s="269"/>
      <c r="NTT237" s="269"/>
      <c r="NTU237" s="269"/>
      <c r="NTV237" s="269"/>
      <c r="NTW237" s="269"/>
      <c r="NTX237" s="269"/>
      <c r="NTY237" s="269"/>
      <c r="NTZ237" s="269"/>
      <c r="NUA237" s="269"/>
      <c r="NUB237" s="269"/>
      <c r="NUC237" s="269"/>
      <c r="NUD237" s="269"/>
      <c r="NUE237" s="269"/>
      <c r="NUF237" s="269"/>
      <c r="NUG237" s="269"/>
      <c r="NUH237" s="269"/>
      <c r="NUI237" s="269"/>
      <c r="NUJ237" s="269"/>
      <c r="NUK237" s="269"/>
      <c r="NUL237" s="269"/>
      <c r="NUM237" s="269"/>
      <c r="NUN237" s="269"/>
      <c r="NUO237" s="269"/>
      <c r="NUP237" s="269"/>
      <c r="NUQ237" s="269"/>
      <c r="NUR237" s="269"/>
      <c r="NUS237" s="269"/>
      <c r="NUT237" s="269"/>
      <c r="NUU237" s="269"/>
      <c r="NUV237" s="269"/>
      <c r="NUW237" s="269"/>
      <c r="NUX237" s="269"/>
      <c r="NUY237" s="269"/>
      <c r="NUZ237" s="269"/>
      <c r="NVA237" s="269"/>
      <c r="NVB237" s="269"/>
      <c r="NVC237" s="269"/>
      <c r="NVD237" s="269"/>
      <c r="NVE237" s="269"/>
      <c r="NVF237" s="269"/>
      <c r="NVG237" s="269"/>
      <c r="NVH237" s="269"/>
      <c r="NVI237" s="269"/>
      <c r="NVJ237" s="269"/>
      <c r="NVK237" s="269"/>
      <c r="NVL237" s="269"/>
      <c r="NVM237" s="269"/>
      <c r="NVN237" s="269"/>
      <c r="NVO237" s="269"/>
      <c r="NVP237" s="269"/>
      <c r="NVQ237" s="269"/>
      <c r="NVR237" s="269"/>
      <c r="NVS237" s="269"/>
      <c r="NVT237" s="269"/>
      <c r="NVU237" s="269"/>
      <c r="NVV237" s="269"/>
      <c r="NVW237" s="269"/>
      <c r="NVX237" s="269"/>
      <c r="NVY237" s="269"/>
      <c r="NVZ237" s="269"/>
      <c r="NWA237" s="269"/>
      <c r="NWB237" s="269"/>
      <c r="NWC237" s="269"/>
      <c r="NWD237" s="269"/>
      <c r="NWE237" s="269"/>
      <c r="NWF237" s="269"/>
      <c r="NWG237" s="269"/>
      <c r="NWH237" s="269"/>
      <c r="NWI237" s="269"/>
      <c r="NWJ237" s="269"/>
      <c r="NWK237" s="269"/>
      <c r="NWL237" s="269"/>
      <c r="NWM237" s="269"/>
      <c r="NWN237" s="269"/>
      <c r="NWO237" s="269"/>
      <c r="NWP237" s="269"/>
      <c r="NWQ237" s="269"/>
      <c r="NWR237" s="269"/>
      <c r="NWS237" s="269"/>
      <c r="NWT237" s="269"/>
      <c r="NWU237" s="269"/>
      <c r="NWV237" s="269"/>
      <c r="NWW237" s="269"/>
      <c r="NWX237" s="269"/>
      <c r="NWY237" s="269"/>
      <c r="NWZ237" s="269"/>
      <c r="NXA237" s="269"/>
      <c r="NXB237" s="269"/>
      <c r="NXC237" s="269"/>
      <c r="NXD237" s="269"/>
      <c r="NXE237" s="269"/>
      <c r="NXF237" s="269"/>
      <c r="NXG237" s="269"/>
      <c r="NXH237" s="269"/>
      <c r="NXI237" s="269"/>
      <c r="NXJ237" s="269"/>
      <c r="NXK237" s="269"/>
      <c r="NXL237" s="269"/>
      <c r="NXM237" s="269"/>
      <c r="NXN237" s="269"/>
      <c r="NXO237" s="269"/>
      <c r="NXP237" s="269"/>
      <c r="NXQ237" s="269"/>
      <c r="NXR237" s="269"/>
      <c r="NXS237" s="269"/>
      <c r="NXT237" s="269"/>
      <c r="NXU237" s="269"/>
      <c r="NXV237" s="269"/>
      <c r="NXW237" s="269"/>
      <c r="NXX237" s="269"/>
      <c r="NXY237" s="269"/>
      <c r="NXZ237" s="269"/>
      <c r="NYA237" s="269"/>
      <c r="NYB237" s="269"/>
      <c r="NYC237" s="269"/>
      <c r="NYD237" s="269"/>
      <c r="NYE237" s="269"/>
      <c r="NYF237" s="269"/>
      <c r="NYG237" s="269"/>
      <c r="NYH237" s="269"/>
      <c r="NYI237" s="269"/>
      <c r="NYJ237" s="269"/>
      <c r="NYK237" s="269"/>
      <c r="NYL237" s="269"/>
      <c r="NYM237" s="269"/>
      <c r="NYN237" s="269"/>
      <c r="NYO237" s="269"/>
      <c r="NYP237" s="269"/>
      <c r="NYQ237" s="269"/>
      <c r="NYR237" s="269"/>
      <c r="NYS237" s="269"/>
      <c r="NYT237" s="269"/>
      <c r="NYU237" s="269"/>
      <c r="NYV237" s="269"/>
      <c r="NYW237" s="269"/>
      <c r="NYX237" s="269"/>
      <c r="NYY237" s="269"/>
      <c r="NYZ237" s="269"/>
      <c r="NZA237" s="269"/>
      <c r="NZB237" s="269"/>
      <c r="NZC237" s="269"/>
      <c r="NZD237" s="269"/>
      <c r="NZE237" s="269"/>
      <c r="NZF237" s="269"/>
      <c r="NZG237" s="269"/>
      <c r="NZH237" s="269"/>
      <c r="NZI237" s="269"/>
      <c r="NZJ237" s="269"/>
      <c r="NZK237" s="269"/>
      <c r="NZL237" s="269"/>
      <c r="NZM237" s="269"/>
      <c r="NZN237" s="269"/>
      <c r="NZO237" s="269"/>
      <c r="NZP237" s="269"/>
      <c r="NZQ237" s="269"/>
      <c r="NZR237" s="269"/>
      <c r="NZS237" s="269"/>
      <c r="NZT237" s="269"/>
      <c r="NZU237" s="269"/>
      <c r="NZV237" s="269"/>
      <c r="NZW237" s="269"/>
      <c r="NZX237" s="269"/>
      <c r="NZY237" s="269"/>
      <c r="NZZ237" s="269"/>
      <c r="OAA237" s="269"/>
      <c r="OAB237" s="269"/>
      <c r="OAC237" s="269"/>
      <c r="OAD237" s="269"/>
      <c r="OAE237" s="269"/>
      <c r="OAF237" s="269"/>
      <c r="OAG237" s="269"/>
      <c r="OAH237" s="269"/>
      <c r="OAI237" s="269"/>
      <c r="OAJ237" s="269"/>
      <c r="OAK237" s="269"/>
      <c r="OAL237" s="269"/>
      <c r="OAM237" s="269"/>
      <c r="OAN237" s="269"/>
      <c r="OAO237" s="269"/>
      <c r="OAP237" s="269"/>
      <c r="OAQ237" s="269"/>
      <c r="OAR237" s="269"/>
      <c r="OAS237" s="269"/>
      <c r="OAT237" s="269"/>
      <c r="OAU237" s="269"/>
      <c r="OAV237" s="269"/>
      <c r="OAW237" s="269"/>
      <c r="OAX237" s="269"/>
      <c r="OAY237" s="269"/>
      <c r="OAZ237" s="269"/>
      <c r="OBA237" s="269"/>
      <c r="OBB237" s="269"/>
      <c r="OBC237" s="269"/>
      <c r="OBD237" s="269"/>
      <c r="OBE237" s="269"/>
      <c r="OBF237" s="269"/>
      <c r="OBG237" s="269"/>
      <c r="OBH237" s="269"/>
      <c r="OBI237" s="269"/>
      <c r="OBJ237" s="269"/>
      <c r="OBK237" s="269"/>
      <c r="OBL237" s="269"/>
      <c r="OBM237" s="269"/>
      <c r="OBN237" s="269"/>
      <c r="OBO237" s="269"/>
      <c r="OBP237" s="269"/>
      <c r="OBQ237" s="269"/>
      <c r="OBR237" s="269"/>
      <c r="OBS237" s="269"/>
      <c r="OBT237" s="269"/>
      <c r="OBU237" s="269"/>
      <c r="OBV237" s="269"/>
      <c r="OBW237" s="269"/>
      <c r="OBX237" s="269"/>
      <c r="OBY237" s="269"/>
      <c r="OBZ237" s="269"/>
      <c r="OCA237" s="269"/>
      <c r="OCB237" s="269"/>
      <c r="OCC237" s="269"/>
      <c r="OCD237" s="269"/>
      <c r="OCE237" s="269"/>
      <c r="OCF237" s="269"/>
      <c r="OCG237" s="269"/>
      <c r="OCH237" s="269"/>
      <c r="OCI237" s="269"/>
      <c r="OCJ237" s="269"/>
      <c r="OCK237" s="269"/>
      <c r="OCL237" s="269"/>
      <c r="OCM237" s="269"/>
      <c r="OCN237" s="269"/>
      <c r="OCO237" s="269"/>
      <c r="OCP237" s="269"/>
      <c r="OCQ237" s="269"/>
      <c r="OCR237" s="269"/>
      <c r="OCS237" s="269"/>
      <c r="OCT237" s="269"/>
      <c r="OCU237" s="269"/>
      <c r="OCV237" s="269"/>
      <c r="OCW237" s="269"/>
      <c r="OCX237" s="269"/>
      <c r="OCY237" s="269"/>
      <c r="OCZ237" s="269"/>
      <c r="ODA237" s="269"/>
      <c r="ODB237" s="269"/>
      <c r="ODC237" s="269"/>
      <c r="ODD237" s="269"/>
      <c r="ODE237" s="269"/>
      <c r="ODF237" s="269"/>
      <c r="ODG237" s="269"/>
      <c r="ODH237" s="269"/>
      <c r="ODI237" s="269"/>
      <c r="ODJ237" s="269"/>
      <c r="ODK237" s="269"/>
      <c r="ODL237" s="269"/>
      <c r="ODM237" s="269"/>
      <c r="ODN237" s="269"/>
      <c r="ODO237" s="269"/>
      <c r="ODP237" s="269"/>
      <c r="ODQ237" s="269"/>
      <c r="ODR237" s="269"/>
      <c r="ODS237" s="269"/>
      <c r="ODT237" s="269"/>
      <c r="ODU237" s="269"/>
      <c r="ODV237" s="269"/>
      <c r="ODW237" s="269"/>
      <c r="ODX237" s="269"/>
      <c r="ODY237" s="269"/>
      <c r="ODZ237" s="269"/>
      <c r="OEA237" s="269"/>
      <c r="OEB237" s="269"/>
      <c r="OEC237" s="269"/>
      <c r="OED237" s="269"/>
      <c r="OEE237" s="269"/>
      <c r="OEF237" s="269"/>
      <c r="OEG237" s="269"/>
      <c r="OEH237" s="269"/>
      <c r="OEI237" s="269"/>
      <c r="OEJ237" s="269"/>
      <c r="OEK237" s="269"/>
      <c r="OEL237" s="269"/>
      <c r="OEM237" s="269"/>
      <c r="OEN237" s="269"/>
      <c r="OEO237" s="269"/>
      <c r="OEP237" s="269"/>
      <c r="OEQ237" s="269"/>
      <c r="OER237" s="269"/>
      <c r="OES237" s="269"/>
      <c r="OET237" s="269"/>
      <c r="OEU237" s="269"/>
      <c r="OEV237" s="269"/>
      <c r="OEW237" s="269"/>
      <c r="OEX237" s="269"/>
      <c r="OEY237" s="269"/>
      <c r="OEZ237" s="269"/>
      <c r="OFA237" s="269"/>
      <c r="OFB237" s="269"/>
      <c r="OFC237" s="269"/>
      <c r="OFD237" s="269"/>
      <c r="OFE237" s="269"/>
      <c r="OFF237" s="269"/>
      <c r="OFG237" s="269"/>
      <c r="OFH237" s="269"/>
      <c r="OFI237" s="269"/>
      <c r="OFJ237" s="269"/>
      <c r="OFK237" s="269"/>
      <c r="OFL237" s="269"/>
      <c r="OFM237" s="269"/>
      <c r="OFN237" s="269"/>
      <c r="OFO237" s="269"/>
      <c r="OFP237" s="269"/>
      <c r="OFQ237" s="269"/>
      <c r="OFR237" s="269"/>
      <c r="OFS237" s="269"/>
      <c r="OFT237" s="269"/>
      <c r="OFU237" s="269"/>
      <c r="OFV237" s="269"/>
      <c r="OFW237" s="269"/>
      <c r="OFX237" s="269"/>
      <c r="OFY237" s="269"/>
      <c r="OFZ237" s="269"/>
      <c r="OGA237" s="269"/>
      <c r="OGB237" s="269"/>
      <c r="OGC237" s="269"/>
      <c r="OGD237" s="269"/>
      <c r="OGE237" s="269"/>
      <c r="OGF237" s="269"/>
      <c r="OGG237" s="269"/>
      <c r="OGH237" s="269"/>
      <c r="OGI237" s="269"/>
      <c r="OGJ237" s="269"/>
      <c r="OGK237" s="269"/>
      <c r="OGL237" s="269"/>
      <c r="OGM237" s="269"/>
      <c r="OGN237" s="269"/>
      <c r="OGO237" s="269"/>
      <c r="OGP237" s="269"/>
      <c r="OGQ237" s="269"/>
      <c r="OGR237" s="269"/>
      <c r="OGS237" s="269"/>
      <c r="OGT237" s="269"/>
      <c r="OGU237" s="269"/>
      <c r="OGV237" s="269"/>
      <c r="OGW237" s="269"/>
      <c r="OGX237" s="269"/>
      <c r="OGY237" s="269"/>
      <c r="OGZ237" s="269"/>
      <c r="OHA237" s="269"/>
      <c r="OHB237" s="269"/>
      <c r="OHC237" s="269"/>
      <c r="OHD237" s="269"/>
      <c r="OHE237" s="269"/>
      <c r="OHF237" s="269"/>
      <c r="OHG237" s="269"/>
      <c r="OHH237" s="269"/>
      <c r="OHI237" s="269"/>
      <c r="OHJ237" s="269"/>
      <c r="OHK237" s="269"/>
      <c r="OHL237" s="269"/>
      <c r="OHM237" s="269"/>
      <c r="OHN237" s="269"/>
      <c r="OHO237" s="269"/>
      <c r="OHP237" s="269"/>
      <c r="OHQ237" s="269"/>
      <c r="OHR237" s="269"/>
      <c r="OHS237" s="269"/>
      <c r="OHT237" s="269"/>
      <c r="OHU237" s="269"/>
      <c r="OHV237" s="269"/>
      <c r="OHW237" s="269"/>
      <c r="OHX237" s="269"/>
      <c r="OHY237" s="269"/>
      <c r="OHZ237" s="269"/>
      <c r="OIA237" s="269"/>
      <c r="OIB237" s="269"/>
      <c r="OIC237" s="269"/>
      <c r="OID237" s="269"/>
      <c r="OIE237" s="269"/>
      <c r="OIF237" s="269"/>
      <c r="OIG237" s="269"/>
      <c r="OIH237" s="269"/>
      <c r="OII237" s="269"/>
      <c r="OIJ237" s="269"/>
      <c r="OIK237" s="269"/>
      <c r="OIL237" s="269"/>
      <c r="OIM237" s="269"/>
      <c r="OIN237" s="269"/>
      <c r="OIO237" s="269"/>
      <c r="OIP237" s="269"/>
      <c r="OIQ237" s="269"/>
      <c r="OIR237" s="269"/>
      <c r="OIS237" s="269"/>
      <c r="OIT237" s="269"/>
      <c r="OIU237" s="269"/>
      <c r="OIV237" s="269"/>
      <c r="OIW237" s="269"/>
      <c r="OIX237" s="269"/>
      <c r="OIY237" s="269"/>
      <c r="OIZ237" s="269"/>
      <c r="OJA237" s="269"/>
      <c r="OJB237" s="269"/>
      <c r="OJC237" s="269"/>
      <c r="OJD237" s="269"/>
      <c r="OJE237" s="269"/>
      <c r="OJF237" s="269"/>
      <c r="OJG237" s="269"/>
      <c r="OJH237" s="269"/>
      <c r="OJI237" s="269"/>
      <c r="OJJ237" s="269"/>
      <c r="OJK237" s="269"/>
      <c r="OJL237" s="269"/>
      <c r="OJM237" s="269"/>
      <c r="OJN237" s="269"/>
      <c r="OJO237" s="269"/>
      <c r="OJP237" s="269"/>
      <c r="OJQ237" s="269"/>
      <c r="OJR237" s="269"/>
      <c r="OJS237" s="269"/>
      <c r="OJT237" s="269"/>
      <c r="OJU237" s="269"/>
      <c r="OJV237" s="269"/>
      <c r="OJW237" s="269"/>
      <c r="OJX237" s="269"/>
      <c r="OJY237" s="269"/>
      <c r="OJZ237" s="269"/>
      <c r="OKA237" s="269"/>
      <c r="OKB237" s="269"/>
      <c r="OKC237" s="269"/>
      <c r="OKD237" s="269"/>
      <c r="OKE237" s="269"/>
      <c r="OKF237" s="269"/>
      <c r="OKG237" s="269"/>
      <c r="OKH237" s="269"/>
      <c r="OKI237" s="269"/>
      <c r="OKJ237" s="269"/>
      <c r="OKK237" s="269"/>
      <c r="OKL237" s="269"/>
      <c r="OKM237" s="269"/>
      <c r="OKN237" s="269"/>
      <c r="OKO237" s="269"/>
      <c r="OKP237" s="269"/>
      <c r="OKQ237" s="269"/>
      <c r="OKR237" s="269"/>
      <c r="OKS237" s="269"/>
      <c r="OKT237" s="269"/>
      <c r="OKU237" s="269"/>
      <c r="OKV237" s="269"/>
      <c r="OKW237" s="269"/>
      <c r="OKX237" s="269"/>
      <c r="OKY237" s="269"/>
      <c r="OKZ237" s="269"/>
      <c r="OLA237" s="269"/>
      <c r="OLB237" s="269"/>
      <c r="OLC237" s="269"/>
      <c r="OLD237" s="269"/>
      <c r="OLE237" s="269"/>
      <c r="OLF237" s="269"/>
      <c r="OLG237" s="269"/>
      <c r="OLH237" s="269"/>
      <c r="OLI237" s="269"/>
      <c r="OLJ237" s="269"/>
      <c r="OLK237" s="269"/>
      <c r="OLL237" s="269"/>
      <c r="OLM237" s="269"/>
      <c r="OLN237" s="269"/>
      <c r="OLO237" s="269"/>
      <c r="OLP237" s="269"/>
      <c r="OLQ237" s="269"/>
      <c r="OLR237" s="269"/>
      <c r="OLS237" s="269"/>
      <c r="OLT237" s="269"/>
      <c r="OLU237" s="269"/>
      <c r="OLV237" s="269"/>
      <c r="OLW237" s="269"/>
      <c r="OLX237" s="269"/>
      <c r="OLY237" s="269"/>
      <c r="OLZ237" s="269"/>
      <c r="OMA237" s="269"/>
      <c r="OMB237" s="269"/>
      <c r="OMC237" s="269"/>
      <c r="OMD237" s="269"/>
      <c r="OME237" s="269"/>
      <c r="OMF237" s="269"/>
      <c r="OMG237" s="269"/>
      <c r="OMH237" s="269"/>
      <c r="OMI237" s="269"/>
      <c r="OMJ237" s="269"/>
      <c r="OMK237" s="269"/>
      <c r="OML237" s="269"/>
      <c r="OMM237" s="269"/>
      <c r="OMN237" s="269"/>
      <c r="OMO237" s="269"/>
      <c r="OMP237" s="269"/>
      <c r="OMQ237" s="269"/>
      <c r="OMR237" s="269"/>
      <c r="OMS237" s="269"/>
      <c r="OMT237" s="269"/>
      <c r="OMU237" s="269"/>
      <c r="OMV237" s="269"/>
      <c r="OMW237" s="269"/>
      <c r="OMX237" s="269"/>
      <c r="OMY237" s="269"/>
      <c r="OMZ237" s="269"/>
      <c r="ONA237" s="269"/>
      <c r="ONB237" s="269"/>
      <c r="ONC237" s="269"/>
      <c r="OND237" s="269"/>
      <c r="ONE237" s="269"/>
      <c r="ONF237" s="269"/>
      <c r="ONG237" s="269"/>
      <c r="ONH237" s="269"/>
      <c r="ONI237" s="269"/>
      <c r="ONJ237" s="269"/>
      <c r="ONK237" s="269"/>
      <c r="ONL237" s="269"/>
      <c r="ONM237" s="269"/>
      <c r="ONN237" s="269"/>
      <c r="ONO237" s="269"/>
      <c r="ONP237" s="269"/>
      <c r="ONQ237" s="269"/>
      <c r="ONR237" s="269"/>
      <c r="ONS237" s="269"/>
      <c r="ONT237" s="269"/>
      <c r="ONU237" s="269"/>
      <c r="ONV237" s="269"/>
      <c r="ONW237" s="269"/>
      <c r="ONX237" s="269"/>
      <c r="ONY237" s="269"/>
      <c r="ONZ237" s="269"/>
      <c r="OOA237" s="269"/>
      <c r="OOB237" s="269"/>
      <c r="OOC237" s="269"/>
      <c r="OOD237" s="269"/>
      <c r="OOE237" s="269"/>
      <c r="OOF237" s="269"/>
      <c r="OOG237" s="269"/>
      <c r="OOH237" s="269"/>
      <c r="OOI237" s="269"/>
      <c r="OOJ237" s="269"/>
      <c r="OOK237" s="269"/>
      <c r="OOL237" s="269"/>
      <c r="OOM237" s="269"/>
      <c r="OON237" s="269"/>
      <c r="OOO237" s="269"/>
      <c r="OOP237" s="269"/>
      <c r="OOQ237" s="269"/>
      <c r="OOR237" s="269"/>
      <c r="OOS237" s="269"/>
      <c r="OOT237" s="269"/>
      <c r="OOU237" s="269"/>
      <c r="OOV237" s="269"/>
      <c r="OOW237" s="269"/>
      <c r="OOX237" s="269"/>
      <c r="OOY237" s="269"/>
      <c r="OOZ237" s="269"/>
      <c r="OPA237" s="269"/>
      <c r="OPB237" s="269"/>
      <c r="OPC237" s="269"/>
      <c r="OPD237" s="269"/>
      <c r="OPE237" s="269"/>
      <c r="OPF237" s="269"/>
      <c r="OPG237" s="269"/>
      <c r="OPH237" s="269"/>
      <c r="OPI237" s="269"/>
      <c r="OPJ237" s="269"/>
      <c r="OPK237" s="269"/>
      <c r="OPL237" s="269"/>
      <c r="OPM237" s="269"/>
      <c r="OPN237" s="269"/>
      <c r="OPO237" s="269"/>
      <c r="OPP237" s="269"/>
      <c r="OPQ237" s="269"/>
      <c r="OPR237" s="269"/>
      <c r="OPS237" s="269"/>
      <c r="OPT237" s="269"/>
      <c r="OPU237" s="269"/>
      <c r="OPV237" s="269"/>
      <c r="OPW237" s="269"/>
      <c r="OPX237" s="269"/>
      <c r="OPY237" s="269"/>
      <c r="OPZ237" s="269"/>
      <c r="OQA237" s="269"/>
      <c r="OQB237" s="269"/>
      <c r="OQC237" s="269"/>
      <c r="OQD237" s="269"/>
      <c r="OQE237" s="269"/>
      <c r="OQF237" s="269"/>
      <c r="OQG237" s="269"/>
      <c r="OQH237" s="269"/>
      <c r="OQI237" s="269"/>
      <c r="OQJ237" s="269"/>
      <c r="OQK237" s="269"/>
      <c r="OQL237" s="269"/>
      <c r="OQM237" s="269"/>
      <c r="OQN237" s="269"/>
      <c r="OQO237" s="269"/>
      <c r="OQP237" s="269"/>
      <c r="OQQ237" s="269"/>
      <c r="OQR237" s="269"/>
      <c r="OQS237" s="269"/>
      <c r="OQT237" s="269"/>
      <c r="OQU237" s="269"/>
      <c r="OQV237" s="269"/>
      <c r="OQW237" s="269"/>
      <c r="OQX237" s="269"/>
      <c r="OQY237" s="269"/>
      <c r="OQZ237" s="269"/>
      <c r="ORA237" s="269"/>
      <c r="ORB237" s="269"/>
      <c r="ORC237" s="269"/>
      <c r="ORD237" s="269"/>
      <c r="ORE237" s="269"/>
      <c r="ORF237" s="269"/>
      <c r="ORG237" s="269"/>
      <c r="ORH237" s="269"/>
      <c r="ORI237" s="269"/>
      <c r="ORJ237" s="269"/>
      <c r="ORK237" s="269"/>
      <c r="ORL237" s="269"/>
      <c r="ORM237" s="269"/>
      <c r="ORN237" s="269"/>
      <c r="ORO237" s="269"/>
      <c r="ORP237" s="269"/>
      <c r="ORQ237" s="269"/>
      <c r="ORR237" s="269"/>
      <c r="ORS237" s="269"/>
      <c r="ORT237" s="269"/>
      <c r="ORU237" s="269"/>
      <c r="ORV237" s="269"/>
      <c r="ORW237" s="269"/>
      <c r="ORX237" s="269"/>
      <c r="ORY237" s="269"/>
      <c r="ORZ237" s="269"/>
      <c r="OSA237" s="269"/>
      <c r="OSB237" s="269"/>
      <c r="OSC237" s="269"/>
      <c r="OSD237" s="269"/>
      <c r="OSE237" s="269"/>
      <c r="OSF237" s="269"/>
      <c r="OSG237" s="269"/>
      <c r="OSH237" s="269"/>
      <c r="OSI237" s="269"/>
      <c r="OSJ237" s="269"/>
      <c r="OSK237" s="269"/>
      <c r="OSL237" s="269"/>
      <c r="OSM237" s="269"/>
      <c r="OSN237" s="269"/>
      <c r="OSO237" s="269"/>
      <c r="OSP237" s="269"/>
      <c r="OSQ237" s="269"/>
      <c r="OSR237" s="269"/>
      <c r="OSS237" s="269"/>
      <c r="OST237" s="269"/>
      <c r="OSU237" s="269"/>
      <c r="OSV237" s="269"/>
      <c r="OSW237" s="269"/>
      <c r="OSX237" s="269"/>
      <c r="OSY237" s="269"/>
      <c r="OSZ237" s="269"/>
      <c r="OTA237" s="269"/>
      <c r="OTB237" s="269"/>
      <c r="OTC237" s="269"/>
      <c r="OTD237" s="269"/>
      <c r="OTE237" s="269"/>
      <c r="OTF237" s="269"/>
      <c r="OTG237" s="269"/>
      <c r="OTH237" s="269"/>
      <c r="OTI237" s="269"/>
      <c r="OTJ237" s="269"/>
      <c r="OTK237" s="269"/>
      <c r="OTL237" s="269"/>
      <c r="OTM237" s="269"/>
      <c r="OTN237" s="269"/>
      <c r="OTO237" s="269"/>
      <c r="OTP237" s="269"/>
      <c r="OTQ237" s="269"/>
      <c r="OTR237" s="269"/>
      <c r="OTS237" s="269"/>
      <c r="OTT237" s="269"/>
      <c r="OTU237" s="269"/>
      <c r="OTV237" s="269"/>
      <c r="OTW237" s="269"/>
      <c r="OTX237" s="269"/>
      <c r="OTY237" s="269"/>
      <c r="OTZ237" s="269"/>
      <c r="OUA237" s="269"/>
      <c r="OUB237" s="269"/>
      <c r="OUC237" s="269"/>
      <c r="OUD237" s="269"/>
      <c r="OUE237" s="269"/>
      <c r="OUF237" s="269"/>
      <c r="OUG237" s="269"/>
      <c r="OUH237" s="269"/>
      <c r="OUI237" s="269"/>
      <c r="OUJ237" s="269"/>
      <c r="OUK237" s="269"/>
      <c r="OUL237" s="269"/>
      <c r="OUM237" s="269"/>
      <c r="OUN237" s="269"/>
      <c r="OUO237" s="269"/>
      <c r="OUP237" s="269"/>
      <c r="OUQ237" s="269"/>
      <c r="OUR237" s="269"/>
      <c r="OUS237" s="269"/>
      <c r="OUT237" s="269"/>
      <c r="OUU237" s="269"/>
      <c r="OUV237" s="269"/>
      <c r="OUW237" s="269"/>
      <c r="OUX237" s="269"/>
      <c r="OUY237" s="269"/>
      <c r="OUZ237" s="269"/>
      <c r="OVA237" s="269"/>
      <c r="OVB237" s="269"/>
      <c r="OVC237" s="269"/>
      <c r="OVD237" s="269"/>
      <c r="OVE237" s="269"/>
      <c r="OVF237" s="269"/>
      <c r="OVG237" s="269"/>
      <c r="OVH237" s="269"/>
      <c r="OVI237" s="269"/>
      <c r="OVJ237" s="269"/>
      <c r="OVK237" s="269"/>
      <c r="OVL237" s="269"/>
      <c r="OVM237" s="269"/>
      <c r="OVN237" s="269"/>
      <c r="OVO237" s="269"/>
      <c r="OVP237" s="269"/>
      <c r="OVQ237" s="269"/>
      <c r="OVR237" s="269"/>
      <c r="OVS237" s="269"/>
      <c r="OVT237" s="269"/>
      <c r="OVU237" s="269"/>
      <c r="OVV237" s="269"/>
      <c r="OVW237" s="269"/>
      <c r="OVX237" s="269"/>
      <c r="OVY237" s="269"/>
      <c r="OVZ237" s="269"/>
      <c r="OWA237" s="269"/>
      <c r="OWB237" s="269"/>
      <c r="OWC237" s="269"/>
      <c r="OWD237" s="269"/>
      <c r="OWE237" s="269"/>
      <c r="OWF237" s="269"/>
      <c r="OWG237" s="269"/>
      <c r="OWH237" s="269"/>
      <c r="OWI237" s="269"/>
      <c r="OWJ237" s="269"/>
      <c r="OWK237" s="269"/>
      <c r="OWL237" s="269"/>
      <c r="OWM237" s="269"/>
      <c r="OWN237" s="269"/>
      <c r="OWO237" s="269"/>
      <c r="OWP237" s="269"/>
      <c r="OWQ237" s="269"/>
      <c r="OWR237" s="269"/>
      <c r="OWS237" s="269"/>
      <c r="OWT237" s="269"/>
      <c r="OWU237" s="269"/>
      <c r="OWV237" s="269"/>
      <c r="OWW237" s="269"/>
      <c r="OWX237" s="269"/>
      <c r="OWY237" s="269"/>
      <c r="OWZ237" s="269"/>
      <c r="OXA237" s="269"/>
      <c r="OXB237" s="269"/>
      <c r="OXC237" s="269"/>
      <c r="OXD237" s="269"/>
      <c r="OXE237" s="269"/>
      <c r="OXF237" s="269"/>
      <c r="OXG237" s="269"/>
      <c r="OXH237" s="269"/>
      <c r="OXI237" s="269"/>
      <c r="OXJ237" s="269"/>
      <c r="OXK237" s="269"/>
      <c r="OXL237" s="269"/>
      <c r="OXM237" s="269"/>
      <c r="OXN237" s="269"/>
      <c r="OXO237" s="269"/>
      <c r="OXP237" s="269"/>
      <c r="OXQ237" s="269"/>
      <c r="OXR237" s="269"/>
      <c r="OXS237" s="269"/>
      <c r="OXT237" s="269"/>
      <c r="OXU237" s="269"/>
      <c r="OXV237" s="269"/>
      <c r="OXW237" s="269"/>
      <c r="OXX237" s="269"/>
      <c r="OXY237" s="269"/>
      <c r="OXZ237" s="269"/>
      <c r="OYA237" s="269"/>
      <c r="OYB237" s="269"/>
      <c r="OYC237" s="269"/>
      <c r="OYD237" s="269"/>
      <c r="OYE237" s="269"/>
      <c r="OYF237" s="269"/>
      <c r="OYG237" s="269"/>
      <c r="OYH237" s="269"/>
      <c r="OYI237" s="269"/>
      <c r="OYJ237" s="269"/>
      <c r="OYK237" s="269"/>
      <c r="OYL237" s="269"/>
      <c r="OYM237" s="269"/>
      <c r="OYN237" s="269"/>
      <c r="OYO237" s="269"/>
      <c r="OYP237" s="269"/>
      <c r="OYQ237" s="269"/>
      <c r="OYR237" s="269"/>
      <c r="OYS237" s="269"/>
      <c r="OYT237" s="269"/>
      <c r="OYU237" s="269"/>
      <c r="OYV237" s="269"/>
      <c r="OYW237" s="269"/>
      <c r="OYX237" s="269"/>
      <c r="OYY237" s="269"/>
      <c r="OYZ237" s="269"/>
      <c r="OZA237" s="269"/>
      <c r="OZB237" s="269"/>
      <c r="OZC237" s="269"/>
      <c r="OZD237" s="269"/>
      <c r="OZE237" s="269"/>
      <c r="OZF237" s="269"/>
      <c r="OZG237" s="269"/>
      <c r="OZH237" s="269"/>
      <c r="OZI237" s="269"/>
      <c r="OZJ237" s="269"/>
      <c r="OZK237" s="269"/>
      <c r="OZL237" s="269"/>
      <c r="OZM237" s="269"/>
      <c r="OZN237" s="269"/>
      <c r="OZO237" s="269"/>
      <c r="OZP237" s="269"/>
      <c r="OZQ237" s="269"/>
      <c r="OZR237" s="269"/>
      <c r="OZS237" s="269"/>
      <c r="OZT237" s="269"/>
      <c r="OZU237" s="269"/>
      <c r="OZV237" s="269"/>
      <c r="OZW237" s="269"/>
      <c r="OZX237" s="269"/>
      <c r="OZY237" s="269"/>
      <c r="OZZ237" s="269"/>
      <c r="PAA237" s="269"/>
      <c r="PAB237" s="269"/>
      <c r="PAC237" s="269"/>
      <c r="PAD237" s="269"/>
      <c r="PAE237" s="269"/>
      <c r="PAF237" s="269"/>
      <c r="PAG237" s="269"/>
      <c r="PAH237" s="269"/>
      <c r="PAI237" s="269"/>
      <c r="PAJ237" s="269"/>
      <c r="PAK237" s="269"/>
      <c r="PAL237" s="269"/>
      <c r="PAM237" s="269"/>
      <c r="PAN237" s="269"/>
      <c r="PAO237" s="269"/>
      <c r="PAP237" s="269"/>
      <c r="PAQ237" s="269"/>
      <c r="PAR237" s="269"/>
      <c r="PAS237" s="269"/>
      <c r="PAT237" s="269"/>
      <c r="PAU237" s="269"/>
      <c r="PAV237" s="269"/>
      <c r="PAW237" s="269"/>
      <c r="PAX237" s="269"/>
      <c r="PAY237" s="269"/>
      <c r="PAZ237" s="269"/>
      <c r="PBA237" s="269"/>
      <c r="PBB237" s="269"/>
      <c r="PBC237" s="269"/>
      <c r="PBD237" s="269"/>
      <c r="PBE237" s="269"/>
      <c r="PBF237" s="269"/>
      <c r="PBG237" s="269"/>
      <c r="PBH237" s="269"/>
      <c r="PBI237" s="269"/>
      <c r="PBJ237" s="269"/>
      <c r="PBK237" s="269"/>
      <c r="PBL237" s="269"/>
      <c r="PBM237" s="269"/>
      <c r="PBN237" s="269"/>
      <c r="PBO237" s="269"/>
      <c r="PBP237" s="269"/>
      <c r="PBQ237" s="269"/>
      <c r="PBR237" s="269"/>
      <c r="PBS237" s="269"/>
      <c r="PBT237" s="269"/>
      <c r="PBU237" s="269"/>
      <c r="PBV237" s="269"/>
      <c r="PBW237" s="269"/>
      <c r="PBX237" s="269"/>
      <c r="PBY237" s="269"/>
      <c r="PBZ237" s="269"/>
      <c r="PCA237" s="269"/>
      <c r="PCB237" s="269"/>
      <c r="PCC237" s="269"/>
      <c r="PCD237" s="269"/>
      <c r="PCE237" s="269"/>
      <c r="PCF237" s="269"/>
      <c r="PCG237" s="269"/>
      <c r="PCH237" s="269"/>
      <c r="PCI237" s="269"/>
      <c r="PCJ237" s="269"/>
      <c r="PCK237" s="269"/>
      <c r="PCL237" s="269"/>
      <c r="PCM237" s="269"/>
      <c r="PCN237" s="269"/>
      <c r="PCO237" s="269"/>
      <c r="PCP237" s="269"/>
      <c r="PCQ237" s="269"/>
      <c r="PCR237" s="269"/>
      <c r="PCS237" s="269"/>
      <c r="PCT237" s="269"/>
      <c r="PCU237" s="269"/>
      <c r="PCV237" s="269"/>
      <c r="PCW237" s="269"/>
      <c r="PCX237" s="269"/>
      <c r="PCY237" s="269"/>
      <c r="PCZ237" s="269"/>
      <c r="PDA237" s="269"/>
      <c r="PDB237" s="269"/>
      <c r="PDC237" s="269"/>
      <c r="PDD237" s="269"/>
      <c r="PDE237" s="269"/>
      <c r="PDF237" s="269"/>
      <c r="PDG237" s="269"/>
      <c r="PDH237" s="269"/>
      <c r="PDI237" s="269"/>
      <c r="PDJ237" s="269"/>
      <c r="PDK237" s="269"/>
      <c r="PDL237" s="269"/>
      <c r="PDM237" s="269"/>
      <c r="PDN237" s="269"/>
      <c r="PDO237" s="269"/>
      <c r="PDP237" s="269"/>
      <c r="PDQ237" s="269"/>
      <c r="PDR237" s="269"/>
      <c r="PDS237" s="269"/>
      <c r="PDT237" s="269"/>
      <c r="PDU237" s="269"/>
      <c r="PDV237" s="269"/>
      <c r="PDW237" s="269"/>
      <c r="PDX237" s="269"/>
      <c r="PDY237" s="269"/>
      <c r="PDZ237" s="269"/>
      <c r="PEA237" s="269"/>
      <c r="PEB237" s="269"/>
      <c r="PEC237" s="269"/>
      <c r="PED237" s="269"/>
      <c r="PEE237" s="269"/>
      <c r="PEF237" s="269"/>
      <c r="PEG237" s="269"/>
      <c r="PEH237" s="269"/>
      <c r="PEI237" s="269"/>
      <c r="PEJ237" s="269"/>
      <c r="PEK237" s="269"/>
      <c r="PEL237" s="269"/>
      <c r="PEM237" s="269"/>
      <c r="PEN237" s="269"/>
      <c r="PEO237" s="269"/>
      <c r="PEP237" s="269"/>
      <c r="PEQ237" s="269"/>
      <c r="PER237" s="269"/>
      <c r="PES237" s="269"/>
      <c r="PET237" s="269"/>
      <c r="PEU237" s="269"/>
      <c r="PEV237" s="269"/>
      <c r="PEW237" s="269"/>
      <c r="PEX237" s="269"/>
      <c r="PEY237" s="269"/>
      <c r="PEZ237" s="269"/>
      <c r="PFA237" s="269"/>
      <c r="PFB237" s="269"/>
      <c r="PFC237" s="269"/>
      <c r="PFD237" s="269"/>
      <c r="PFE237" s="269"/>
      <c r="PFF237" s="269"/>
      <c r="PFG237" s="269"/>
      <c r="PFH237" s="269"/>
      <c r="PFI237" s="269"/>
      <c r="PFJ237" s="269"/>
      <c r="PFK237" s="269"/>
      <c r="PFL237" s="269"/>
      <c r="PFM237" s="269"/>
      <c r="PFN237" s="269"/>
      <c r="PFO237" s="269"/>
      <c r="PFP237" s="269"/>
      <c r="PFQ237" s="269"/>
      <c r="PFR237" s="269"/>
      <c r="PFS237" s="269"/>
      <c r="PFT237" s="269"/>
      <c r="PFU237" s="269"/>
      <c r="PFV237" s="269"/>
      <c r="PFW237" s="269"/>
      <c r="PFX237" s="269"/>
      <c r="PFY237" s="269"/>
      <c r="PFZ237" s="269"/>
      <c r="PGA237" s="269"/>
      <c r="PGB237" s="269"/>
      <c r="PGC237" s="269"/>
      <c r="PGD237" s="269"/>
      <c r="PGE237" s="269"/>
      <c r="PGF237" s="269"/>
      <c r="PGG237" s="269"/>
      <c r="PGH237" s="269"/>
      <c r="PGI237" s="269"/>
      <c r="PGJ237" s="269"/>
      <c r="PGK237" s="269"/>
      <c r="PGL237" s="269"/>
      <c r="PGM237" s="269"/>
      <c r="PGN237" s="269"/>
      <c r="PGO237" s="269"/>
      <c r="PGP237" s="269"/>
      <c r="PGQ237" s="269"/>
      <c r="PGR237" s="269"/>
      <c r="PGS237" s="269"/>
      <c r="PGT237" s="269"/>
      <c r="PGU237" s="269"/>
      <c r="PGV237" s="269"/>
      <c r="PGW237" s="269"/>
      <c r="PGX237" s="269"/>
      <c r="PGY237" s="269"/>
      <c r="PGZ237" s="269"/>
      <c r="PHA237" s="269"/>
      <c r="PHB237" s="269"/>
      <c r="PHC237" s="269"/>
      <c r="PHD237" s="269"/>
      <c r="PHE237" s="269"/>
      <c r="PHF237" s="269"/>
      <c r="PHG237" s="269"/>
      <c r="PHH237" s="269"/>
      <c r="PHI237" s="269"/>
      <c r="PHJ237" s="269"/>
      <c r="PHK237" s="269"/>
      <c r="PHL237" s="269"/>
      <c r="PHM237" s="269"/>
      <c r="PHN237" s="269"/>
      <c r="PHO237" s="269"/>
      <c r="PHP237" s="269"/>
      <c r="PHQ237" s="269"/>
      <c r="PHR237" s="269"/>
      <c r="PHS237" s="269"/>
      <c r="PHT237" s="269"/>
      <c r="PHU237" s="269"/>
      <c r="PHV237" s="269"/>
      <c r="PHW237" s="269"/>
      <c r="PHX237" s="269"/>
      <c r="PHY237" s="269"/>
      <c r="PHZ237" s="269"/>
      <c r="PIA237" s="269"/>
      <c r="PIB237" s="269"/>
      <c r="PIC237" s="269"/>
      <c r="PID237" s="269"/>
      <c r="PIE237" s="269"/>
      <c r="PIF237" s="269"/>
      <c r="PIG237" s="269"/>
      <c r="PIH237" s="269"/>
      <c r="PII237" s="269"/>
      <c r="PIJ237" s="269"/>
      <c r="PIK237" s="269"/>
      <c r="PIL237" s="269"/>
      <c r="PIM237" s="269"/>
      <c r="PIN237" s="269"/>
      <c r="PIO237" s="269"/>
      <c r="PIP237" s="269"/>
      <c r="PIQ237" s="269"/>
      <c r="PIR237" s="269"/>
      <c r="PIS237" s="269"/>
      <c r="PIT237" s="269"/>
      <c r="PIU237" s="269"/>
      <c r="PIV237" s="269"/>
      <c r="PIW237" s="269"/>
      <c r="PIX237" s="269"/>
      <c r="PIY237" s="269"/>
      <c r="PIZ237" s="269"/>
      <c r="PJA237" s="269"/>
      <c r="PJB237" s="269"/>
      <c r="PJC237" s="269"/>
      <c r="PJD237" s="269"/>
      <c r="PJE237" s="269"/>
      <c r="PJF237" s="269"/>
      <c r="PJG237" s="269"/>
      <c r="PJH237" s="269"/>
      <c r="PJI237" s="269"/>
      <c r="PJJ237" s="269"/>
      <c r="PJK237" s="269"/>
      <c r="PJL237" s="269"/>
      <c r="PJM237" s="269"/>
      <c r="PJN237" s="269"/>
      <c r="PJO237" s="269"/>
      <c r="PJP237" s="269"/>
      <c r="PJQ237" s="269"/>
      <c r="PJR237" s="269"/>
      <c r="PJS237" s="269"/>
      <c r="PJT237" s="269"/>
      <c r="PJU237" s="269"/>
      <c r="PJV237" s="269"/>
      <c r="PJW237" s="269"/>
      <c r="PJX237" s="269"/>
      <c r="PJY237" s="269"/>
      <c r="PJZ237" s="269"/>
      <c r="PKA237" s="269"/>
      <c r="PKB237" s="269"/>
      <c r="PKC237" s="269"/>
      <c r="PKD237" s="269"/>
      <c r="PKE237" s="269"/>
      <c r="PKF237" s="269"/>
      <c r="PKG237" s="269"/>
      <c r="PKH237" s="269"/>
      <c r="PKI237" s="269"/>
      <c r="PKJ237" s="269"/>
      <c r="PKK237" s="269"/>
      <c r="PKL237" s="269"/>
      <c r="PKM237" s="269"/>
      <c r="PKN237" s="269"/>
      <c r="PKO237" s="269"/>
      <c r="PKP237" s="269"/>
      <c r="PKQ237" s="269"/>
      <c r="PKR237" s="269"/>
      <c r="PKS237" s="269"/>
      <c r="PKT237" s="269"/>
      <c r="PKU237" s="269"/>
      <c r="PKV237" s="269"/>
      <c r="PKW237" s="269"/>
      <c r="PKX237" s="269"/>
      <c r="PKY237" s="269"/>
      <c r="PKZ237" s="269"/>
      <c r="PLA237" s="269"/>
      <c r="PLB237" s="269"/>
      <c r="PLC237" s="269"/>
      <c r="PLD237" s="269"/>
      <c r="PLE237" s="269"/>
      <c r="PLF237" s="269"/>
      <c r="PLG237" s="269"/>
      <c r="PLH237" s="269"/>
      <c r="PLI237" s="269"/>
      <c r="PLJ237" s="269"/>
      <c r="PLK237" s="269"/>
      <c r="PLL237" s="269"/>
      <c r="PLM237" s="269"/>
      <c r="PLN237" s="269"/>
      <c r="PLO237" s="269"/>
      <c r="PLP237" s="269"/>
      <c r="PLQ237" s="269"/>
      <c r="PLR237" s="269"/>
      <c r="PLS237" s="269"/>
      <c r="PLT237" s="269"/>
      <c r="PLU237" s="269"/>
      <c r="PLV237" s="269"/>
      <c r="PLW237" s="269"/>
      <c r="PLX237" s="269"/>
      <c r="PLY237" s="269"/>
      <c r="PLZ237" s="269"/>
      <c r="PMA237" s="269"/>
      <c r="PMB237" s="269"/>
      <c r="PMC237" s="269"/>
      <c r="PMD237" s="269"/>
      <c r="PME237" s="269"/>
      <c r="PMF237" s="269"/>
      <c r="PMG237" s="269"/>
      <c r="PMH237" s="269"/>
      <c r="PMI237" s="269"/>
      <c r="PMJ237" s="269"/>
      <c r="PMK237" s="269"/>
      <c r="PML237" s="269"/>
      <c r="PMM237" s="269"/>
      <c r="PMN237" s="269"/>
      <c r="PMO237" s="269"/>
      <c r="PMP237" s="269"/>
      <c r="PMQ237" s="269"/>
      <c r="PMR237" s="269"/>
      <c r="PMS237" s="269"/>
      <c r="PMT237" s="269"/>
      <c r="PMU237" s="269"/>
      <c r="PMV237" s="269"/>
      <c r="PMW237" s="269"/>
      <c r="PMX237" s="269"/>
      <c r="PMY237" s="269"/>
      <c r="PMZ237" s="269"/>
      <c r="PNA237" s="269"/>
      <c r="PNB237" s="269"/>
      <c r="PNC237" s="269"/>
      <c r="PND237" s="269"/>
      <c r="PNE237" s="269"/>
      <c r="PNF237" s="269"/>
      <c r="PNG237" s="269"/>
      <c r="PNH237" s="269"/>
      <c r="PNI237" s="269"/>
      <c r="PNJ237" s="269"/>
      <c r="PNK237" s="269"/>
      <c r="PNL237" s="269"/>
      <c r="PNM237" s="269"/>
      <c r="PNN237" s="269"/>
      <c r="PNO237" s="269"/>
      <c r="PNP237" s="269"/>
      <c r="PNQ237" s="269"/>
      <c r="PNR237" s="269"/>
      <c r="PNS237" s="269"/>
      <c r="PNT237" s="269"/>
      <c r="PNU237" s="269"/>
      <c r="PNV237" s="269"/>
      <c r="PNW237" s="269"/>
      <c r="PNX237" s="269"/>
      <c r="PNY237" s="269"/>
      <c r="PNZ237" s="269"/>
      <c r="POA237" s="269"/>
      <c r="POB237" s="269"/>
      <c r="POC237" s="269"/>
      <c r="POD237" s="269"/>
      <c r="POE237" s="269"/>
      <c r="POF237" s="269"/>
      <c r="POG237" s="269"/>
      <c r="POH237" s="269"/>
      <c r="POI237" s="269"/>
      <c r="POJ237" s="269"/>
      <c r="POK237" s="269"/>
      <c r="POL237" s="269"/>
      <c r="POM237" s="269"/>
      <c r="PON237" s="269"/>
      <c r="POO237" s="269"/>
      <c r="POP237" s="269"/>
      <c r="POQ237" s="269"/>
      <c r="POR237" s="269"/>
      <c r="POS237" s="269"/>
      <c r="POT237" s="269"/>
      <c r="POU237" s="269"/>
      <c r="POV237" s="269"/>
      <c r="POW237" s="269"/>
      <c r="POX237" s="269"/>
      <c r="POY237" s="269"/>
      <c r="POZ237" s="269"/>
      <c r="PPA237" s="269"/>
      <c r="PPB237" s="269"/>
      <c r="PPC237" s="269"/>
      <c r="PPD237" s="269"/>
      <c r="PPE237" s="269"/>
      <c r="PPF237" s="269"/>
      <c r="PPG237" s="269"/>
      <c r="PPH237" s="269"/>
      <c r="PPI237" s="269"/>
      <c r="PPJ237" s="269"/>
      <c r="PPK237" s="269"/>
      <c r="PPL237" s="269"/>
      <c r="PPM237" s="269"/>
      <c r="PPN237" s="269"/>
      <c r="PPO237" s="269"/>
      <c r="PPP237" s="269"/>
      <c r="PPQ237" s="269"/>
      <c r="PPR237" s="269"/>
      <c r="PPS237" s="269"/>
      <c r="PPT237" s="269"/>
      <c r="PPU237" s="269"/>
      <c r="PPV237" s="269"/>
      <c r="PPW237" s="269"/>
      <c r="PPX237" s="269"/>
      <c r="PPY237" s="269"/>
      <c r="PPZ237" s="269"/>
      <c r="PQA237" s="269"/>
      <c r="PQB237" s="269"/>
      <c r="PQC237" s="269"/>
      <c r="PQD237" s="269"/>
      <c r="PQE237" s="269"/>
      <c r="PQF237" s="269"/>
      <c r="PQG237" s="269"/>
      <c r="PQH237" s="269"/>
      <c r="PQI237" s="269"/>
      <c r="PQJ237" s="269"/>
      <c r="PQK237" s="269"/>
      <c r="PQL237" s="269"/>
      <c r="PQM237" s="269"/>
      <c r="PQN237" s="269"/>
      <c r="PQO237" s="269"/>
      <c r="PQP237" s="269"/>
      <c r="PQQ237" s="269"/>
      <c r="PQR237" s="269"/>
      <c r="PQS237" s="269"/>
      <c r="PQT237" s="269"/>
      <c r="PQU237" s="269"/>
      <c r="PQV237" s="269"/>
      <c r="PQW237" s="269"/>
      <c r="PQX237" s="269"/>
      <c r="PQY237" s="269"/>
      <c r="PQZ237" s="269"/>
      <c r="PRA237" s="269"/>
      <c r="PRB237" s="269"/>
      <c r="PRC237" s="269"/>
      <c r="PRD237" s="269"/>
      <c r="PRE237" s="269"/>
      <c r="PRF237" s="269"/>
      <c r="PRG237" s="269"/>
      <c r="PRH237" s="269"/>
      <c r="PRI237" s="269"/>
      <c r="PRJ237" s="269"/>
      <c r="PRK237" s="269"/>
      <c r="PRL237" s="269"/>
      <c r="PRM237" s="269"/>
      <c r="PRN237" s="269"/>
      <c r="PRO237" s="269"/>
      <c r="PRP237" s="269"/>
      <c r="PRQ237" s="269"/>
      <c r="PRR237" s="269"/>
      <c r="PRS237" s="269"/>
      <c r="PRT237" s="269"/>
      <c r="PRU237" s="269"/>
      <c r="PRV237" s="269"/>
      <c r="PRW237" s="269"/>
      <c r="PRX237" s="269"/>
      <c r="PRY237" s="269"/>
      <c r="PRZ237" s="269"/>
      <c r="PSA237" s="269"/>
      <c r="PSB237" s="269"/>
      <c r="PSC237" s="269"/>
      <c r="PSD237" s="269"/>
      <c r="PSE237" s="269"/>
      <c r="PSF237" s="269"/>
      <c r="PSG237" s="269"/>
      <c r="PSH237" s="269"/>
      <c r="PSI237" s="269"/>
      <c r="PSJ237" s="269"/>
      <c r="PSK237" s="269"/>
      <c r="PSL237" s="269"/>
      <c r="PSM237" s="269"/>
      <c r="PSN237" s="269"/>
      <c r="PSO237" s="269"/>
      <c r="PSP237" s="269"/>
      <c r="PSQ237" s="269"/>
      <c r="PSR237" s="269"/>
      <c r="PSS237" s="269"/>
      <c r="PST237" s="269"/>
      <c r="PSU237" s="269"/>
      <c r="PSV237" s="269"/>
      <c r="PSW237" s="269"/>
      <c r="PSX237" s="269"/>
      <c r="PSY237" s="269"/>
      <c r="PSZ237" s="269"/>
      <c r="PTA237" s="269"/>
      <c r="PTB237" s="269"/>
      <c r="PTC237" s="269"/>
      <c r="PTD237" s="269"/>
      <c r="PTE237" s="269"/>
      <c r="PTF237" s="269"/>
      <c r="PTG237" s="269"/>
      <c r="PTH237" s="269"/>
      <c r="PTI237" s="269"/>
      <c r="PTJ237" s="269"/>
      <c r="PTK237" s="269"/>
      <c r="PTL237" s="269"/>
      <c r="PTM237" s="269"/>
      <c r="PTN237" s="269"/>
      <c r="PTO237" s="269"/>
      <c r="PTP237" s="269"/>
      <c r="PTQ237" s="269"/>
      <c r="PTR237" s="269"/>
      <c r="PTS237" s="269"/>
      <c r="PTT237" s="269"/>
      <c r="PTU237" s="269"/>
      <c r="PTV237" s="269"/>
      <c r="PTW237" s="269"/>
      <c r="PTX237" s="269"/>
      <c r="PTY237" s="269"/>
      <c r="PTZ237" s="269"/>
      <c r="PUA237" s="269"/>
      <c r="PUB237" s="269"/>
      <c r="PUC237" s="269"/>
      <c r="PUD237" s="269"/>
      <c r="PUE237" s="269"/>
      <c r="PUF237" s="269"/>
      <c r="PUG237" s="269"/>
      <c r="PUH237" s="269"/>
      <c r="PUI237" s="269"/>
      <c r="PUJ237" s="269"/>
      <c r="PUK237" s="269"/>
      <c r="PUL237" s="269"/>
      <c r="PUM237" s="269"/>
      <c r="PUN237" s="269"/>
      <c r="PUO237" s="269"/>
      <c r="PUP237" s="269"/>
      <c r="PUQ237" s="269"/>
      <c r="PUR237" s="269"/>
      <c r="PUS237" s="269"/>
      <c r="PUT237" s="269"/>
      <c r="PUU237" s="269"/>
      <c r="PUV237" s="269"/>
      <c r="PUW237" s="269"/>
      <c r="PUX237" s="269"/>
      <c r="PUY237" s="269"/>
      <c r="PUZ237" s="269"/>
      <c r="PVA237" s="269"/>
      <c r="PVB237" s="269"/>
      <c r="PVC237" s="269"/>
      <c r="PVD237" s="269"/>
      <c r="PVE237" s="269"/>
      <c r="PVF237" s="269"/>
      <c r="PVG237" s="269"/>
      <c r="PVH237" s="269"/>
      <c r="PVI237" s="269"/>
      <c r="PVJ237" s="269"/>
      <c r="PVK237" s="269"/>
      <c r="PVL237" s="269"/>
      <c r="PVM237" s="269"/>
      <c r="PVN237" s="269"/>
      <c r="PVO237" s="269"/>
      <c r="PVP237" s="269"/>
      <c r="PVQ237" s="269"/>
      <c r="PVR237" s="269"/>
      <c r="PVS237" s="269"/>
      <c r="PVT237" s="269"/>
      <c r="PVU237" s="269"/>
      <c r="PVV237" s="269"/>
      <c r="PVW237" s="269"/>
      <c r="PVX237" s="269"/>
      <c r="PVY237" s="269"/>
      <c r="PVZ237" s="269"/>
      <c r="PWA237" s="269"/>
      <c r="PWB237" s="269"/>
      <c r="PWC237" s="269"/>
      <c r="PWD237" s="269"/>
      <c r="PWE237" s="269"/>
      <c r="PWF237" s="269"/>
      <c r="PWG237" s="269"/>
      <c r="PWH237" s="269"/>
      <c r="PWI237" s="269"/>
      <c r="PWJ237" s="269"/>
      <c r="PWK237" s="269"/>
      <c r="PWL237" s="269"/>
      <c r="PWM237" s="269"/>
      <c r="PWN237" s="269"/>
      <c r="PWO237" s="269"/>
      <c r="PWP237" s="269"/>
      <c r="PWQ237" s="269"/>
      <c r="PWR237" s="269"/>
      <c r="PWS237" s="269"/>
      <c r="PWT237" s="269"/>
      <c r="PWU237" s="269"/>
      <c r="PWV237" s="269"/>
      <c r="PWW237" s="269"/>
      <c r="PWX237" s="269"/>
      <c r="PWY237" s="269"/>
      <c r="PWZ237" s="269"/>
      <c r="PXA237" s="269"/>
      <c r="PXB237" s="269"/>
      <c r="PXC237" s="269"/>
      <c r="PXD237" s="269"/>
      <c r="PXE237" s="269"/>
      <c r="PXF237" s="269"/>
      <c r="PXG237" s="269"/>
      <c r="PXH237" s="269"/>
      <c r="PXI237" s="269"/>
      <c r="PXJ237" s="269"/>
      <c r="PXK237" s="269"/>
      <c r="PXL237" s="269"/>
      <c r="PXM237" s="269"/>
      <c r="PXN237" s="269"/>
      <c r="PXO237" s="269"/>
      <c r="PXP237" s="269"/>
      <c r="PXQ237" s="269"/>
      <c r="PXR237" s="269"/>
      <c r="PXS237" s="269"/>
      <c r="PXT237" s="269"/>
      <c r="PXU237" s="269"/>
      <c r="PXV237" s="269"/>
      <c r="PXW237" s="269"/>
      <c r="PXX237" s="269"/>
      <c r="PXY237" s="269"/>
      <c r="PXZ237" s="269"/>
      <c r="PYA237" s="269"/>
      <c r="PYB237" s="269"/>
      <c r="PYC237" s="269"/>
      <c r="PYD237" s="269"/>
      <c r="PYE237" s="269"/>
      <c r="PYF237" s="269"/>
      <c r="PYG237" s="269"/>
      <c r="PYH237" s="269"/>
      <c r="PYI237" s="269"/>
      <c r="PYJ237" s="269"/>
      <c r="PYK237" s="269"/>
      <c r="PYL237" s="269"/>
      <c r="PYM237" s="269"/>
      <c r="PYN237" s="269"/>
      <c r="PYO237" s="269"/>
      <c r="PYP237" s="269"/>
      <c r="PYQ237" s="269"/>
      <c r="PYR237" s="269"/>
      <c r="PYS237" s="269"/>
      <c r="PYT237" s="269"/>
      <c r="PYU237" s="269"/>
      <c r="PYV237" s="269"/>
      <c r="PYW237" s="269"/>
      <c r="PYX237" s="269"/>
      <c r="PYY237" s="269"/>
      <c r="PYZ237" s="269"/>
      <c r="PZA237" s="269"/>
      <c r="PZB237" s="269"/>
      <c r="PZC237" s="269"/>
      <c r="PZD237" s="269"/>
      <c r="PZE237" s="269"/>
      <c r="PZF237" s="269"/>
      <c r="PZG237" s="269"/>
      <c r="PZH237" s="269"/>
      <c r="PZI237" s="269"/>
      <c r="PZJ237" s="269"/>
      <c r="PZK237" s="269"/>
      <c r="PZL237" s="269"/>
      <c r="PZM237" s="269"/>
      <c r="PZN237" s="269"/>
      <c r="PZO237" s="269"/>
      <c r="PZP237" s="269"/>
      <c r="PZQ237" s="269"/>
      <c r="PZR237" s="269"/>
      <c r="PZS237" s="269"/>
      <c r="PZT237" s="269"/>
      <c r="PZU237" s="269"/>
      <c r="PZV237" s="269"/>
      <c r="PZW237" s="269"/>
      <c r="PZX237" s="269"/>
      <c r="PZY237" s="269"/>
      <c r="PZZ237" s="269"/>
      <c r="QAA237" s="269"/>
      <c r="QAB237" s="269"/>
      <c r="QAC237" s="269"/>
      <c r="QAD237" s="269"/>
      <c r="QAE237" s="269"/>
      <c r="QAF237" s="269"/>
      <c r="QAG237" s="269"/>
      <c r="QAH237" s="269"/>
      <c r="QAI237" s="269"/>
      <c r="QAJ237" s="269"/>
      <c r="QAK237" s="269"/>
      <c r="QAL237" s="269"/>
      <c r="QAM237" s="269"/>
      <c r="QAN237" s="269"/>
      <c r="QAO237" s="269"/>
      <c r="QAP237" s="269"/>
      <c r="QAQ237" s="269"/>
      <c r="QAR237" s="269"/>
      <c r="QAS237" s="269"/>
      <c r="QAT237" s="269"/>
      <c r="QAU237" s="269"/>
      <c r="QAV237" s="269"/>
      <c r="QAW237" s="269"/>
      <c r="QAX237" s="269"/>
      <c r="QAY237" s="269"/>
      <c r="QAZ237" s="269"/>
      <c r="QBA237" s="269"/>
      <c r="QBB237" s="269"/>
      <c r="QBC237" s="269"/>
      <c r="QBD237" s="269"/>
      <c r="QBE237" s="269"/>
      <c r="QBF237" s="269"/>
      <c r="QBG237" s="269"/>
      <c r="QBH237" s="269"/>
      <c r="QBI237" s="269"/>
      <c r="QBJ237" s="269"/>
      <c r="QBK237" s="269"/>
      <c r="QBL237" s="269"/>
      <c r="QBM237" s="269"/>
      <c r="QBN237" s="269"/>
      <c r="QBO237" s="269"/>
      <c r="QBP237" s="269"/>
      <c r="QBQ237" s="269"/>
      <c r="QBR237" s="269"/>
      <c r="QBS237" s="269"/>
      <c r="QBT237" s="269"/>
      <c r="QBU237" s="269"/>
      <c r="QBV237" s="269"/>
      <c r="QBW237" s="269"/>
      <c r="QBX237" s="269"/>
      <c r="QBY237" s="269"/>
      <c r="QBZ237" s="269"/>
      <c r="QCA237" s="269"/>
      <c r="QCB237" s="269"/>
      <c r="QCC237" s="269"/>
      <c r="QCD237" s="269"/>
      <c r="QCE237" s="269"/>
      <c r="QCF237" s="269"/>
      <c r="QCG237" s="269"/>
      <c r="QCH237" s="269"/>
      <c r="QCI237" s="269"/>
      <c r="QCJ237" s="269"/>
      <c r="QCK237" s="269"/>
      <c r="QCL237" s="269"/>
      <c r="QCM237" s="269"/>
      <c r="QCN237" s="269"/>
      <c r="QCO237" s="269"/>
      <c r="QCP237" s="269"/>
      <c r="QCQ237" s="269"/>
      <c r="QCR237" s="269"/>
      <c r="QCS237" s="269"/>
      <c r="QCT237" s="269"/>
      <c r="QCU237" s="269"/>
      <c r="QCV237" s="269"/>
      <c r="QCW237" s="269"/>
      <c r="QCX237" s="269"/>
      <c r="QCY237" s="269"/>
      <c r="QCZ237" s="269"/>
      <c r="QDA237" s="269"/>
      <c r="QDB237" s="269"/>
      <c r="QDC237" s="269"/>
      <c r="QDD237" s="269"/>
      <c r="QDE237" s="269"/>
      <c r="QDF237" s="269"/>
      <c r="QDG237" s="269"/>
      <c r="QDH237" s="269"/>
      <c r="QDI237" s="269"/>
      <c r="QDJ237" s="269"/>
      <c r="QDK237" s="269"/>
      <c r="QDL237" s="269"/>
      <c r="QDM237" s="269"/>
      <c r="QDN237" s="269"/>
      <c r="QDO237" s="269"/>
      <c r="QDP237" s="269"/>
      <c r="QDQ237" s="269"/>
      <c r="QDR237" s="269"/>
      <c r="QDS237" s="269"/>
      <c r="QDT237" s="269"/>
      <c r="QDU237" s="269"/>
      <c r="QDV237" s="269"/>
      <c r="QDW237" s="269"/>
      <c r="QDX237" s="269"/>
      <c r="QDY237" s="269"/>
      <c r="QDZ237" s="269"/>
      <c r="QEA237" s="269"/>
      <c r="QEB237" s="269"/>
      <c r="QEC237" s="269"/>
      <c r="QED237" s="269"/>
      <c r="QEE237" s="269"/>
      <c r="QEF237" s="269"/>
      <c r="QEG237" s="269"/>
      <c r="QEH237" s="269"/>
      <c r="QEI237" s="269"/>
      <c r="QEJ237" s="269"/>
      <c r="QEK237" s="269"/>
      <c r="QEL237" s="269"/>
      <c r="QEM237" s="269"/>
      <c r="QEN237" s="269"/>
      <c r="QEO237" s="269"/>
      <c r="QEP237" s="269"/>
      <c r="QEQ237" s="269"/>
      <c r="QER237" s="269"/>
      <c r="QES237" s="269"/>
      <c r="QET237" s="269"/>
      <c r="QEU237" s="269"/>
      <c r="QEV237" s="269"/>
      <c r="QEW237" s="269"/>
      <c r="QEX237" s="269"/>
      <c r="QEY237" s="269"/>
      <c r="QEZ237" s="269"/>
      <c r="QFA237" s="269"/>
      <c r="QFB237" s="269"/>
      <c r="QFC237" s="269"/>
      <c r="QFD237" s="269"/>
      <c r="QFE237" s="269"/>
      <c r="QFF237" s="269"/>
      <c r="QFG237" s="269"/>
      <c r="QFH237" s="269"/>
      <c r="QFI237" s="269"/>
      <c r="QFJ237" s="269"/>
      <c r="QFK237" s="269"/>
      <c r="QFL237" s="269"/>
      <c r="QFM237" s="269"/>
      <c r="QFN237" s="269"/>
      <c r="QFO237" s="269"/>
      <c r="QFP237" s="269"/>
      <c r="QFQ237" s="269"/>
      <c r="QFR237" s="269"/>
      <c r="QFS237" s="269"/>
      <c r="QFT237" s="269"/>
      <c r="QFU237" s="269"/>
      <c r="QFV237" s="269"/>
      <c r="QFW237" s="269"/>
      <c r="QFX237" s="269"/>
      <c r="QFY237" s="269"/>
      <c r="QFZ237" s="269"/>
      <c r="QGA237" s="269"/>
      <c r="QGB237" s="269"/>
      <c r="QGC237" s="269"/>
      <c r="QGD237" s="269"/>
      <c r="QGE237" s="269"/>
      <c r="QGF237" s="269"/>
      <c r="QGG237" s="269"/>
      <c r="QGH237" s="269"/>
      <c r="QGI237" s="269"/>
      <c r="QGJ237" s="269"/>
      <c r="QGK237" s="269"/>
      <c r="QGL237" s="269"/>
      <c r="QGM237" s="269"/>
      <c r="QGN237" s="269"/>
      <c r="QGO237" s="269"/>
      <c r="QGP237" s="269"/>
      <c r="QGQ237" s="269"/>
      <c r="QGR237" s="269"/>
      <c r="QGS237" s="269"/>
      <c r="QGT237" s="269"/>
      <c r="QGU237" s="269"/>
      <c r="QGV237" s="269"/>
      <c r="QGW237" s="269"/>
      <c r="QGX237" s="269"/>
      <c r="QGY237" s="269"/>
      <c r="QGZ237" s="269"/>
      <c r="QHA237" s="269"/>
      <c r="QHB237" s="269"/>
      <c r="QHC237" s="269"/>
      <c r="QHD237" s="269"/>
      <c r="QHE237" s="269"/>
      <c r="QHF237" s="269"/>
      <c r="QHG237" s="269"/>
      <c r="QHH237" s="269"/>
      <c r="QHI237" s="269"/>
      <c r="QHJ237" s="269"/>
      <c r="QHK237" s="269"/>
      <c r="QHL237" s="269"/>
      <c r="QHM237" s="269"/>
      <c r="QHN237" s="269"/>
      <c r="QHO237" s="269"/>
      <c r="QHP237" s="269"/>
      <c r="QHQ237" s="269"/>
      <c r="QHR237" s="269"/>
      <c r="QHS237" s="269"/>
      <c r="QHT237" s="269"/>
      <c r="QHU237" s="269"/>
      <c r="QHV237" s="269"/>
      <c r="QHW237" s="269"/>
      <c r="QHX237" s="269"/>
      <c r="QHY237" s="269"/>
      <c r="QHZ237" s="269"/>
      <c r="QIA237" s="269"/>
      <c r="QIB237" s="269"/>
      <c r="QIC237" s="269"/>
      <c r="QID237" s="269"/>
      <c r="QIE237" s="269"/>
      <c r="QIF237" s="269"/>
      <c r="QIG237" s="269"/>
      <c r="QIH237" s="269"/>
      <c r="QII237" s="269"/>
      <c r="QIJ237" s="269"/>
      <c r="QIK237" s="269"/>
      <c r="QIL237" s="269"/>
      <c r="QIM237" s="269"/>
      <c r="QIN237" s="269"/>
      <c r="QIO237" s="269"/>
      <c r="QIP237" s="269"/>
      <c r="QIQ237" s="269"/>
      <c r="QIR237" s="269"/>
      <c r="QIS237" s="269"/>
      <c r="QIT237" s="269"/>
      <c r="QIU237" s="269"/>
      <c r="QIV237" s="269"/>
      <c r="QIW237" s="269"/>
      <c r="QIX237" s="269"/>
      <c r="QIY237" s="269"/>
      <c r="QIZ237" s="269"/>
      <c r="QJA237" s="269"/>
      <c r="QJB237" s="269"/>
      <c r="QJC237" s="269"/>
      <c r="QJD237" s="269"/>
      <c r="QJE237" s="269"/>
      <c r="QJF237" s="269"/>
      <c r="QJG237" s="269"/>
      <c r="QJH237" s="269"/>
      <c r="QJI237" s="269"/>
      <c r="QJJ237" s="269"/>
      <c r="QJK237" s="269"/>
      <c r="QJL237" s="269"/>
      <c r="QJM237" s="269"/>
      <c r="QJN237" s="269"/>
      <c r="QJO237" s="269"/>
      <c r="QJP237" s="269"/>
      <c r="QJQ237" s="269"/>
      <c r="QJR237" s="269"/>
      <c r="QJS237" s="269"/>
      <c r="QJT237" s="269"/>
      <c r="QJU237" s="269"/>
      <c r="QJV237" s="269"/>
      <c r="QJW237" s="269"/>
      <c r="QJX237" s="269"/>
      <c r="QJY237" s="269"/>
      <c r="QJZ237" s="269"/>
      <c r="QKA237" s="269"/>
      <c r="QKB237" s="269"/>
      <c r="QKC237" s="269"/>
      <c r="QKD237" s="269"/>
      <c r="QKE237" s="269"/>
      <c r="QKF237" s="269"/>
      <c r="QKG237" s="269"/>
      <c r="QKH237" s="269"/>
      <c r="QKI237" s="269"/>
      <c r="QKJ237" s="269"/>
      <c r="QKK237" s="269"/>
      <c r="QKL237" s="269"/>
      <c r="QKM237" s="269"/>
      <c r="QKN237" s="269"/>
      <c r="QKO237" s="269"/>
      <c r="QKP237" s="269"/>
      <c r="QKQ237" s="269"/>
      <c r="QKR237" s="269"/>
      <c r="QKS237" s="269"/>
      <c r="QKT237" s="269"/>
      <c r="QKU237" s="269"/>
      <c r="QKV237" s="269"/>
      <c r="QKW237" s="269"/>
      <c r="QKX237" s="269"/>
      <c r="QKY237" s="269"/>
      <c r="QKZ237" s="269"/>
      <c r="QLA237" s="269"/>
      <c r="QLB237" s="269"/>
      <c r="QLC237" s="269"/>
      <c r="QLD237" s="269"/>
      <c r="QLE237" s="269"/>
      <c r="QLF237" s="269"/>
      <c r="QLG237" s="269"/>
      <c r="QLH237" s="269"/>
      <c r="QLI237" s="269"/>
      <c r="QLJ237" s="269"/>
      <c r="QLK237" s="269"/>
      <c r="QLL237" s="269"/>
      <c r="QLM237" s="269"/>
      <c r="QLN237" s="269"/>
      <c r="QLO237" s="269"/>
      <c r="QLP237" s="269"/>
      <c r="QLQ237" s="269"/>
      <c r="QLR237" s="269"/>
      <c r="QLS237" s="269"/>
      <c r="QLT237" s="269"/>
      <c r="QLU237" s="269"/>
      <c r="QLV237" s="269"/>
      <c r="QLW237" s="269"/>
      <c r="QLX237" s="269"/>
      <c r="QLY237" s="269"/>
      <c r="QLZ237" s="269"/>
      <c r="QMA237" s="269"/>
      <c r="QMB237" s="269"/>
      <c r="QMC237" s="269"/>
      <c r="QMD237" s="269"/>
      <c r="QME237" s="269"/>
      <c r="QMF237" s="269"/>
      <c r="QMG237" s="269"/>
      <c r="QMH237" s="269"/>
      <c r="QMI237" s="269"/>
      <c r="QMJ237" s="269"/>
      <c r="QMK237" s="269"/>
      <c r="QML237" s="269"/>
      <c r="QMM237" s="269"/>
      <c r="QMN237" s="269"/>
      <c r="QMO237" s="269"/>
      <c r="QMP237" s="269"/>
      <c r="QMQ237" s="269"/>
      <c r="QMR237" s="269"/>
      <c r="QMS237" s="269"/>
      <c r="QMT237" s="269"/>
      <c r="QMU237" s="269"/>
      <c r="QMV237" s="269"/>
      <c r="QMW237" s="269"/>
      <c r="QMX237" s="269"/>
      <c r="QMY237" s="269"/>
      <c r="QMZ237" s="269"/>
      <c r="QNA237" s="269"/>
      <c r="QNB237" s="269"/>
      <c r="QNC237" s="269"/>
      <c r="QND237" s="269"/>
      <c r="QNE237" s="269"/>
      <c r="QNF237" s="269"/>
      <c r="QNG237" s="269"/>
      <c r="QNH237" s="269"/>
      <c r="QNI237" s="269"/>
      <c r="QNJ237" s="269"/>
      <c r="QNK237" s="269"/>
      <c r="QNL237" s="269"/>
      <c r="QNM237" s="269"/>
      <c r="QNN237" s="269"/>
      <c r="QNO237" s="269"/>
      <c r="QNP237" s="269"/>
      <c r="QNQ237" s="269"/>
      <c r="QNR237" s="269"/>
      <c r="QNS237" s="269"/>
      <c r="QNT237" s="269"/>
      <c r="QNU237" s="269"/>
      <c r="QNV237" s="269"/>
      <c r="QNW237" s="269"/>
      <c r="QNX237" s="269"/>
      <c r="QNY237" s="269"/>
      <c r="QNZ237" s="269"/>
      <c r="QOA237" s="269"/>
      <c r="QOB237" s="269"/>
      <c r="QOC237" s="269"/>
      <c r="QOD237" s="269"/>
      <c r="QOE237" s="269"/>
      <c r="QOF237" s="269"/>
      <c r="QOG237" s="269"/>
      <c r="QOH237" s="269"/>
      <c r="QOI237" s="269"/>
      <c r="QOJ237" s="269"/>
      <c r="QOK237" s="269"/>
      <c r="QOL237" s="269"/>
      <c r="QOM237" s="269"/>
      <c r="QON237" s="269"/>
      <c r="QOO237" s="269"/>
      <c r="QOP237" s="269"/>
      <c r="QOQ237" s="269"/>
      <c r="QOR237" s="269"/>
      <c r="QOS237" s="269"/>
      <c r="QOT237" s="269"/>
      <c r="QOU237" s="269"/>
      <c r="QOV237" s="269"/>
      <c r="QOW237" s="269"/>
      <c r="QOX237" s="269"/>
      <c r="QOY237" s="269"/>
      <c r="QOZ237" s="269"/>
      <c r="QPA237" s="269"/>
      <c r="QPB237" s="269"/>
      <c r="QPC237" s="269"/>
      <c r="QPD237" s="269"/>
      <c r="QPE237" s="269"/>
      <c r="QPF237" s="269"/>
      <c r="QPG237" s="269"/>
      <c r="QPH237" s="269"/>
      <c r="QPI237" s="269"/>
      <c r="QPJ237" s="269"/>
      <c r="QPK237" s="269"/>
      <c r="QPL237" s="269"/>
      <c r="QPM237" s="269"/>
      <c r="QPN237" s="269"/>
      <c r="QPO237" s="269"/>
      <c r="QPP237" s="269"/>
      <c r="QPQ237" s="269"/>
      <c r="QPR237" s="269"/>
      <c r="QPS237" s="269"/>
      <c r="QPT237" s="269"/>
      <c r="QPU237" s="269"/>
      <c r="QPV237" s="269"/>
      <c r="QPW237" s="269"/>
      <c r="QPX237" s="269"/>
      <c r="QPY237" s="269"/>
      <c r="QPZ237" s="269"/>
      <c r="QQA237" s="269"/>
      <c r="QQB237" s="269"/>
      <c r="QQC237" s="269"/>
      <c r="QQD237" s="269"/>
      <c r="QQE237" s="269"/>
      <c r="QQF237" s="269"/>
      <c r="QQG237" s="269"/>
      <c r="QQH237" s="269"/>
      <c r="QQI237" s="269"/>
      <c r="QQJ237" s="269"/>
      <c r="QQK237" s="269"/>
      <c r="QQL237" s="269"/>
      <c r="QQM237" s="269"/>
      <c r="QQN237" s="269"/>
      <c r="QQO237" s="269"/>
      <c r="QQP237" s="269"/>
      <c r="QQQ237" s="269"/>
      <c r="QQR237" s="269"/>
      <c r="QQS237" s="269"/>
      <c r="QQT237" s="269"/>
      <c r="QQU237" s="269"/>
      <c r="QQV237" s="269"/>
      <c r="QQW237" s="269"/>
      <c r="QQX237" s="269"/>
      <c r="QQY237" s="269"/>
      <c r="QQZ237" s="269"/>
      <c r="QRA237" s="269"/>
      <c r="QRB237" s="269"/>
      <c r="QRC237" s="269"/>
      <c r="QRD237" s="269"/>
      <c r="QRE237" s="269"/>
      <c r="QRF237" s="269"/>
      <c r="QRG237" s="269"/>
      <c r="QRH237" s="269"/>
      <c r="QRI237" s="269"/>
      <c r="QRJ237" s="269"/>
      <c r="QRK237" s="269"/>
      <c r="QRL237" s="269"/>
      <c r="QRM237" s="269"/>
      <c r="QRN237" s="269"/>
      <c r="QRO237" s="269"/>
      <c r="QRP237" s="269"/>
      <c r="QRQ237" s="269"/>
      <c r="QRR237" s="269"/>
      <c r="QRS237" s="269"/>
      <c r="QRT237" s="269"/>
      <c r="QRU237" s="269"/>
      <c r="QRV237" s="269"/>
      <c r="QRW237" s="269"/>
      <c r="QRX237" s="269"/>
      <c r="QRY237" s="269"/>
      <c r="QRZ237" s="269"/>
      <c r="QSA237" s="269"/>
      <c r="QSB237" s="269"/>
      <c r="QSC237" s="269"/>
      <c r="QSD237" s="269"/>
      <c r="QSE237" s="269"/>
      <c r="QSF237" s="269"/>
      <c r="QSG237" s="269"/>
      <c r="QSH237" s="269"/>
      <c r="QSI237" s="269"/>
      <c r="QSJ237" s="269"/>
      <c r="QSK237" s="269"/>
      <c r="QSL237" s="269"/>
      <c r="QSM237" s="269"/>
      <c r="QSN237" s="269"/>
      <c r="QSO237" s="269"/>
      <c r="QSP237" s="269"/>
      <c r="QSQ237" s="269"/>
      <c r="QSR237" s="269"/>
      <c r="QSS237" s="269"/>
      <c r="QST237" s="269"/>
      <c r="QSU237" s="269"/>
      <c r="QSV237" s="269"/>
      <c r="QSW237" s="269"/>
      <c r="QSX237" s="269"/>
      <c r="QSY237" s="269"/>
      <c r="QSZ237" s="269"/>
      <c r="QTA237" s="269"/>
      <c r="QTB237" s="269"/>
      <c r="QTC237" s="269"/>
      <c r="QTD237" s="269"/>
      <c r="QTE237" s="269"/>
      <c r="QTF237" s="269"/>
      <c r="QTG237" s="269"/>
      <c r="QTH237" s="269"/>
      <c r="QTI237" s="269"/>
      <c r="QTJ237" s="269"/>
      <c r="QTK237" s="269"/>
      <c r="QTL237" s="269"/>
      <c r="QTM237" s="269"/>
      <c r="QTN237" s="269"/>
      <c r="QTO237" s="269"/>
      <c r="QTP237" s="269"/>
      <c r="QTQ237" s="269"/>
      <c r="QTR237" s="269"/>
      <c r="QTS237" s="269"/>
      <c r="QTT237" s="269"/>
      <c r="QTU237" s="269"/>
      <c r="QTV237" s="269"/>
      <c r="QTW237" s="269"/>
      <c r="QTX237" s="269"/>
      <c r="QTY237" s="269"/>
      <c r="QTZ237" s="269"/>
      <c r="QUA237" s="269"/>
      <c r="QUB237" s="269"/>
      <c r="QUC237" s="269"/>
      <c r="QUD237" s="269"/>
      <c r="QUE237" s="269"/>
      <c r="QUF237" s="269"/>
      <c r="QUG237" s="269"/>
      <c r="QUH237" s="269"/>
      <c r="QUI237" s="269"/>
      <c r="QUJ237" s="269"/>
      <c r="QUK237" s="269"/>
      <c r="QUL237" s="269"/>
      <c r="QUM237" s="269"/>
      <c r="QUN237" s="269"/>
      <c r="QUO237" s="269"/>
      <c r="QUP237" s="269"/>
      <c r="QUQ237" s="269"/>
      <c r="QUR237" s="269"/>
      <c r="QUS237" s="269"/>
      <c r="QUT237" s="269"/>
      <c r="QUU237" s="269"/>
      <c r="QUV237" s="269"/>
      <c r="QUW237" s="269"/>
      <c r="QUX237" s="269"/>
      <c r="QUY237" s="269"/>
      <c r="QUZ237" s="269"/>
      <c r="QVA237" s="269"/>
      <c r="QVB237" s="269"/>
      <c r="QVC237" s="269"/>
      <c r="QVD237" s="269"/>
      <c r="QVE237" s="269"/>
      <c r="QVF237" s="269"/>
      <c r="QVG237" s="269"/>
      <c r="QVH237" s="269"/>
      <c r="QVI237" s="269"/>
      <c r="QVJ237" s="269"/>
      <c r="QVK237" s="269"/>
      <c r="QVL237" s="269"/>
      <c r="QVM237" s="269"/>
      <c r="QVN237" s="269"/>
      <c r="QVO237" s="269"/>
      <c r="QVP237" s="269"/>
      <c r="QVQ237" s="269"/>
      <c r="QVR237" s="269"/>
      <c r="QVS237" s="269"/>
      <c r="QVT237" s="269"/>
      <c r="QVU237" s="269"/>
      <c r="QVV237" s="269"/>
      <c r="QVW237" s="269"/>
      <c r="QVX237" s="269"/>
      <c r="QVY237" s="269"/>
      <c r="QVZ237" s="269"/>
      <c r="QWA237" s="269"/>
      <c r="QWB237" s="269"/>
      <c r="QWC237" s="269"/>
      <c r="QWD237" s="269"/>
      <c r="QWE237" s="269"/>
      <c r="QWF237" s="269"/>
      <c r="QWG237" s="269"/>
      <c r="QWH237" s="269"/>
      <c r="QWI237" s="269"/>
      <c r="QWJ237" s="269"/>
      <c r="QWK237" s="269"/>
      <c r="QWL237" s="269"/>
      <c r="QWM237" s="269"/>
      <c r="QWN237" s="269"/>
      <c r="QWO237" s="269"/>
      <c r="QWP237" s="269"/>
      <c r="QWQ237" s="269"/>
      <c r="QWR237" s="269"/>
      <c r="QWS237" s="269"/>
      <c r="QWT237" s="269"/>
      <c r="QWU237" s="269"/>
      <c r="QWV237" s="269"/>
      <c r="QWW237" s="269"/>
      <c r="QWX237" s="269"/>
      <c r="QWY237" s="269"/>
      <c r="QWZ237" s="269"/>
      <c r="QXA237" s="269"/>
      <c r="QXB237" s="269"/>
      <c r="QXC237" s="269"/>
      <c r="QXD237" s="269"/>
      <c r="QXE237" s="269"/>
      <c r="QXF237" s="269"/>
      <c r="QXG237" s="269"/>
      <c r="QXH237" s="269"/>
      <c r="QXI237" s="269"/>
      <c r="QXJ237" s="269"/>
      <c r="QXK237" s="269"/>
      <c r="QXL237" s="269"/>
      <c r="QXM237" s="269"/>
      <c r="QXN237" s="269"/>
      <c r="QXO237" s="269"/>
      <c r="QXP237" s="269"/>
      <c r="QXQ237" s="269"/>
      <c r="QXR237" s="269"/>
      <c r="QXS237" s="269"/>
      <c r="QXT237" s="269"/>
      <c r="QXU237" s="269"/>
      <c r="QXV237" s="269"/>
      <c r="QXW237" s="269"/>
      <c r="QXX237" s="269"/>
      <c r="QXY237" s="269"/>
      <c r="QXZ237" s="269"/>
      <c r="QYA237" s="269"/>
      <c r="QYB237" s="269"/>
      <c r="QYC237" s="269"/>
      <c r="QYD237" s="269"/>
      <c r="QYE237" s="269"/>
      <c r="QYF237" s="269"/>
      <c r="QYG237" s="269"/>
      <c r="QYH237" s="269"/>
      <c r="QYI237" s="269"/>
      <c r="QYJ237" s="269"/>
      <c r="QYK237" s="269"/>
      <c r="QYL237" s="269"/>
      <c r="QYM237" s="269"/>
      <c r="QYN237" s="269"/>
      <c r="QYO237" s="269"/>
      <c r="QYP237" s="269"/>
      <c r="QYQ237" s="269"/>
      <c r="QYR237" s="269"/>
      <c r="QYS237" s="269"/>
      <c r="QYT237" s="269"/>
      <c r="QYU237" s="269"/>
      <c r="QYV237" s="269"/>
      <c r="QYW237" s="269"/>
      <c r="QYX237" s="269"/>
      <c r="QYY237" s="269"/>
      <c r="QYZ237" s="269"/>
      <c r="QZA237" s="269"/>
      <c r="QZB237" s="269"/>
      <c r="QZC237" s="269"/>
      <c r="QZD237" s="269"/>
      <c r="QZE237" s="269"/>
      <c r="QZF237" s="269"/>
      <c r="QZG237" s="269"/>
      <c r="QZH237" s="269"/>
      <c r="QZI237" s="269"/>
      <c r="QZJ237" s="269"/>
      <c r="QZK237" s="269"/>
      <c r="QZL237" s="269"/>
      <c r="QZM237" s="269"/>
      <c r="QZN237" s="269"/>
      <c r="QZO237" s="269"/>
      <c r="QZP237" s="269"/>
      <c r="QZQ237" s="269"/>
      <c r="QZR237" s="269"/>
      <c r="QZS237" s="269"/>
      <c r="QZT237" s="269"/>
      <c r="QZU237" s="269"/>
      <c r="QZV237" s="269"/>
      <c r="QZW237" s="269"/>
      <c r="QZX237" s="269"/>
      <c r="QZY237" s="269"/>
      <c r="QZZ237" s="269"/>
      <c r="RAA237" s="269"/>
      <c r="RAB237" s="269"/>
      <c r="RAC237" s="269"/>
      <c r="RAD237" s="269"/>
      <c r="RAE237" s="269"/>
      <c r="RAF237" s="269"/>
      <c r="RAG237" s="269"/>
      <c r="RAH237" s="269"/>
      <c r="RAI237" s="269"/>
      <c r="RAJ237" s="269"/>
      <c r="RAK237" s="269"/>
      <c r="RAL237" s="269"/>
      <c r="RAM237" s="269"/>
      <c r="RAN237" s="269"/>
      <c r="RAO237" s="269"/>
      <c r="RAP237" s="269"/>
      <c r="RAQ237" s="269"/>
      <c r="RAR237" s="269"/>
      <c r="RAS237" s="269"/>
      <c r="RAT237" s="269"/>
      <c r="RAU237" s="269"/>
      <c r="RAV237" s="269"/>
      <c r="RAW237" s="269"/>
      <c r="RAX237" s="269"/>
      <c r="RAY237" s="269"/>
      <c r="RAZ237" s="269"/>
      <c r="RBA237" s="269"/>
      <c r="RBB237" s="269"/>
      <c r="RBC237" s="269"/>
      <c r="RBD237" s="269"/>
      <c r="RBE237" s="269"/>
      <c r="RBF237" s="269"/>
      <c r="RBG237" s="269"/>
      <c r="RBH237" s="269"/>
      <c r="RBI237" s="269"/>
      <c r="RBJ237" s="269"/>
      <c r="RBK237" s="269"/>
      <c r="RBL237" s="269"/>
      <c r="RBM237" s="269"/>
      <c r="RBN237" s="269"/>
      <c r="RBO237" s="269"/>
      <c r="RBP237" s="269"/>
      <c r="RBQ237" s="269"/>
      <c r="RBR237" s="269"/>
      <c r="RBS237" s="269"/>
      <c r="RBT237" s="269"/>
      <c r="RBU237" s="269"/>
      <c r="RBV237" s="269"/>
      <c r="RBW237" s="269"/>
      <c r="RBX237" s="269"/>
      <c r="RBY237" s="269"/>
      <c r="RBZ237" s="269"/>
      <c r="RCA237" s="269"/>
      <c r="RCB237" s="269"/>
      <c r="RCC237" s="269"/>
      <c r="RCD237" s="269"/>
      <c r="RCE237" s="269"/>
      <c r="RCF237" s="269"/>
      <c r="RCG237" s="269"/>
      <c r="RCH237" s="269"/>
      <c r="RCI237" s="269"/>
      <c r="RCJ237" s="269"/>
      <c r="RCK237" s="269"/>
      <c r="RCL237" s="269"/>
      <c r="RCM237" s="269"/>
      <c r="RCN237" s="269"/>
      <c r="RCO237" s="269"/>
      <c r="RCP237" s="269"/>
      <c r="RCQ237" s="269"/>
      <c r="RCR237" s="269"/>
      <c r="RCS237" s="269"/>
      <c r="RCT237" s="269"/>
      <c r="RCU237" s="269"/>
      <c r="RCV237" s="269"/>
      <c r="RCW237" s="269"/>
      <c r="RCX237" s="269"/>
      <c r="RCY237" s="269"/>
      <c r="RCZ237" s="269"/>
      <c r="RDA237" s="269"/>
      <c r="RDB237" s="269"/>
      <c r="RDC237" s="269"/>
      <c r="RDD237" s="269"/>
      <c r="RDE237" s="269"/>
      <c r="RDF237" s="269"/>
      <c r="RDG237" s="269"/>
      <c r="RDH237" s="269"/>
      <c r="RDI237" s="269"/>
      <c r="RDJ237" s="269"/>
      <c r="RDK237" s="269"/>
      <c r="RDL237" s="269"/>
      <c r="RDM237" s="269"/>
      <c r="RDN237" s="269"/>
      <c r="RDO237" s="269"/>
      <c r="RDP237" s="269"/>
      <c r="RDQ237" s="269"/>
      <c r="RDR237" s="269"/>
      <c r="RDS237" s="269"/>
      <c r="RDT237" s="269"/>
      <c r="RDU237" s="269"/>
      <c r="RDV237" s="269"/>
      <c r="RDW237" s="269"/>
      <c r="RDX237" s="269"/>
      <c r="RDY237" s="269"/>
      <c r="RDZ237" s="269"/>
      <c r="REA237" s="269"/>
      <c r="REB237" s="269"/>
      <c r="REC237" s="269"/>
      <c r="RED237" s="269"/>
      <c r="REE237" s="269"/>
      <c r="REF237" s="269"/>
      <c r="REG237" s="269"/>
      <c r="REH237" s="269"/>
      <c r="REI237" s="269"/>
      <c r="REJ237" s="269"/>
      <c r="REK237" s="269"/>
      <c r="REL237" s="269"/>
      <c r="REM237" s="269"/>
      <c r="REN237" s="269"/>
      <c r="REO237" s="269"/>
      <c r="REP237" s="269"/>
      <c r="REQ237" s="269"/>
      <c r="RER237" s="269"/>
      <c r="RES237" s="269"/>
      <c r="RET237" s="269"/>
      <c r="REU237" s="269"/>
      <c r="REV237" s="269"/>
      <c r="REW237" s="269"/>
      <c r="REX237" s="269"/>
      <c r="REY237" s="269"/>
      <c r="REZ237" s="269"/>
      <c r="RFA237" s="269"/>
      <c r="RFB237" s="269"/>
      <c r="RFC237" s="269"/>
      <c r="RFD237" s="269"/>
      <c r="RFE237" s="269"/>
      <c r="RFF237" s="269"/>
      <c r="RFG237" s="269"/>
      <c r="RFH237" s="269"/>
      <c r="RFI237" s="269"/>
      <c r="RFJ237" s="269"/>
      <c r="RFK237" s="269"/>
      <c r="RFL237" s="269"/>
      <c r="RFM237" s="269"/>
      <c r="RFN237" s="269"/>
      <c r="RFO237" s="269"/>
      <c r="RFP237" s="269"/>
      <c r="RFQ237" s="269"/>
      <c r="RFR237" s="269"/>
      <c r="RFS237" s="269"/>
      <c r="RFT237" s="269"/>
      <c r="RFU237" s="269"/>
      <c r="RFV237" s="269"/>
      <c r="RFW237" s="269"/>
      <c r="RFX237" s="269"/>
      <c r="RFY237" s="269"/>
      <c r="RFZ237" s="269"/>
      <c r="RGA237" s="269"/>
      <c r="RGB237" s="269"/>
      <c r="RGC237" s="269"/>
      <c r="RGD237" s="269"/>
      <c r="RGE237" s="269"/>
      <c r="RGF237" s="269"/>
      <c r="RGG237" s="269"/>
      <c r="RGH237" s="269"/>
      <c r="RGI237" s="269"/>
      <c r="RGJ237" s="269"/>
      <c r="RGK237" s="269"/>
      <c r="RGL237" s="269"/>
      <c r="RGM237" s="269"/>
      <c r="RGN237" s="269"/>
      <c r="RGO237" s="269"/>
      <c r="RGP237" s="269"/>
      <c r="RGQ237" s="269"/>
      <c r="RGR237" s="269"/>
      <c r="RGS237" s="269"/>
      <c r="RGT237" s="269"/>
      <c r="RGU237" s="269"/>
      <c r="RGV237" s="269"/>
      <c r="RGW237" s="269"/>
      <c r="RGX237" s="269"/>
      <c r="RGY237" s="269"/>
      <c r="RGZ237" s="269"/>
      <c r="RHA237" s="269"/>
      <c r="RHB237" s="269"/>
      <c r="RHC237" s="269"/>
      <c r="RHD237" s="269"/>
      <c r="RHE237" s="269"/>
      <c r="RHF237" s="269"/>
      <c r="RHG237" s="269"/>
      <c r="RHH237" s="269"/>
      <c r="RHI237" s="269"/>
      <c r="RHJ237" s="269"/>
      <c r="RHK237" s="269"/>
      <c r="RHL237" s="269"/>
      <c r="RHM237" s="269"/>
      <c r="RHN237" s="269"/>
      <c r="RHO237" s="269"/>
      <c r="RHP237" s="269"/>
      <c r="RHQ237" s="269"/>
      <c r="RHR237" s="269"/>
      <c r="RHS237" s="269"/>
      <c r="RHT237" s="269"/>
      <c r="RHU237" s="269"/>
      <c r="RHV237" s="269"/>
      <c r="RHW237" s="269"/>
      <c r="RHX237" s="269"/>
      <c r="RHY237" s="269"/>
      <c r="RHZ237" s="269"/>
      <c r="RIA237" s="269"/>
      <c r="RIB237" s="269"/>
      <c r="RIC237" s="269"/>
      <c r="RID237" s="269"/>
      <c r="RIE237" s="269"/>
      <c r="RIF237" s="269"/>
      <c r="RIG237" s="269"/>
      <c r="RIH237" s="269"/>
      <c r="RII237" s="269"/>
      <c r="RIJ237" s="269"/>
      <c r="RIK237" s="269"/>
      <c r="RIL237" s="269"/>
      <c r="RIM237" s="269"/>
      <c r="RIN237" s="269"/>
      <c r="RIO237" s="269"/>
      <c r="RIP237" s="269"/>
      <c r="RIQ237" s="269"/>
      <c r="RIR237" s="269"/>
      <c r="RIS237" s="269"/>
      <c r="RIT237" s="269"/>
      <c r="RIU237" s="269"/>
      <c r="RIV237" s="269"/>
      <c r="RIW237" s="269"/>
      <c r="RIX237" s="269"/>
      <c r="RIY237" s="269"/>
      <c r="RIZ237" s="269"/>
      <c r="RJA237" s="269"/>
      <c r="RJB237" s="269"/>
      <c r="RJC237" s="269"/>
      <c r="RJD237" s="269"/>
      <c r="RJE237" s="269"/>
      <c r="RJF237" s="269"/>
      <c r="RJG237" s="269"/>
      <c r="RJH237" s="269"/>
      <c r="RJI237" s="269"/>
      <c r="RJJ237" s="269"/>
      <c r="RJK237" s="269"/>
      <c r="RJL237" s="269"/>
      <c r="RJM237" s="269"/>
      <c r="RJN237" s="269"/>
      <c r="RJO237" s="269"/>
      <c r="RJP237" s="269"/>
      <c r="RJQ237" s="269"/>
      <c r="RJR237" s="269"/>
      <c r="RJS237" s="269"/>
      <c r="RJT237" s="269"/>
      <c r="RJU237" s="269"/>
      <c r="RJV237" s="269"/>
      <c r="RJW237" s="269"/>
      <c r="RJX237" s="269"/>
      <c r="RJY237" s="269"/>
      <c r="RJZ237" s="269"/>
      <c r="RKA237" s="269"/>
      <c r="RKB237" s="269"/>
      <c r="RKC237" s="269"/>
      <c r="RKD237" s="269"/>
      <c r="RKE237" s="269"/>
      <c r="RKF237" s="269"/>
      <c r="RKG237" s="269"/>
      <c r="RKH237" s="269"/>
      <c r="RKI237" s="269"/>
      <c r="RKJ237" s="269"/>
      <c r="RKK237" s="269"/>
      <c r="RKL237" s="269"/>
      <c r="RKM237" s="269"/>
      <c r="RKN237" s="269"/>
      <c r="RKO237" s="269"/>
      <c r="RKP237" s="269"/>
      <c r="RKQ237" s="269"/>
      <c r="RKR237" s="269"/>
      <c r="RKS237" s="269"/>
      <c r="RKT237" s="269"/>
      <c r="RKU237" s="269"/>
      <c r="RKV237" s="269"/>
      <c r="RKW237" s="269"/>
      <c r="RKX237" s="269"/>
      <c r="RKY237" s="269"/>
      <c r="RKZ237" s="269"/>
      <c r="RLA237" s="269"/>
      <c r="RLB237" s="269"/>
      <c r="RLC237" s="269"/>
      <c r="RLD237" s="269"/>
      <c r="RLE237" s="269"/>
      <c r="RLF237" s="269"/>
      <c r="RLG237" s="269"/>
      <c r="RLH237" s="269"/>
      <c r="RLI237" s="269"/>
      <c r="RLJ237" s="269"/>
      <c r="RLK237" s="269"/>
      <c r="RLL237" s="269"/>
      <c r="RLM237" s="269"/>
      <c r="RLN237" s="269"/>
      <c r="RLO237" s="269"/>
      <c r="RLP237" s="269"/>
      <c r="RLQ237" s="269"/>
      <c r="RLR237" s="269"/>
      <c r="RLS237" s="269"/>
      <c r="RLT237" s="269"/>
      <c r="RLU237" s="269"/>
      <c r="RLV237" s="269"/>
      <c r="RLW237" s="269"/>
      <c r="RLX237" s="269"/>
      <c r="RLY237" s="269"/>
      <c r="RLZ237" s="269"/>
      <c r="RMA237" s="269"/>
      <c r="RMB237" s="269"/>
      <c r="RMC237" s="269"/>
      <c r="RMD237" s="269"/>
      <c r="RME237" s="269"/>
      <c r="RMF237" s="269"/>
      <c r="RMG237" s="269"/>
      <c r="RMH237" s="269"/>
      <c r="RMI237" s="269"/>
      <c r="RMJ237" s="269"/>
      <c r="RMK237" s="269"/>
      <c r="RML237" s="269"/>
      <c r="RMM237" s="269"/>
      <c r="RMN237" s="269"/>
      <c r="RMO237" s="269"/>
      <c r="RMP237" s="269"/>
      <c r="RMQ237" s="269"/>
      <c r="RMR237" s="269"/>
      <c r="RMS237" s="269"/>
      <c r="RMT237" s="269"/>
      <c r="RMU237" s="269"/>
      <c r="RMV237" s="269"/>
      <c r="RMW237" s="269"/>
      <c r="RMX237" s="269"/>
      <c r="RMY237" s="269"/>
      <c r="RMZ237" s="269"/>
      <c r="RNA237" s="269"/>
      <c r="RNB237" s="269"/>
      <c r="RNC237" s="269"/>
      <c r="RND237" s="269"/>
      <c r="RNE237" s="269"/>
      <c r="RNF237" s="269"/>
      <c r="RNG237" s="269"/>
      <c r="RNH237" s="269"/>
      <c r="RNI237" s="269"/>
      <c r="RNJ237" s="269"/>
      <c r="RNK237" s="269"/>
      <c r="RNL237" s="269"/>
      <c r="RNM237" s="269"/>
      <c r="RNN237" s="269"/>
      <c r="RNO237" s="269"/>
      <c r="RNP237" s="269"/>
      <c r="RNQ237" s="269"/>
      <c r="RNR237" s="269"/>
      <c r="RNS237" s="269"/>
      <c r="RNT237" s="269"/>
      <c r="RNU237" s="269"/>
      <c r="RNV237" s="269"/>
      <c r="RNW237" s="269"/>
      <c r="RNX237" s="269"/>
      <c r="RNY237" s="269"/>
      <c r="RNZ237" s="269"/>
      <c r="ROA237" s="269"/>
      <c r="ROB237" s="269"/>
      <c r="ROC237" s="269"/>
      <c r="ROD237" s="269"/>
      <c r="ROE237" s="269"/>
      <c r="ROF237" s="269"/>
      <c r="ROG237" s="269"/>
      <c r="ROH237" s="269"/>
      <c r="ROI237" s="269"/>
      <c r="ROJ237" s="269"/>
      <c r="ROK237" s="269"/>
      <c r="ROL237" s="269"/>
      <c r="ROM237" s="269"/>
      <c r="RON237" s="269"/>
      <c r="ROO237" s="269"/>
      <c r="ROP237" s="269"/>
      <c r="ROQ237" s="269"/>
      <c r="ROR237" s="269"/>
      <c r="ROS237" s="269"/>
      <c r="ROT237" s="269"/>
      <c r="ROU237" s="269"/>
      <c r="ROV237" s="269"/>
      <c r="ROW237" s="269"/>
      <c r="ROX237" s="269"/>
      <c r="ROY237" s="269"/>
      <c r="ROZ237" s="269"/>
      <c r="RPA237" s="269"/>
      <c r="RPB237" s="269"/>
      <c r="RPC237" s="269"/>
      <c r="RPD237" s="269"/>
      <c r="RPE237" s="269"/>
      <c r="RPF237" s="269"/>
      <c r="RPG237" s="269"/>
      <c r="RPH237" s="269"/>
      <c r="RPI237" s="269"/>
      <c r="RPJ237" s="269"/>
      <c r="RPK237" s="269"/>
      <c r="RPL237" s="269"/>
      <c r="RPM237" s="269"/>
      <c r="RPN237" s="269"/>
      <c r="RPO237" s="269"/>
      <c r="RPP237" s="269"/>
      <c r="RPQ237" s="269"/>
      <c r="RPR237" s="269"/>
      <c r="RPS237" s="269"/>
      <c r="RPT237" s="269"/>
      <c r="RPU237" s="269"/>
      <c r="RPV237" s="269"/>
      <c r="RPW237" s="269"/>
      <c r="RPX237" s="269"/>
      <c r="RPY237" s="269"/>
      <c r="RPZ237" s="269"/>
      <c r="RQA237" s="269"/>
      <c r="RQB237" s="269"/>
      <c r="RQC237" s="269"/>
      <c r="RQD237" s="269"/>
      <c r="RQE237" s="269"/>
      <c r="RQF237" s="269"/>
      <c r="RQG237" s="269"/>
      <c r="RQH237" s="269"/>
      <c r="RQI237" s="269"/>
      <c r="RQJ237" s="269"/>
      <c r="RQK237" s="269"/>
      <c r="RQL237" s="269"/>
      <c r="RQM237" s="269"/>
      <c r="RQN237" s="269"/>
      <c r="RQO237" s="269"/>
      <c r="RQP237" s="269"/>
      <c r="RQQ237" s="269"/>
      <c r="RQR237" s="269"/>
      <c r="RQS237" s="269"/>
      <c r="RQT237" s="269"/>
      <c r="RQU237" s="269"/>
      <c r="RQV237" s="269"/>
      <c r="RQW237" s="269"/>
      <c r="RQX237" s="269"/>
      <c r="RQY237" s="269"/>
      <c r="RQZ237" s="269"/>
      <c r="RRA237" s="269"/>
      <c r="RRB237" s="269"/>
      <c r="RRC237" s="269"/>
      <c r="RRD237" s="269"/>
      <c r="RRE237" s="269"/>
      <c r="RRF237" s="269"/>
      <c r="RRG237" s="269"/>
      <c r="RRH237" s="269"/>
      <c r="RRI237" s="269"/>
      <c r="RRJ237" s="269"/>
      <c r="RRK237" s="269"/>
      <c r="RRL237" s="269"/>
      <c r="RRM237" s="269"/>
      <c r="RRN237" s="269"/>
      <c r="RRO237" s="269"/>
      <c r="RRP237" s="269"/>
      <c r="RRQ237" s="269"/>
      <c r="RRR237" s="269"/>
      <c r="RRS237" s="269"/>
      <c r="RRT237" s="269"/>
      <c r="RRU237" s="269"/>
      <c r="RRV237" s="269"/>
      <c r="RRW237" s="269"/>
      <c r="RRX237" s="269"/>
      <c r="RRY237" s="269"/>
      <c r="RRZ237" s="269"/>
      <c r="RSA237" s="269"/>
      <c r="RSB237" s="269"/>
      <c r="RSC237" s="269"/>
      <c r="RSD237" s="269"/>
      <c r="RSE237" s="269"/>
      <c r="RSF237" s="269"/>
      <c r="RSG237" s="269"/>
      <c r="RSH237" s="269"/>
      <c r="RSI237" s="269"/>
      <c r="RSJ237" s="269"/>
      <c r="RSK237" s="269"/>
      <c r="RSL237" s="269"/>
      <c r="RSM237" s="269"/>
      <c r="RSN237" s="269"/>
      <c r="RSO237" s="269"/>
      <c r="RSP237" s="269"/>
      <c r="RSQ237" s="269"/>
      <c r="RSR237" s="269"/>
      <c r="RSS237" s="269"/>
      <c r="RST237" s="269"/>
      <c r="RSU237" s="269"/>
      <c r="RSV237" s="269"/>
      <c r="RSW237" s="269"/>
      <c r="RSX237" s="269"/>
      <c r="RSY237" s="269"/>
      <c r="RSZ237" s="269"/>
      <c r="RTA237" s="269"/>
      <c r="RTB237" s="269"/>
      <c r="RTC237" s="269"/>
      <c r="RTD237" s="269"/>
      <c r="RTE237" s="269"/>
      <c r="RTF237" s="269"/>
      <c r="RTG237" s="269"/>
      <c r="RTH237" s="269"/>
      <c r="RTI237" s="269"/>
      <c r="RTJ237" s="269"/>
      <c r="RTK237" s="269"/>
      <c r="RTL237" s="269"/>
      <c r="RTM237" s="269"/>
      <c r="RTN237" s="269"/>
      <c r="RTO237" s="269"/>
      <c r="RTP237" s="269"/>
      <c r="RTQ237" s="269"/>
      <c r="RTR237" s="269"/>
      <c r="RTS237" s="269"/>
      <c r="RTT237" s="269"/>
      <c r="RTU237" s="269"/>
      <c r="RTV237" s="269"/>
      <c r="RTW237" s="269"/>
      <c r="RTX237" s="269"/>
      <c r="RTY237" s="269"/>
      <c r="RTZ237" s="269"/>
      <c r="RUA237" s="269"/>
      <c r="RUB237" s="269"/>
      <c r="RUC237" s="269"/>
      <c r="RUD237" s="269"/>
      <c r="RUE237" s="269"/>
      <c r="RUF237" s="269"/>
      <c r="RUG237" s="269"/>
      <c r="RUH237" s="269"/>
      <c r="RUI237" s="269"/>
      <c r="RUJ237" s="269"/>
      <c r="RUK237" s="269"/>
      <c r="RUL237" s="269"/>
      <c r="RUM237" s="269"/>
      <c r="RUN237" s="269"/>
      <c r="RUO237" s="269"/>
      <c r="RUP237" s="269"/>
      <c r="RUQ237" s="269"/>
      <c r="RUR237" s="269"/>
      <c r="RUS237" s="269"/>
      <c r="RUT237" s="269"/>
      <c r="RUU237" s="269"/>
      <c r="RUV237" s="269"/>
      <c r="RUW237" s="269"/>
      <c r="RUX237" s="269"/>
      <c r="RUY237" s="269"/>
      <c r="RUZ237" s="269"/>
      <c r="RVA237" s="269"/>
      <c r="RVB237" s="269"/>
      <c r="RVC237" s="269"/>
      <c r="RVD237" s="269"/>
      <c r="RVE237" s="269"/>
      <c r="RVF237" s="269"/>
      <c r="RVG237" s="269"/>
      <c r="RVH237" s="269"/>
      <c r="RVI237" s="269"/>
      <c r="RVJ237" s="269"/>
      <c r="RVK237" s="269"/>
      <c r="RVL237" s="269"/>
      <c r="RVM237" s="269"/>
      <c r="RVN237" s="269"/>
      <c r="RVO237" s="269"/>
      <c r="RVP237" s="269"/>
      <c r="RVQ237" s="269"/>
      <c r="RVR237" s="269"/>
      <c r="RVS237" s="269"/>
      <c r="RVT237" s="269"/>
      <c r="RVU237" s="269"/>
      <c r="RVV237" s="269"/>
      <c r="RVW237" s="269"/>
      <c r="RVX237" s="269"/>
      <c r="RVY237" s="269"/>
      <c r="RVZ237" s="269"/>
      <c r="RWA237" s="269"/>
      <c r="RWB237" s="269"/>
      <c r="RWC237" s="269"/>
      <c r="RWD237" s="269"/>
      <c r="RWE237" s="269"/>
      <c r="RWF237" s="269"/>
      <c r="RWG237" s="269"/>
      <c r="RWH237" s="269"/>
      <c r="RWI237" s="269"/>
      <c r="RWJ237" s="269"/>
      <c r="RWK237" s="269"/>
      <c r="RWL237" s="269"/>
      <c r="RWM237" s="269"/>
      <c r="RWN237" s="269"/>
      <c r="RWO237" s="269"/>
      <c r="RWP237" s="269"/>
      <c r="RWQ237" s="269"/>
      <c r="RWR237" s="269"/>
      <c r="RWS237" s="269"/>
      <c r="RWT237" s="269"/>
      <c r="RWU237" s="269"/>
      <c r="RWV237" s="269"/>
      <c r="RWW237" s="269"/>
      <c r="RWX237" s="269"/>
      <c r="RWY237" s="269"/>
      <c r="RWZ237" s="269"/>
      <c r="RXA237" s="269"/>
      <c r="RXB237" s="269"/>
      <c r="RXC237" s="269"/>
      <c r="RXD237" s="269"/>
      <c r="RXE237" s="269"/>
      <c r="RXF237" s="269"/>
      <c r="RXG237" s="269"/>
      <c r="RXH237" s="269"/>
      <c r="RXI237" s="269"/>
      <c r="RXJ237" s="269"/>
      <c r="RXK237" s="269"/>
      <c r="RXL237" s="269"/>
      <c r="RXM237" s="269"/>
      <c r="RXN237" s="269"/>
      <c r="RXO237" s="269"/>
      <c r="RXP237" s="269"/>
      <c r="RXQ237" s="269"/>
      <c r="RXR237" s="269"/>
      <c r="RXS237" s="269"/>
      <c r="RXT237" s="269"/>
      <c r="RXU237" s="269"/>
      <c r="RXV237" s="269"/>
      <c r="RXW237" s="269"/>
      <c r="RXX237" s="269"/>
      <c r="RXY237" s="269"/>
      <c r="RXZ237" s="269"/>
      <c r="RYA237" s="269"/>
      <c r="RYB237" s="269"/>
      <c r="RYC237" s="269"/>
      <c r="RYD237" s="269"/>
      <c r="RYE237" s="269"/>
      <c r="RYF237" s="269"/>
      <c r="RYG237" s="269"/>
      <c r="RYH237" s="269"/>
      <c r="RYI237" s="269"/>
      <c r="RYJ237" s="269"/>
      <c r="RYK237" s="269"/>
      <c r="RYL237" s="269"/>
      <c r="RYM237" s="269"/>
      <c r="RYN237" s="269"/>
      <c r="RYO237" s="269"/>
      <c r="RYP237" s="269"/>
      <c r="RYQ237" s="269"/>
      <c r="RYR237" s="269"/>
      <c r="RYS237" s="269"/>
      <c r="RYT237" s="269"/>
      <c r="RYU237" s="269"/>
      <c r="RYV237" s="269"/>
      <c r="RYW237" s="269"/>
      <c r="RYX237" s="269"/>
      <c r="RYY237" s="269"/>
      <c r="RYZ237" s="269"/>
      <c r="RZA237" s="269"/>
      <c r="RZB237" s="269"/>
      <c r="RZC237" s="269"/>
      <c r="RZD237" s="269"/>
      <c r="RZE237" s="269"/>
      <c r="RZF237" s="269"/>
      <c r="RZG237" s="269"/>
      <c r="RZH237" s="269"/>
      <c r="RZI237" s="269"/>
      <c r="RZJ237" s="269"/>
      <c r="RZK237" s="269"/>
      <c r="RZL237" s="269"/>
      <c r="RZM237" s="269"/>
      <c r="RZN237" s="269"/>
      <c r="RZO237" s="269"/>
      <c r="RZP237" s="269"/>
      <c r="RZQ237" s="269"/>
      <c r="RZR237" s="269"/>
      <c r="RZS237" s="269"/>
      <c r="RZT237" s="269"/>
      <c r="RZU237" s="269"/>
      <c r="RZV237" s="269"/>
      <c r="RZW237" s="269"/>
      <c r="RZX237" s="269"/>
      <c r="RZY237" s="269"/>
      <c r="RZZ237" s="269"/>
      <c r="SAA237" s="269"/>
      <c r="SAB237" s="269"/>
      <c r="SAC237" s="269"/>
      <c r="SAD237" s="269"/>
      <c r="SAE237" s="269"/>
      <c r="SAF237" s="269"/>
      <c r="SAG237" s="269"/>
      <c r="SAH237" s="269"/>
      <c r="SAI237" s="269"/>
      <c r="SAJ237" s="269"/>
      <c r="SAK237" s="269"/>
      <c r="SAL237" s="269"/>
      <c r="SAM237" s="269"/>
      <c r="SAN237" s="269"/>
      <c r="SAO237" s="269"/>
      <c r="SAP237" s="269"/>
      <c r="SAQ237" s="269"/>
      <c r="SAR237" s="269"/>
      <c r="SAS237" s="269"/>
      <c r="SAT237" s="269"/>
      <c r="SAU237" s="269"/>
      <c r="SAV237" s="269"/>
      <c r="SAW237" s="269"/>
      <c r="SAX237" s="269"/>
      <c r="SAY237" s="269"/>
      <c r="SAZ237" s="269"/>
      <c r="SBA237" s="269"/>
      <c r="SBB237" s="269"/>
      <c r="SBC237" s="269"/>
      <c r="SBD237" s="269"/>
      <c r="SBE237" s="269"/>
      <c r="SBF237" s="269"/>
      <c r="SBG237" s="269"/>
      <c r="SBH237" s="269"/>
      <c r="SBI237" s="269"/>
      <c r="SBJ237" s="269"/>
      <c r="SBK237" s="269"/>
      <c r="SBL237" s="269"/>
      <c r="SBM237" s="269"/>
      <c r="SBN237" s="269"/>
      <c r="SBO237" s="269"/>
      <c r="SBP237" s="269"/>
      <c r="SBQ237" s="269"/>
      <c r="SBR237" s="269"/>
      <c r="SBS237" s="269"/>
      <c r="SBT237" s="269"/>
      <c r="SBU237" s="269"/>
      <c r="SBV237" s="269"/>
      <c r="SBW237" s="269"/>
      <c r="SBX237" s="269"/>
      <c r="SBY237" s="269"/>
      <c r="SBZ237" s="269"/>
      <c r="SCA237" s="269"/>
      <c r="SCB237" s="269"/>
      <c r="SCC237" s="269"/>
      <c r="SCD237" s="269"/>
      <c r="SCE237" s="269"/>
      <c r="SCF237" s="269"/>
      <c r="SCG237" s="269"/>
      <c r="SCH237" s="269"/>
      <c r="SCI237" s="269"/>
      <c r="SCJ237" s="269"/>
      <c r="SCK237" s="269"/>
      <c r="SCL237" s="269"/>
      <c r="SCM237" s="269"/>
      <c r="SCN237" s="269"/>
      <c r="SCO237" s="269"/>
      <c r="SCP237" s="269"/>
      <c r="SCQ237" s="269"/>
      <c r="SCR237" s="269"/>
      <c r="SCS237" s="269"/>
      <c r="SCT237" s="269"/>
      <c r="SCU237" s="269"/>
      <c r="SCV237" s="269"/>
      <c r="SCW237" s="269"/>
      <c r="SCX237" s="269"/>
      <c r="SCY237" s="269"/>
      <c r="SCZ237" s="269"/>
      <c r="SDA237" s="269"/>
      <c r="SDB237" s="269"/>
      <c r="SDC237" s="269"/>
      <c r="SDD237" s="269"/>
      <c r="SDE237" s="269"/>
      <c r="SDF237" s="269"/>
      <c r="SDG237" s="269"/>
      <c r="SDH237" s="269"/>
      <c r="SDI237" s="269"/>
      <c r="SDJ237" s="269"/>
      <c r="SDK237" s="269"/>
      <c r="SDL237" s="269"/>
      <c r="SDM237" s="269"/>
      <c r="SDN237" s="269"/>
      <c r="SDO237" s="269"/>
      <c r="SDP237" s="269"/>
      <c r="SDQ237" s="269"/>
      <c r="SDR237" s="269"/>
      <c r="SDS237" s="269"/>
      <c r="SDT237" s="269"/>
      <c r="SDU237" s="269"/>
      <c r="SDV237" s="269"/>
      <c r="SDW237" s="269"/>
      <c r="SDX237" s="269"/>
      <c r="SDY237" s="269"/>
      <c r="SDZ237" s="269"/>
      <c r="SEA237" s="269"/>
      <c r="SEB237" s="269"/>
      <c r="SEC237" s="269"/>
      <c r="SED237" s="269"/>
      <c r="SEE237" s="269"/>
      <c r="SEF237" s="269"/>
      <c r="SEG237" s="269"/>
      <c r="SEH237" s="269"/>
      <c r="SEI237" s="269"/>
      <c r="SEJ237" s="269"/>
      <c r="SEK237" s="269"/>
      <c r="SEL237" s="269"/>
      <c r="SEM237" s="269"/>
      <c r="SEN237" s="269"/>
      <c r="SEO237" s="269"/>
      <c r="SEP237" s="269"/>
      <c r="SEQ237" s="269"/>
      <c r="SER237" s="269"/>
      <c r="SES237" s="269"/>
      <c r="SET237" s="269"/>
      <c r="SEU237" s="269"/>
      <c r="SEV237" s="269"/>
      <c r="SEW237" s="269"/>
      <c r="SEX237" s="269"/>
      <c r="SEY237" s="269"/>
      <c r="SEZ237" s="269"/>
      <c r="SFA237" s="269"/>
      <c r="SFB237" s="269"/>
      <c r="SFC237" s="269"/>
      <c r="SFD237" s="269"/>
      <c r="SFE237" s="269"/>
      <c r="SFF237" s="269"/>
      <c r="SFG237" s="269"/>
      <c r="SFH237" s="269"/>
      <c r="SFI237" s="269"/>
      <c r="SFJ237" s="269"/>
      <c r="SFK237" s="269"/>
      <c r="SFL237" s="269"/>
      <c r="SFM237" s="269"/>
      <c r="SFN237" s="269"/>
      <c r="SFO237" s="269"/>
      <c r="SFP237" s="269"/>
      <c r="SFQ237" s="269"/>
      <c r="SFR237" s="269"/>
      <c r="SFS237" s="269"/>
      <c r="SFT237" s="269"/>
      <c r="SFU237" s="269"/>
      <c r="SFV237" s="269"/>
      <c r="SFW237" s="269"/>
      <c r="SFX237" s="269"/>
      <c r="SFY237" s="269"/>
      <c r="SFZ237" s="269"/>
      <c r="SGA237" s="269"/>
      <c r="SGB237" s="269"/>
      <c r="SGC237" s="269"/>
      <c r="SGD237" s="269"/>
      <c r="SGE237" s="269"/>
      <c r="SGF237" s="269"/>
      <c r="SGG237" s="269"/>
      <c r="SGH237" s="269"/>
      <c r="SGI237" s="269"/>
      <c r="SGJ237" s="269"/>
      <c r="SGK237" s="269"/>
      <c r="SGL237" s="269"/>
      <c r="SGM237" s="269"/>
      <c r="SGN237" s="269"/>
      <c r="SGO237" s="269"/>
      <c r="SGP237" s="269"/>
      <c r="SGQ237" s="269"/>
      <c r="SGR237" s="269"/>
      <c r="SGS237" s="269"/>
      <c r="SGT237" s="269"/>
      <c r="SGU237" s="269"/>
      <c r="SGV237" s="269"/>
      <c r="SGW237" s="269"/>
      <c r="SGX237" s="269"/>
      <c r="SGY237" s="269"/>
      <c r="SGZ237" s="269"/>
      <c r="SHA237" s="269"/>
      <c r="SHB237" s="269"/>
      <c r="SHC237" s="269"/>
      <c r="SHD237" s="269"/>
      <c r="SHE237" s="269"/>
      <c r="SHF237" s="269"/>
      <c r="SHG237" s="269"/>
      <c r="SHH237" s="269"/>
      <c r="SHI237" s="269"/>
      <c r="SHJ237" s="269"/>
      <c r="SHK237" s="269"/>
      <c r="SHL237" s="269"/>
      <c r="SHM237" s="269"/>
      <c r="SHN237" s="269"/>
      <c r="SHO237" s="269"/>
      <c r="SHP237" s="269"/>
      <c r="SHQ237" s="269"/>
      <c r="SHR237" s="269"/>
      <c r="SHS237" s="269"/>
      <c r="SHT237" s="269"/>
      <c r="SHU237" s="269"/>
      <c r="SHV237" s="269"/>
      <c r="SHW237" s="269"/>
      <c r="SHX237" s="269"/>
      <c r="SHY237" s="269"/>
      <c r="SHZ237" s="269"/>
      <c r="SIA237" s="269"/>
      <c r="SIB237" s="269"/>
      <c r="SIC237" s="269"/>
      <c r="SID237" s="269"/>
      <c r="SIE237" s="269"/>
      <c r="SIF237" s="269"/>
      <c r="SIG237" s="269"/>
      <c r="SIH237" s="269"/>
      <c r="SII237" s="269"/>
      <c r="SIJ237" s="269"/>
      <c r="SIK237" s="269"/>
      <c r="SIL237" s="269"/>
      <c r="SIM237" s="269"/>
      <c r="SIN237" s="269"/>
      <c r="SIO237" s="269"/>
      <c r="SIP237" s="269"/>
      <c r="SIQ237" s="269"/>
      <c r="SIR237" s="269"/>
      <c r="SIS237" s="269"/>
      <c r="SIT237" s="269"/>
      <c r="SIU237" s="269"/>
      <c r="SIV237" s="269"/>
      <c r="SIW237" s="269"/>
      <c r="SIX237" s="269"/>
      <c r="SIY237" s="269"/>
      <c r="SIZ237" s="269"/>
      <c r="SJA237" s="269"/>
      <c r="SJB237" s="269"/>
      <c r="SJC237" s="269"/>
      <c r="SJD237" s="269"/>
      <c r="SJE237" s="269"/>
      <c r="SJF237" s="269"/>
      <c r="SJG237" s="269"/>
      <c r="SJH237" s="269"/>
      <c r="SJI237" s="269"/>
      <c r="SJJ237" s="269"/>
      <c r="SJK237" s="269"/>
      <c r="SJL237" s="269"/>
      <c r="SJM237" s="269"/>
      <c r="SJN237" s="269"/>
      <c r="SJO237" s="269"/>
      <c r="SJP237" s="269"/>
      <c r="SJQ237" s="269"/>
      <c r="SJR237" s="269"/>
      <c r="SJS237" s="269"/>
      <c r="SJT237" s="269"/>
      <c r="SJU237" s="269"/>
      <c r="SJV237" s="269"/>
      <c r="SJW237" s="269"/>
      <c r="SJX237" s="269"/>
      <c r="SJY237" s="269"/>
      <c r="SJZ237" s="269"/>
      <c r="SKA237" s="269"/>
      <c r="SKB237" s="269"/>
      <c r="SKC237" s="269"/>
      <c r="SKD237" s="269"/>
      <c r="SKE237" s="269"/>
      <c r="SKF237" s="269"/>
      <c r="SKG237" s="269"/>
      <c r="SKH237" s="269"/>
      <c r="SKI237" s="269"/>
      <c r="SKJ237" s="269"/>
      <c r="SKK237" s="269"/>
      <c r="SKL237" s="269"/>
      <c r="SKM237" s="269"/>
      <c r="SKN237" s="269"/>
      <c r="SKO237" s="269"/>
      <c r="SKP237" s="269"/>
      <c r="SKQ237" s="269"/>
      <c r="SKR237" s="269"/>
      <c r="SKS237" s="269"/>
      <c r="SKT237" s="269"/>
      <c r="SKU237" s="269"/>
      <c r="SKV237" s="269"/>
      <c r="SKW237" s="269"/>
      <c r="SKX237" s="269"/>
      <c r="SKY237" s="269"/>
      <c r="SKZ237" s="269"/>
      <c r="SLA237" s="269"/>
      <c r="SLB237" s="269"/>
      <c r="SLC237" s="269"/>
      <c r="SLD237" s="269"/>
      <c r="SLE237" s="269"/>
      <c r="SLF237" s="269"/>
      <c r="SLG237" s="269"/>
      <c r="SLH237" s="269"/>
      <c r="SLI237" s="269"/>
      <c r="SLJ237" s="269"/>
      <c r="SLK237" s="269"/>
      <c r="SLL237" s="269"/>
      <c r="SLM237" s="269"/>
      <c r="SLN237" s="269"/>
      <c r="SLO237" s="269"/>
      <c r="SLP237" s="269"/>
      <c r="SLQ237" s="269"/>
      <c r="SLR237" s="269"/>
      <c r="SLS237" s="269"/>
      <c r="SLT237" s="269"/>
      <c r="SLU237" s="269"/>
      <c r="SLV237" s="269"/>
      <c r="SLW237" s="269"/>
      <c r="SLX237" s="269"/>
      <c r="SLY237" s="269"/>
      <c r="SLZ237" s="269"/>
      <c r="SMA237" s="269"/>
      <c r="SMB237" s="269"/>
      <c r="SMC237" s="269"/>
      <c r="SMD237" s="269"/>
      <c r="SME237" s="269"/>
      <c r="SMF237" s="269"/>
      <c r="SMG237" s="269"/>
      <c r="SMH237" s="269"/>
      <c r="SMI237" s="269"/>
      <c r="SMJ237" s="269"/>
      <c r="SMK237" s="269"/>
      <c r="SML237" s="269"/>
      <c r="SMM237" s="269"/>
      <c r="SMN237" s="269"/>
      <c r="SMO237" s="269"/>
      <c r="SMP237" s="269"/>
      <c r="SMQ237" s="269"/>
      <c r="SMR237" s="269"/>
      <c r="SMS237" s="269"/>
      <c r="SMT237" s="269"/>
      <c r="SMU237" s="269"/>
      <c r="SMV237" s="269"/>
      <c r="SMW237" s="269"/>
      <c r="SMX237" s="269"/>
      <c r="SMY237" s="269"/>
      <c r="SMZ237" s="269"/>
      <c r="SNA237" s="269"/>
      <c r="SNB237" s="269"/>
      <c r="SNC237" s="269"/>
      <c r="SND237" s="269"/>
      <c r="SNE237" s="269"/>
      <c r="SNF237" s="269"/>
      <c r="SNG237" s="269"/>
      <c r="SNH237" s="269"/>
      <c r="SNI237" s="269"/>
      <c r="SNJ237" s="269"/>
      <c r="SNK237" s="269"/>
      <c r="SNL237" s="269"/>
      <c r="SNM237" s="269"/>
      <c r="SNN237" s="269"/>
      <c r="SNO237" s="269"/>
      <c r="SNP237" s="269"/>
      <c r="SNQ237" s="269"/>
      <c r="SNR237" s="269"/>
      <c r="SNS237" s="269"/>
      <c r="SNT237" s="269"/>
      <c r="SNU237" s="269"/>
      <c r="SNV237" s="269"/>
      <c r="SNW237" s="269"/>
      <c r="SNX237" s="269"/>
      <c r="SNY237" s="269"/>
      <c r="SNZ237" s="269"/>
      <c r="SOA237" s="269"/>
      <c r="SOB237" s="269"/>
      <c r="SOC237" s="269"/>
      <c r="SOD237" s="269"/>
      <c r="SOE237" s="269"/>
      <c r="SOF237" s="269"/>
      <c r="SOG237" s="269"/>
      <c r="SOH237" s="269"/>
      <c r="SOI237" s="269"/>
      <c r="SOJ237" s="269"/>
      <c r="SOK237" s="269"/>
      <c r="SOL237" s="269"/>
      <c r="SOM237" s="269"/>
      <c r="SON237" s="269"/>
      <c r="SOO237" s="269"/>
      <c r="SOP237" s="269"/>
      <c r="SOQ237" s="269"/>
      <c r="SOR237" s="269"/>
      <c r="SOS237" s="269"/>
      <c r="SOT237" s="269"/>
      <c r="SOU237" s="269"/>
      <c r="SOV237" s="269"/>
      <c r="SOW237" s="269"/>
      <c r="SOX237" s="269"/>
      <c r="SOY237" s="269"/>
      <c r="SOZ237" s="269"/>
      <c r="SPA237" s="269"/>
      <c r="SPB237" s="269"/>
      <c r="SPC237" s="269"/>
      <c r="SPD237" s="269"/>
      <c r="SPE237" s="269"/>
      <c r="SPF237" s="269"/>
      <c r="SPG237" s="269"/>
      <c r="SPH237" s="269"/>
      <c r="SPI237" s="269"/>
      <c r="SPJ237" s="269"/>
      <c r="SPK237" s="269"/>
      <c r="SPL237" s="269"/>
      <c r="SPM237" s="269"/>
      <c r="SPN237" s="269"/>
      <c r="SPO237" s="269"/>
      <c r="SPP237" s="269"/>
      <c r="SPQ237" s="269"/>
      <c r="SPR237" s="269"/>
      <c r="SPS237" s="269"/>
      <c r="SPT237" s="269"/>
      <c r="SPU237" s="269"/>
      <c r="SPV237" s="269"/>
      <c r="SPW237" s="269"/>
      <c r="SPX237" s="269"/>
      <c r="SPY237" s="269"/>
      <c r="SPZ237" s="269"/>
      <c r="SQA237" s="269"/>
      <c r="SQB237" s="269"/>
      <c r="SQC237" s="269"/>
      <c r="SQD237" s="269"/>
      <c r="SQE237" s="269"/>
      <c r="SQF237" s="269"/>
      <c r="SQG237" s="269"/>
      <c r="SQH237" s="269"/>
      <c r="SQI237" s="269"/>
      <c r="SQJ237" s="269"/>
      <c r="SQK237" s="269"/>
      <c r="SQL237" s="269"/>
      <c r="SQM237" s="269"/>
      <c r="SQN237" s="269"/>
      <c r="SQO237" s="269"/>
      <c r="SQP237" s="269"/>
      <c r="SQQ237" s="269"/>
      <c r="SQR237" s="269"/>
      <c r="SQS237" s="269"/>
      <c r="SQT237" s="269"/>
      <c r="SQU237" s="269"/>
      <c r="SQV237" s="269"/>
      <c r="SQW237" s="269"/>
      <c r="SQX237" s="269"/>
      <c r="SQY237" s="269"/>
      <c r="SQZ237" s="269"/>
      <c r="SRA237" s="269"/>
      <c r="SRB237" s="269"/>
      <c r="SRC237" s="269"/>
      <c r="SRD237" s="269"/>
      <c r="SRE237" s="269"/>
      <c r="SRF237" s="269"/>
      <c r="SRG237" s="269"/>
      <c r="SRH237" s="269"/>
      <c r="SRI237" s="269"/>
      <c r="SRJ237" s="269"/>
      <c r="SRK237" s="269"/>
      <c r="SRL237" s="269"/>
      <c r="SRM237" s="269"/>
      <c r="SRN237" s="269"/>
      <c r="SRO237" s="269"/>
      <c r="SRP237" s="269"/>
      <c r="SRQ237" s="269"/>
      <c r="SRR237" s="269"/>
      <c r="SRS237" s="269"/>
      <c r="SRT237" s="269"/>
      <c r="SRU237" s="269"/>
      <c r="SRV237" s="269"/>
      <c r="SRW237" s="269"/>
      <c r="SRX237" s="269"/>
      <c r="SRY237" s="269"/>
      <c r="SRZ237" s="269"/>
      <c r="SSA237" s="269"/>
      <c r="SSB237" s="269"/>
      <c r="SSC237" s="269"/>
      <c r="SSD237" s="269"/>
      <c r="SSE237" s="269"/>
      <c r="SSF237" s="269"/>
      <c r="SSG237" s="269"/>
      <c r="SSH237" s="269"/>
      <c r="SSI237" s="269"/>
      <c r="SSJ237" s="269"/>
      <c r="SSK237" s="269"/>
      <c r="SSL237" s="269"/>
      <c r="SSM237" s="269"/>
      <c r="SSN237" s="269"/>
      <c r="SSO237" s="269"/>
      <c r="SSP237" s="269"/>
      <c r="SSQ237" s="269"/>
      <c r="SSR237" s="269"/>
      <c r="SSS237" s="269"/>
      <c r="SST237" s="269"/>
      <c r="SSU237" s="269"/>
      <c r="SSV237" s="269"/>
      <c r="SSW237" s="269"/>
      <c r="SSX237" s="269"/>
      <c r="SSY237" s="269"/>
      <c r="SSZ237" s="269"/>
      <c r="STA237" s="269"/>
      <c r="STB237" s="269"/>
      <c r="STC237" s="269"/>
      <c r="STD237" s="269"/>
      <c r="STE237" s="269"/>
      <c r="STF237" s="269"/>
      <c r="STG237" s="269"/>
      <c r="STH237" s="269"/>
      <c r="STI237" s="269"/>
      <c r="STJ237" s="269"/>
      <c r="STK237" s="269"/>
      <c r="STL237" s="269"/>
      <c r="STM237" s="269"/>
      <c r="STN237" s="269"/>
      <c r="STO237" s="269"/>
      <c r="STP237" s="269"/>
      <c r="STQ237" s="269"/>
      <c r="STR237" s="269"/>
      <c r="STS237" s="269"/>
      <c r="STT237" s="269"/>
      <c r="STU237" s="269"/>
      <c r="STV237" s="269"/>
      <c r="STW237" s="269"/>
      <c r="STX237" s="269"/>
      <c r="STY237" s="269"/>
      <c r="STZ237" s="269"/>
      <c r="SUA237" s="269"/>
      <c r="SUB237" s="269"/>
      <c r="SUC237" s="269"/>
      <c r="SUD237" s="269"/>
      <c r="SUE237" s="269"/>
      <c r="SUF237" s="269"/>
      <c r="SUG237" s="269"/>
      <c r="SUH237" s="269"/>
      <c r="SUI237" s="269"/>
      <c r="SUJ237" s="269"/>
      <c r="SUK237" s="269"/>
      <c r="SUL237" s="269"/>
      <c r="SUM237" s="269"/>
      <c r="SUN237" s="269"/>
      <c r="SUO237" s="269"/>
      <c r="SUP237" s="269"/>
      <c r="SUQ237" s="269"/>
      <c r="SUR237" s="269"/>
      <c r="SUS237" s="269"/>
      <c r="SUT237" s="269"/>
      <c r="SUU237" s="269"/>
      <c r="SUV237" s="269"/>
      <c r="SUW237" s="269"/>
      <c r="SUX237" s="269"/>
      <c r="SUY237" s="269"/>
      <c r="SUZ237" s="269"/>
      <c r="SVA237" s="269"/>
      <c r="SVB237" s="269"/>
      <c r="SVC237" s="269"/>
      <c r="SVD237" s="269"/>
      <c r="SVE237" s="269"/>
      <c r="SVF237" s="269"/>
      <c r="SVG237" s="269"/>
      <c r="SVH237" s="269"/>
      <c r="SVI237" s="269"/>
      <c r="SVJ237" s="269"/>
      <c r="SVK237" s="269"/>
      <c r="SVL237" s="269"/>
      <c r="SVM237" s="269"/>
      <c r="SVN237" s="269"/>
      <c r="SVO237" s="269"/>
      <c r="SVP237" s="269"/>
      <c r="SVQ237" s="269"/>
      <c r="SVR237" s="269"/>
      <c r="SVS237" s="269"/>
      <c r="SVT237" s="269"/>
      <c r="SVU237" s="269"/>
      <c r="SVV237" s="269"/>
      <c r="SVW237" s="269"/>
      <c r="SVX237" s="269"/>
      <c r="SVY237" s="269"/>
      <c r="SVZ237" s="269"/>
      <c r="SWA237" s="269"/>
      <c r="SWB237" s="269"/>
      <c r="SWC237" s="269"/>
      <c r="SWD237" s="269"/>
      <c r="SWE237" s="269"/>
      <c r="SWF237" s="269"/>
      <c r="SWG237" s="269"/>
      <c r="SWH237" s="269"/>
      <c r="SWI237" s="269"/>
      <c r="SWJ237" s="269"/>
      <c r="SWK237" s="269"/>
      <c r="SWL237" s="269"/>
      <c r="SWM237" s="269"/>
      <c r="SWN237" s="269"/>
      <c r="SWO237" s="269"/>
      <c r="SWP237" s="269"/>
      <c r="SWQ237" s="269"/>
      <c r="SWR237" s="269"/>
      <c r="SWS237" s="269"/>
      <c r="SWT237" s="269"/>
      <c r="SWU237" s="269"/>
      <c r="SWV237" s="269"/>
      <c r="SWW237" s="269"/>
      <c r="SWX237" s="269"/>
      <c r="SWY237" s="269"/>
      <c r="SWZ237" s="269"/>
      <c r="SXA237" s="269"/>
      <c r="SXB237" s="269"/>
      <c r="SXC237" s="269"/>
      <c r="SXD237" s="269"/>
      <c r="SXE237" s="269"/>
      <c r="SXF237" s="269"/>
      <c r="SXG237" s="269"/>
      <c r="SXH237" s="269"/>
      <c r="SXI237" s="269"/>
      <c r="SXJ237" s="269"/>
      <c r="SXK237" s="269"/>
      <c r="SXL237" s="269"/>
      <c r="SXM237" s="269"/>
      <c r="SXN237" s="269"/>
      <c r="SXO237" s="269"/>
      <c r="SXP237" s="269"/>
      <c r="SXQ237" s="269"/>
      <c r="SXR237" s="269"/>
      <c r="SXS237" s="269"/>
      <c r="SXT237" s="269"/>
      <c r="SXU237" s="269"/>
      <c r="SXV237" s="269"/>
      <c r="SXW237" s="269"/>
      <c r="SXX237" s="269"/>
      <c r="SXY237" s="269"/>
      <c r="SXZ237" s="269"/>
      <c r="SYA237" s="269"/>
      <c r="SYB237" s="269"/>
      <c r="SYC237" s="269"/>
      <c r="SYD237" s="269"/>
      <c r="SYE237" s="269"/>
      <c r="SYF237" s="269"/>
      <c r="SYG237" s="269"/>
      <c r="SYH237" s="269"/>
      <c r="SYI237" s="269"/>
      <c r="SYJ237" s="269"/>
      <c r="SYK237" s="269"/>
      <c r="SYL237" s="269"/>
      <c r="SYM237" s="269"/>
      <c r="SYN237" s="269"/>
      <c r="SYO237" s="269"/>
      <c r="SYP237" s="269"/>
      <c r="SYQ237" s="269"/>
      <c r="SYR237" s="269"/>
      <c r="SYS237" s="269"/>
      <c r="SYT237" s="269"/>
      <c r="SYU237" s="269"/>
      <c r="SYV237" s="269"/>
      <c r="SYW237" s="269"/>
      <c r="SYX237" s="269"/>
      <c r="SYY237" s="269"/>
      <c r="SYZ237" s="269"/>
      <c r="SZA237" s="269"/>
      <c r="SZB237" s="269"/>
      <c r="SZC237" s="269"/>
      <c r="SZD237" s="269"/>
      <c r="SZE237" s="269"/>
      <c r="SZF237" s="269"/>
      <c r="SZG237" s="269"/>
      <c r="SZH237" s="269"/>
      <c r="SZI237" s="269"/>
      <c r="SZJ237" s="269"/>
      <c r="SZK237" s="269"/>
      <c r="SZL237" s="269"/>
      <c r="SZM237" s="269"/>
      <c r="SZN237" s="269"/>
      <c r="SZO237" s="269"/>
      <c r="SZP237" s="269"/>
      <c r="SZQ237" s="269"/>
      <c r="SZR237" s="269"/>
      <c r="SZS237" s="269"/>
      <c r="SZT237" s="269"/>
      <c r="SZU237" s="269"/>
      <c r="SZV237" s="269"/>
      <c r="SZW237" s="269"/>
      <c r="SZX237" s="269"/>
      <c r="SZY237" s="269"/>
      <c r="SZZ237" s="269"/>
      <c r="TAA237" s="269"/>
      <c r="TAB237" s="269"/>
      <c r="TAC237" s="269"/>
      <c r="TAD237" s="269"/>
      <c r="TAE237" s="269"/>
      <c r="TAF237" s="269"/>
      <c r="TAG237" s="269"/>
      <c r="TAH237" s="269"/>
      <c r="TAI237" s="269"/>
      <c r="TAJ237" s="269"/>
      <c r="TAK237" s="269"/>
      <c r="TAL237" s="269"/>
      <c r="TAM237" s="269"/>
      <c r="TAN237" s="269"/>
      <c r="TAO237" s="269"/>
      <c r="TAP237" s="269"/>
      <c r="TAQ237" s="269"/>
      <c r="TAR237" s="269"/>
      <c r="TAS237" s="269"/>
      <c r="TAT237" s="269"/>
      <c r="TAU237" s="269"/>
      <c r="TAV237" s="269"/>
      <c r="TAW237" s="269"/>
      <c r="TAX237" s="269"/>
      <c r="TAY237" s="269"/>
      <c r="TAZ237" s="269"/>
      <c r="TBA237" s="269"/>
      <c r="TBB237" s="269"/>
      <c r="TBC237" s="269"/>
      <c r="TBD237" s="269"/>
      <c r="TBE237" s="269"/>
      <c r="TBF237" s="269"/>
      <c r="TBG237" s="269"/>
      <c r="TBH237" s="269"/>
      <c r="TBI237" s="269"/>
      <c r="TBJ237" s="269"/>
      <c r="TBK237" s="269"/>
      <c r="TBL237" s="269"/>
      <c r="TBM237" s="269"/>
      <c r="TBN237" s="269"/>
      <c r="TBO237" s="269"/>
      <c r="TBP237" s="269"/>
      <c r="TBQ237" s="269"/>
      <c r="TBR237" s="269"/>
      <c r="TBS237" s="269"/>
      <c r="TBT237" s="269"/>
      <c r="TBU237" s="269"/>
      <c r="TBV237" s="269"/>
      <c r="TBW237" s="269"/>
      <c r="TBX237" s="269"/>
      <c r="TBY237" s="269"/>
      <c r="TBZ237" s="269"/>
      <c r="TCA237" s="269"/>
      <c r="TCB237" s="269"/>
      <c r="TCC237" s="269"/>
      <c r="TCD237" s="269"/>
      <c r="TCE237" s="269"/>
      <c r="TCF237" s="269"/>
      <c r="TCG237" s="269"/>
      <c r="TCH237" s="269"/>
      <c r="TCI237" s="269"/>
      <c r="TCJ237" s="269"/>
      <c r="TCK237" s="269"/>
      <c r="TCL237" s="269"/>
      <c r="TCM237" s="269"/>
      <c r="TCN237" s="269"/>
      <c r="TCO237" s="269"/>
      <c r="TCP237" s="269"/>
      <c r="TCQ237" s="269"/>
      <c r="TCR237" s="269"/>
      <c r="TCS237" s="269"/>
      <c r="TCT237" s="269"/>
      <c r="TCU237" s="269"/>
      <c r="TCV237" s="269"/>
      <c r="TCW237" s="269"/>
      <c r="TCX237" s="269"/>
      <c r="TCY237" s="269"/>
      <c r="TCZ237" s="269"/>
      <c r="TDA237" s="269"/>
      <c r="TDB237" s="269"/>
      <c r="TDC237" s="269"/>
      <c r="TDD237" s="269"/>
      <c r="TDE237" s="269"/>
      <c r="TDF237" s="269"/>
      <c r="TDG237" s="269"/>
      <c r="TDH237" s="269"/>
      <c r="TDI237" s="269"/>
      <c r="TDJ237" s="269"/>
      <c r="TDK237" s="269"/>
      <c r="TDL237" s="269"/>
      <c r="TDM237" s="269"/>
      <c r="TDN237" s="269"/>
      <c r="TDO237" s="269"/>
      <c r="TDP237" s="269"/>
      <c r="TDQ237" s="269"/>
      <c r="TDR237" s="269"/>
      <c r="TDS237" s="269"/>
      <c r="TDT237" s="269"/>
      <c r="TDU237" s="269"/>
      <c r="TDV237" s="269"/>
      <c r="TDW237" s="269"/>
      <c r="TDX237" s="269"/>
      <c r="TDY237" s="269"/>
      <c r="TDZ237" s="269"/>
      <c r="TEA237" s="269"/>
      <c r="TEB237" s="269"/>
      <c r="TEC237" s="269"/>
      <c r="TED237" s="269"/>
      <c r="TEE237" s="269"/>
      <c r="TEF237" s="269"/>
      <c r="TEG237" s="269"/>
      <c r="TEH237" s="269"/>
      <c r="TEI237" s="269"/>
      <c r="TEJ237" s="269"/>
      <c r="TEK237" s="269"/>
      <c r="TEL237" s="269"/>
      <c r="TEM237" s="269"/>
      <c r="TEN237" s="269"/>
      <c r="TEO237" s="269"/>
      <c r="TEP237" s="269"/>
      <c r="TEQ237" s="269"/>
      <c r="TER237" s="269"/>
      <c r="TES237" s="269"/>
      <c r="TET237" s="269"/>
      <c r="TEU237" s="269"/>
      <c r="TEV237" s="269"/>
      <c r="TEW237" s="269"/>
      <c r="TEX237" s="269"/>
      <c r="TEY237" s="269"/>
      <c r="TEZ237" s="269"/>
      <c r="TFA237" s="269"/>
      <c r="TFB237" s="269"/>
      <c r="TFC237" s="269"/>
      <c r="TFD237" s="269"/>
      <c r="TFE237" s="269"/>
      <c r="TFF237" s="269"/>
      <c r="TFG237" s="269"/>
      <c r="TFH237" s="269"/>
      <c r="TFI237" s="269"/>
      <c r="TFJ237" s="269"/>
      <c r="TFK237" s="269"/>
      <c r="TFL237" s="269"/>
      <c r="TFM237" s="269"/>
      <c r="TFN237" s="269"/>
      <c r="TFO237" s="269"/>
      <c r="TFP237" s="269"/>
      <c r="TFQ237" s="269"/>
      <c r="TFR237" s="269"/>
      <c r="TFS237" s="269"/>
      <c r="TFT237" s="269"/>
      <c r="TFU237" s="269"/>
      <c r="TFV237" s="269"/>
      <c r="TFW237" s="269"/>
      <c r="TFX237" s="269"/>
      <c r="TFY237" s="269"/>
      <c r="TFZ237" s="269"/>
      <c r="TGA237" s="269"/>
      <c r="TGB237" s="269"/>
      <c r="TGC237" s="269"/>
      <c r="TGD237" s="269"/>
      <c r="TGE237" s="269"/>
      <c r="TGF237" s="269"/>
      <c r="TGG237" s="269"/>
      <c r="TGH237" s="269"/>
      <c r="TGI237" s="269"/>
      <c r="TGJ237" s="269"/>
      <c r="TGK237" s="269"/>
      <c r="TGL237" s="269"/>
      <c r="TGM237" s="269"/>
      <c r="TGN237" s="269"/>
      <c r="TGO237" s="269"/>
      <c r="TGP237" s="269"/>
      <c r="TGQ237" s="269"/>
      <c r="TGR237" s="269"/>
      <c r="TGS237" s="269"/>
      <c r="TGT237" s="269"/>
      <c r="TGU237" s="269"/>
      <c r="TGV237" s="269"/>
      <c r="TGW237" s="269"/>
      <c r="TGX237" s="269"/>
      <c r="TGY237" s="269"/>
      <c r="TGZ237" s="269"/>
      <c r="THA237" s="269"/>
      <c r="THB237" s="269"/>
      <c r="THC237" s="269"/>
      <c r="THD237" s="269"/>
      <c r="THE237" s="269"/>
      <c r="THF237" s="269"/>
      <c r="THG237" s="269"/>
      <c r="THH237" s="269"/>
      <c r="THI237" s="269"/>
      <c r="THJ237" s="269"/>
      <c r="THK237" s="269"/>
      <c r="THL237" s="269"/>
      <c r="THM237" s="269"/>
      <c r="THN237" s="269"/>
      <c r="THO237" s="269"/>
      <c r="THP237" s="269"/>
      <c r="THQ237" s="269"/>
      <c r="THR237" s="269"/>
      <c r="THS237" s="269"/>
      <c r="THT237" s="269"/>
      <c r="THU237" s="269"/>
      <c r="THV237" s="269"/>
      <c r="THW237" s="269"/>
      <c r="THX237" s="269"/>
      <c r="THY237" s="269"/>
      <c r="THZ237" s="269"/>
      <c r="TIA237" s="269"/>
      <c r="TIB237" s="269"/>
      <c r="TIC237" s="269"/>
      <c r="TID237" s="269"/>
      <c r="TIE237" s="269"/>
      <c r="TIF237" s="269"/>
      <c r="TIG237" s="269"/>
      <c r="TIH237" s="269"/>
      <c r="TII237" s="269"/>
      <c r="TIJ237" s="269"/>
      <c r="TIK237" s="269"/>
      <c r="TIL237" s="269"/>
      <c r="TIM237" s="269"/>
      <c r="TIN237" s="269"/>
      <c r="TIO237" s="269"/>
      <c r="TIP237" s="269"/>
      <c r="TIQ237" s="269"/>
      <c r="TIR237" s="269"/>
      <c r="TIS237" s="269"/>
      <c r="TIT237" s="269"/>
      <c r="TIU237" s="269"/>
      <c r="TIV237" s="269"/>
      <c r="TIW237" s="269"/>
      <c r="TIX237" s="269"/>
      <c r="TIY237" s="269"/>
      <c r="TIZ237" s="269"/>
      <c r="TJA237" s="269"/>
      <c r="TJB237" s="269"/>
      <c r="TJC237" s="269"/>
      <c r="TJD237" s="269"/>
      <c r="TJE237" s="269"/>
      <c r="TJF237" s="269"/>
      <c r="TJG237" s="269"/>
      <c r="TJH237" s="269"/>
      <c r="TJI237" s="269"/>
      <c r="TJJ237" s="269"/>
      <c r="TJK237" s="269"/>
      <c r="TJL237" s="269"/>
      <c r="TJM237" s="269"/>
      <c r="TJN237" s="269"/>
      <c r="TJO237" s="269"/>
      <c r="TJP237" s="269"/>
      <c r="TJQ237" s="269"/>
      <c r="TJR237" s="269"/>
      <c r="TJS237" s="269"/>
      <c r="TJT237" s="269"/>
      <c r="TJU237" s="269"/>
      <c r="TJV237" s="269"/>
      <c r="TJW237" s="269"/>
      <c r="TJX237" s="269"/>
      <c r="TJY237" s="269"/>
      <c r="TJZ237" s="269"/>
      <c r="TKA237" s="269"/>
      <c r="TKB237" s="269"/>
      <c r="TKC237" s="269"/>
      <c r="TKD237" s="269"/>
      <c r="TKE237" s="269"/>
      <c r="TKF237" s="269"/>
      <c r="TKG237" s="269"/>
      <c r="TKH237" s="269"/>
      <c r="TKI237" s="269"/>
      <c r="TKJ237" s="269"/>
      <c r="TKK237" s="269"/>
      <c r="TKL237" s="269"/>
      <c r="TKM237" s="269"/>
      <c r="TKN237" s="269"/>
      <c r="TKO237" s="269"/>
      <c r="TKP237" s="269"/>
      <c r="TKQ237" s="269"/>
      <c r="TKR237" s="269"/>
      <c r="TKS237" s="269"/>
      <c r="TKT237" s="269"/>
      <c r="TKU237" s="269"/>
      <c r="TKV237" s="269"/>
      <c r="TKW237" s="269"/>
      <c r="TKX237" s="269"/>
      <c r="TKY237" s="269"/>
      <c r="TKZ237" s="269"/>
      <c r="TLA237" s="269"/>
      <c r="TLB237" s="269"/>
      <c r="TLC237" s="269"/>
      <c r="TLD237" s="269"/>
      <c r="TLE237" s="269"/>
      <c r="TLF237" s="269"/>
      <c r="TLG237" s="269"/>
      <c r="TLH237" s="269"/>
      <c r="TLI237" s="269"/>
      <c r="TLJ237" s="269"/>
      <c r="TLK237" s="269"/>
      <c r="TLL237" s="269"/>
      <c r="TLM237" s="269"/>
      <c r="TLN237" s="269"/>
      <c r="TLO237" s="269"/>
      <c r="TLP237" s="269"/>
      <c r="TLQ237" s="269"/>
      <c r="TLR237" s="269"/>
      <c r="TLS237" s="269"/>
      <c r="TLT237" s="269"/>
      <c r="TLU237" s="269"/>
      <c r="TLV237" s="269"/>
      <c r="TLW237" s="269"/>
      <c r="TLX237" s="269"/>
      <c r="TLY237" s="269"/>
      <c r="TLZ237" s="269"/>
      <c r="TMA237" s="269"/>
      <c r="TMB237" s="269"/>
      <c r="TMC237" s="269"/>
      <c r="TMD237" s="269"/>
      <c r="TME237" s="269"/>
      <c r="TMF237" s="269"/>
      <c r="TMG237" s="269"/>
      <c r="TMH237" s="269"/>
      <c r="TMI237" s="269"/>
      <c r="TMJ237" s="269"/>
      <c r="TMK237" s="269"/>
      <c r="TML237" s="269"/>
      <c r="TMM237" s="269"/>
      <c r="TMN237" s="269"/>
      <c r="TMO237" s="269"/>
      <c r="TMP237" s="269"/>
      <c r="TMQ237" s="269"/>
      <c r="TMR237" s="269"/>
      <c r="TMS237" s="269"/>
      <c r="TMT237" s="269"/>
      <c r="TMU237" s="269"/>
      <c r="TMV237" s="269"/>
      <c r="TMW237" s="269"/>
      <c r="TMX237" s="269"/>
      <c r="TMY237" s="269"/>
      <c r="TMZ237" s="269"/>
      <c r="TNA237" s="269"/>
      <c r="TNB237" s="269"/>
      <c r="TNC237" s="269"/>
      <c r="TND237" s="269"/>
      <c r="TNE237" s="269"/>
      <c r="TNF237" s="269"/>
      <c r="TNG237" s="269"/>
      <c r="TNH237" s="269"/>
      <c r="TNI237" s="269"/>
      <c r="TNJ237" s="269"/>
      <c r="TNK237" s="269"/>
      <c r="TNL237" s="269"/>
      <c r="TNM237" s="269"/>
      <c r="TNN237" s="269"/>
      <c r="TNO237" s="269"/>
      <c r="TNP237" s="269"/>
      <c r="TNQ237" s="269"/>
      <c r="TNR237" s="269"/>
      <c r="TNS237" s="269"/>
      <c r="TNT237" s="269"/>
      <c r="TNU237" s="269"/>
      <c r="TNV237" s="269"/>
      <c r="TNW237" s="269"/>
      <c r="TNX237" s="269"/>
      <c r="TNY237" s="269"/>
      <c r="TNZ237" s="269"/>
      <c r="TOA237" s="269"/>
      <c r="TOB237" s="269"/>
      <c r="TOC237" s="269"/>
      <c r="TOD237" s="269"/>
      <c r="TOE237" s="269"/>
      <c r="TOF237" s="269"/>
      <c r="TOG237" s="269"/>
      <c r="TOH237" s="269"/>
      <c r="TOI237" s="269"/>
      <c r="TOJ237" s="269"/>
      <c r="TOK237" s="269"/>
      <c r="TOL237" s="269"/>
      <c r="TOM237" s="269"/>
      <c r="TON237" s="269"/>
      <c r="TOO237" s="269"/>
      <c r="TOP237" s="269"/>
      <c r="TOQ237" s="269"/>
      <c r="TOR237" s="269"/>
      <c r="TOS237" s="269"/>
      <c r="TOT237" s="269"/>
      <c r="TOU237" s="269"/>
      <c r="TOV237" s="269"/>
      <c r="TOW237" s="269"/>
      <c r="TOX237" s="269"/>
      <c r="TOY237" s="269"/>
      <c r="TOZ237" s="269"/>
      <c r="TPA237" s="269"/>
      <c r="TPB237" s="269"/>
      <c r="TPC237" s="269"/>
      <c r="TPD237" s="269"/>
      <c r="TPE237" s="269"/>
      <c r="TPF237" s="269"/>
      <c r="TPG237" s="269"/>
      <c r="TPH237" s="269"/>
      <c r="TPI237" s="269"/>
      <c r="TPJ237" s="269"/>
      <c r="TPK237" s="269"/>
      <c r="TPL237" s="269"/>
      <c r="TPM237" s="269"/>
      <c r="TPN237" s="269"/>
      <c r="TPO237" s="269"/>
      <c r="TPP237" s="269"/>
      <c r="TPQ237" s="269"/>
      <c r="TPR237" s="269"/>
      <c r="TPS237" s="269"/>
      <c r="TPT237" s="269"/>
      <c r="TPU237" s="269"/>
      <c r="TPV237" s="269"/>
      <c r="TPW237" s="269"/>
      <c r="TPX237" s="269"/>
      <c r="TPY237" s="269"/>
      <c r="TPZ237" s="269"/>
      <c r="TQA237" s="269"/>
      <c r="TQB237" s="269"/>
      <c r="TQC237" s="269"/>
      <c r="TQD237" s="269"/>
      <c r="TQE237" s="269"/>
      <c r="TQF237" s="269"/>
      <c r="TQG237" s="269"/>
      <c r="TQH237" s="269"/>
      <c r="TQI237" s="269"/>
      <c r="TQJ237" s="269"/>
      <c r="TQK237" s="269"/>
      <c r="TQL237" s="269"/>
      <c r="TQM237" s="269"/>
      <c r="TQN237" s="269"/>
      <c r="TQO237" s="269"/>
      <c r="TQP237" s="269"/>
      <c r="TQQ237" s="269"/>
      <c r="TQR237" s="269"/>
      <c r="TQS237" s="269"/>
      <c r="TQT237" s="269"/>
      <c r="TQU237" s="269"/>
      <c r="TQV237" s="269"/>
      <c r="TQW237" s="269"/>
      <c r="TQX237" s="269"/>
      <c r="TQY237" s="269"/>
      <c r="TQZ237" s="269"/>
      <c r="TRA237" s="269"/>
      <c r="TRB237" s="269"/>
      <c r="TRC237" s="269"/>
      <c r="TRD237" s="269"/>
      <c r="TRE237" s="269"/>
      <c r="TRF237" s="269"/>
      <c r="TRG237" s="269"/>
      <c r="TRH237" s="269"/>
      <c r="TRI237" s="269"/>
      <c r="TRJ237" s="269"/>
      <c r="TRK237" s="269"/>
      <c r="TRL237" s="269"/>
      <c r="TRM237" s="269"/>
      <c r="TRN237" s="269"/>
      <c r="TRO237" s="269"/>
      <c r="TRP237" s="269"/>
      <c r="TRQ237" s="269"/>
      <c r="TRR237" s="269"/>
      <c r="TRS237" s="269"/>
      <c r="TRT237" s="269"/>
      <c r="TRU237" s="269"/>
      <c r="TRV237" s="269"/>
      <c r="TRW237" s="269"/>
      <c r="TRX237" s="269"/>
      <c r="TRY237" s="269"/>
      <c r="TRZ237" s="269"/>
      <c r="TSA237" s="269"/>
      <c r="TSB237" s="269"/>
      <c r="TSC237" s="269"/>
      <c r="TSD237" s="269"/>
      <c r="TSE237" s="269"/>
      <c r="TSF237" s="269"/>
      <c r="TSG237" s="269"/>
      <c r="TSH237" s="269"/>
      <c r="TSI237" s="269"/>
      <c r="TSJ237" s="269"/>
      <c r="TSK237" s="269"/>
      <c r="TSL237" s="269"/>
      <c r="TSM237" s="269"/>
      <c r="TSN237" s="269"/>
      <c r="TSO237" s="269"/>
      <c r="TSP237" s="269"/>
      <c r="TSQ237" s="269"/>
      <c r="TSR237" s="269"/>
      <c r="TSS237" s="269"/>
      <c r="TST237" s="269"/>
      <c r="TSU237" s="269"/>
      <c r="TSV237" s="269"/>
      <c r="TSW237" s="269"/>
      <c r="TSX237" s="269"/>
      <c r="TSY237" s="269"/>
      <c r="TSZ237" s="269"/>
      <c r="TTA237" s="269"/>
      <c r="TTB237" s="269"/>
      <c r="TTC237" s="269"/>
      <c r="TTD237" s="269"/>
      <c r="TTE237" s="269"/>
      <c r="TTF237" s="269"/>
      <c r="TTG237" s="269"/>
      <c r="TTH237" s="269"/>
      <c r="TTI237" s="269"/>
      <c r="TTJ237" s="269"/>
      <c r="TTK237" s="269"/>
      <c r="TTL237" s="269"/>
      <c r="TTM237" s="269"/>
      <c r="TTN237" s="269"/>
      <c r="TTO237" s="269"/>
      <c r="TTP237" s="269"/>
      <c r="TTQ237" s="269"/>
      <c r="TTR237" s="269"/>
      <c r="TTS237" s="269"/>
      <c r="TTT237" s="269"/>
      <c r="TTU237" s="269"/>
      <c r="TTV237" s="269"/>
      <c r="TTW237" s="269"/>
      <c r="TTX237" s="269"/>
      <c r="TTY237" s="269"/>
      <c r="TTZ237" s="269"/>
      <c r="TUA237" s="269"/>
      <c r="TUB237" s="269"/>
      <c r="TUC237" s="269"/>
      <c r="TUD237" s="269"/>
      <c r="TUE237" s="269"/>
      <c r="TUF237" s="269"/>
      <c r="TUG237" s="269"/>
      <c r="TUH237" s="269"/>
      <c r="TUI237" s="269"/>
      <c r="TUJ237" s="269"/>
      <c r="TUK237" s="269"/>
      <c r="TUL237" s="269"/>
      <c r="TUM237" s="269"/>
      <c r="TUN237" s="269"/>
      <c r="TUO237" s="269"/>
      <c r="TUP237" s="269"/>
      <c r="TUQ237" s="269"/>
      <c r="TUR237" s="269"/>
      <c r="TUS237" s="269"/>
      <c r="TUT237" s="269"/>
      <c r="TUU237" s="269"/>
      <c r="TUV237" s="269"/>
      <c r="TUW237" s="269"/>
      <c r="TUX237" s="269"/>
      <c r="TUY237" s="269"/>
      <c r="TUZ237" s="269"/>
      <c r="TVA237" s="269"/>
      <c r="TVB237" s="269"/>
      <c r="TVC237" s="269"/>
      <c r="TVD237" s="269"/>
      <c r="TVE237" s="269"/>
      <c r="TVF237" s="269"/>
      <c r="TVG237" s="269"/>
      <c r="TVH237" s="269"/>
      <c r="TVI237" s="269"/>
      <c r="TVJ237" s="269"/>
      <c r="TVK237" s="269"/>
      <c r="TVL237" s="269"/>
      <c r="TVM237" s="269"/>
      <c r="TVN237" s="269"/>
      <c r="TVO237" s="269"/>
      <c r="TVP237" s="269"/>
      <c r="TVQ237" s="269"/>
      <c r="TVR237" s="269"/>
      <c r="TVS237" s="269"/>
      <c r="TVT237" s="269"/>
      <c r="TVU237" s="269"/>
      <c r="TVV237" s="269"/>
      <c r="TVW237" s="269"/>
      <c r="TVX237" s="269"/>
      <c r="TVY237" s="269"/>
      <c r="TVZ237" s="269"/>
      <c r="TWA237" s="269"/>
      <c r="TWB237" s="269"/>
      <c r="TWC237" s="269"/>
      <c r="TWD237" s="269"/>
      <c r="TWE237" s="269"/>
      <c r="TWF237" s="269"/>
      <c r="TWG237" s="269"/>
      <c r="TWH237" s="269"/>
      <c r="TWI237" s="269"/>
      <c r="TWJ237" s="269"/>
      <c r="TWK237" s="269"/>
      <c r="TWL237" s="269"/>
      <c r="TWM237" s="269"/>
      <c r="TWN237" s="269"/>
      <c r="TWO237" s="269"/>
      <c r="TWP237" s="269"/>
      <c r="TWQ237" s="269"/>
      <c r="TWR237" s="269"/>
      <c r="TWS237" s="269"/>
      <c r="TWT237" s="269"/>
      <c r="TWU237" s="269"/>
      <c r="TWV237" s="269"/>
      <c r="TWW237" s="269"/>
      <c r="TWX237" s="269"/>
      <c r="TWY237" s="269"/>
      <c r="TWZ237" s="269"/>
      <c r="TXA237" s="269"/>
      <c r="TXB237" s="269"/>
      <c r="TXC237" s="269"/>
      <c r="TXD237" s="269"/>
      <c r="TXE237" s="269"/>
      <c r="TXF237" s="269"/>
      <c r="TXG237" s="269"/>
      <c r="TXH237" s="269"/>
      <c r="TXI237" s="269"/>
      <c r="TXJ237" s="269"/>
      <c r="TXK237" s="269"/>
      <c r="TXL237" s="269"/>
      <c r="TXM237" s="269"/>
      <c r="TXN237" s="269"/>
      <c r="TXO237" s="269"/>
      <c r="TXP237" s="269"/>
      <c r="TXQ237" s="269"/>
      <c r="TXR237" s="269"/>
      <c r="TXS237" s="269"/>
      <c r="TXT237" s="269"/>
      <c r="TXU237" s="269"/>
      <c r="TXV237" s="269"/>
      <c r="TXW237" s="269"/>
      <c r="TXX237" s="269"/>
      <c r="TXY237" s="269"/>
      <c r="TXZ237" s="269"/>
      <c r="TYA237" s="269"/>
      <c r="TYB237" s="269"/>
      <c r="TYC237" s="269"/>
      <c r="TYD237" s="269"/>
      <c r="TYE237" s="269"/>
      <c r="TYF237" s="269"/>
      <c r="TYG237" s="269"/>
      <c r="TYH237" s="269"/>
      <c r="TYI237" s="269"/>
      <c r="TYJ237" s="269"/>
      <c r="TYK237" s="269"/>
      <c r="TYL237" s="269"/>
      <c r="TYM237" s="269"/>
      <c r="TYN237" s="269"/>
      <c r="TYO237" s="269"/>
      <c r="TYP237" s="269"/>
      <c r="TYQ237" s="269"/>
      <c r="TYR237" s="269"/>
      <c r="TYS237" s="269"/>
      <c r="TYT237" s="269"/>
      <c r="TYU237" s="269"/>
      <c r="TYV237" s="269"/>
      <c r="TYW237" s="269"/>
      <c r="TYX237" s="269"/>
      <c r="TYY237" s="269"/>
      <c r="TYZ237" s="269"/>
      <c r="TZA237" s="269"/>
      <c r="TZB237" s="269"/>
      <c r="TZC237" s="269"/>
      <c r="TZD237" s="269"/>
      <c r="TZE237" s="269"/>
      <c r="TZF237" s="269"/>
      <c r="TZG237" s="269"/>
      <c r="TZH237" s="269"/>
      <c r="TZI237" s="269"/>
      <c r="TZJ237" s="269"/>
      <c r="TZK237" s="269"/>
      <c r="TZL237" s="269"/>
      <c r="TZM237" s="269"/>
      <c r="TZN237" s="269"/>
      <c r="TZO237" s="269"/>
      <c r="TZP237" s="269"/>
      <c r="TZQ237" s="269"/>
      <c r="TZR237" s="269"/>
      <c r="TZS237" s="269"/>
      <c r="TZT237" s="269"/>
      <c r="TZU237" s="269"/>
      <c r="TZV237" s="269"/>
      <c r="TZW237" s="269"/>
      <c r="TZX237" s="269"/>
      <c r="TZY237" s="269"/>
      <c r="TZZ237" s="269"/>
      <c r="UAA237" s="269"/>
      <c r="UAB237" s="269"/>
      <c r="UAC237" s="269"/>
      <c r="UAD237" s="269"/>
      <c r="UAE237" s="269"/>
      <c r="UAF237" s="269"/>
      <c r="UAG237" s="269"/>
      <c r="UAH237" s="269"/>
      <c r="UAI237" s="269"/>
      <c r="UAJ237" s="269"/>
      <c r="UAK237" s="269"/>
      <c r="UAL237" s="269"/>
      <c r="UAM237" s="269"/>
      <c r="UAN237" s="269"/>
      <c r="UAO237" s="269"/>
      <c r="UAP237" s="269"/>
      <c r="UAQ237" s="269"/>
      <c r="UAR237" s="269"/>
      <c r="UAS237" s="269"/>
      <c r="UAT237" s="269"/>
      <c r="UAU237" s="269"/>
      <c r="UAV237" s="269"/>
      <c r="UAW237" s="269"/>
      <c r="UAX237" s="269"/>
      <c r="UAY237" s="269"/>
      <c r="UAZ237" s="269"/>
      <c r="UBA237" s="269"/>
      <c r="UBB237" s="269"/>
      <c r="UBC237" s="269"/>
      <c r="UBD237" s="269"/>
      <c r="UBE237" s="269"/>
      <c r="UBF237" s="269"/>
      <c r="UBG237" s="269"/>
      <c r="UBH237" s="269"/>
      <c r="UBI237" s="269"/>
      <c r="UBJ237" s="269"/>
      <c r="UBK237" s="269"/>
      <c r="UBL237" s="269"/>
      <c r="UBM237" s="269"/>
      <c r="UBN237" s="269"/>
      <c r="UBO237" s="269"/>
      <c r="UBP237" s="269"/>
      <c r="UBQ237" s="269"/>
      <c r="UBR237" s="269"/>
      <c r="UBS237" s="269"/>
      <c r="UBT237" s="269"/>
      <c r="UBU237" s="269"/>
      <c r="UBV237" s="269"/>
      <c r="UBW237" s="269"/>
      <c r="UBX237" s="269"/>
      <c r="UBY237" s="269"/>
      <c r="UBZ237" s="269"/>
      <c r="UCA237" s="269"/>
      <c r="UCB237" s="269"/>
      <c r="UCC237" s="269"/>
      <c r="UCD237" s="269"/>
      <c r="UCE237" s="269"/>
      <c r="UCF237" s="269"/>
      <c r="UCG237" s="269"/>
      <c r="UCH237" s="269"/>
      <c r="UCI237" s="269"/>
      <c r="UCJ237" s="269"/>
      <c r="UCK237" s="269"/>
      <c r="UCL237" s="269"/>
      <c r="UCM237" s="269"/>
      <c r="UCN237" s="269"/>
      <c r="UCO237" s="269"/>
      <c r="UCP237" s="269"/>
      <c r="UCQ237" s="269"/>
      <c r="UCR237" s="269"/>
      <c r="UCS237" s="269"/>
      <c r="UCT237" s="269"/>
      <c r="UCU237" s="269"/>
      <c r="UCV237" s="269"/>
      <c r="UCW237" s="269"/>
      <c r="UCX237" s="269"/>
      <c r="UCY237" s="269"/>
      <c r="UCZ237" s="269"/>
      <c r="UDA237" s="269"/>
      <c r="UDB237" s="269"/>
      <c r="UDC237" s="269"/>
      <c r="UDD237" s="269"/>
      <c r="UDE237" s="269"/>
      <c r="UDF237" s="269"/>
      <c r="UDG237" s="269"/>
      <c r="UDH237" s="269"/>
      <c r="UDI237" s="269"/>
      <c r="UDJ237" s="269"/>
      <c r="UDK237" s="269"/>
      <c r="UDL237" s="269"/>
      <c r="UDM237" s="269"/>
      <c r="UDN237" s="269"/>
      <c r="UDO237" s="269"/>
      <c r="UDP237" s="269"/>
      <c r="UDQ237" s="269"/>
      <c r="UDR237" s="269"/>
      <c r="UDS237" s="269"/>
      <c r="UDT237" s="269"/>
      <c r="UDU237" s="269"/>
      <c r="UDV237" s="269"/>
      <c r="UDW237" s="269"/>
      <c r="UDX237" s="269"/>
      <c r="UDY237" s="269"/>
      <c r="UDZ237" s="269"/>
      <c r="UEA237" s="269"/>
      <c r="UEB237" s="269"/>
      <c r="UEC237" s="269"/>
      <c r="UED237" s="269"/>
      <c r="UEE237" s="269"/>
      <c r="UEF237" s="269"/>
      <c r="UEG237" s="269"/>
      <c r="UEH237" s="269"/>
      <c r="UEI237" s="269"/>
      <c r="UEJ237" s="269"/>
      <c r="UEK237" s="269"/>
      <c r="UEL237" s="269"/>
      <c r="UEM237" s="269"/>
      <c r="UEN237" s="269"/>
      <c r="UEO237" s="269"/>
      <c r="UEP237" s="269"/>
      <c r="UEQ237" s="269"/>
      <c r="UER237" s="269"/>
      <c r="UES237" s="269"/>
      <c r="UET237" s="269"/>
      <c r="UEU237" s="269"/>
      <c r="UEV237" s="269"/>
      <c r="UEW237" s="269"/>
      <c r="UEX237" s="269"/>
      <c r="UEY237" s="269"/>
      <c r="UEZ237" s="269"/>
      <c r="UFA237" s="269"/>
      <c r="UFB237" s="269"/>
      <c r="UFC237" s="269"/>
      <c r="UFD237" s="269"/>
      <c r="UFE237" s="269"/>
      <c r="UFF237" s="269"/>
      <c r="UFG237" s="269"/>
      <c r="UFH237" s="269"/>
      <c r="UFI237" s="269"/>
      <c r="UFJ237" s="269"/>
      <c r="UFK237" s="269"/>
      <c r="UFL237" s="269"/>
      <c r="UFM237" s="269"/>
      <c r="UFN237" s="269"/>
      <c r="UFO237" s="269"/>
      <c r="UFP237" s="269"/>
      <c r="UFQ237" s="269"/>
      <c r="UFR237" s="269"/>
      <c r="UFS237" s="269"/>
      <c r="UFT237" s="269"/>
      <c r="UFU237" s="269"/>
      <c r="UFV237" s="269"/>
      <c r="UFW237" s="269"/>
      <c r="UFX237" s="269"/>
      <c r="UFY237" s="269"/>
      <c r="UFZ237" s="269"/>
      <c r="UGA237" s="269"/>
      <c r="UGB237" s="269"/>
      <c r="UGC237" s="269"/>
      <c r="UGD237" s="269"/>
      <c r="UGE237" s="269"/>
      <c r="UGF237" s="269"/>
      <c r="UGG237" s="269"/>
      <c r="UGH237" s="269"/>
      <c r="UGI237" s="269"/>
      <c r="UGJ237" s="269"/>
      <c r="UGK237" s="269"/>
      <c r="UGL237" s="269"/>
      <c r="UGM237" s="269"/>
      <c r="UGN237" s="269"/>
      <c r="UGO237" s="269"/>
      <c r="UGP237" s="269"/>
      <c r="UGQ237" s="269"/>
      <c r="UGR237" s="269"/>
      <c r="UGS237" s="269"/>
      <c r="UGT237" s="269"/>
      <c r="UGU237" s="269"/>
      <c r="UGV237" s="269"/>
      <c r="UGW237" s="269"/>
      <c r="UGX237" s="269"/>
      <c r="UGY237" s="269"/>
      <c r="UGZ237" s="269"/>
      <c r="UHA237" s="269"/>
      <c r="UHB237" s="269"/>
      <c r="UHC237" s="269"/>
      <c r="UHD237" s="269"/>
      <c r="UHE237" s="269"/>
      <c r="UHF237" s="269"/>
      <c r="UHG237" s="269"/>
      <c r="UHH237" s="269"/>
      <c r="UHI237" s="269"/>
      <c r="UHJ237" s="269"/>
      <c r="UHK237" s="269"/>
      <c r="UHL237" s="269"/>
      <c r="UHM237" s="269"/>
      <c r="UHN237" s="269"/>
      <c r="UHO237" s="269"/>
      <c r="UHP237" s="269"/>
      <c r="UHQ237" s="269"/>
      <c r="UHR237" s="269"/>
      <c r="UHS237" s="269"/>
      <c r="UHT237" s="269"/>
      <c r="UHU237" s="269"/>
      <c r="UHV237" s="269"/>
      <c r="UHW237" s="269"/>
      <c r="UHX237" s="269"/>
      <c r="UHY237" s="269"/>
      <c r="UHZ237" s="269"/>
      <c r="UIA237" s="269"/>
      <c r="UIB237" s="269"/>
      <c r="UIC237" s="269"/>
      <c r="UID237" s="269"/>
      <c r="UIE237" s="269"/>
      <c r="UIF237" s="269"/>
      <c r="UIG237" s="269"/>
      <c r="UIH237" s="269"/>
      <c r="UII237" s="269"/>
      <c r="UIJ237" s="269"/>
      <c r="UIK237" s="269"/>
      <c r="UIL237" s="269"/>
      <c r="UIM237" s="269"/>
      <c r="UIN237" s="269"/>
      <c r="UIO237" s="269"/>
      <c r="UIP237" s="269"/>
      <c r="UIQ237" s="269"/>
      <c r="UIR237" s="269"/>
      <c r="UIS237" s="269"/>
      <c r="UIT237" s="269"/>
      <c r="UIU237" s="269"/>
      <c r="UIV237" s="269"/>
      <c r="UIW237" s="269"/>
      <c r="UIX237" s="269"/>
      <c r="UIY237" s="269"/>
      <c r="UIZ237" s="269"/>
      <c r="UJA237" s="269"/>
      <c r="UJB237" s="269"/>
      <c r="UJC237" s="269"/>
      <c r="UJD237" s="269"/>
      <c r="UJE237" s="269"/>
      <c r="UJF237" s="269"/>
      <c r="UJG237" s="269"/>
      <c r="UJH237" s="269"/>
      <c r="UJI237" s="269"/>
      <c r="UJJ237" s="269"/>
      <c r="UJK237" s="269"/>
      <c r="UJL237" s="269"/>
      <c r="UJM237" s="269"/>
      <c r="UJN237" s="269"/>
      <c r="UJO237" s="269"/>
      <c r="UJP237" s="269"/>
      <c r="UJQ237" s="269"/>
      <c r="UJR237" s="269"/>
      <c r="UJS237" s="269"/>
      <c r="UJT237" s="269"/>
      <c r="UJU237" s="269"/>
      <c r="UJV237" s="269"/>
      <c r="UJW237" s="269"/>
      <c r="UJX237" s="269"/>
      <c r="UJY237" s="269"/>
      <c r="UJZ237" s="269"/>
      <c r="UKA237" s="269"/>
      <c r="UKB237" s="269"/>
      <c r="UKC237" s="269"/>
      <c r="UKD237" s="269"/>
      <c r="UKE237" s="269"/>
      <c r="UKF237" s="269"/>
      <c r="UKG237" s="269"/>
      <c r="UKH237" s="269"/>
      <c r="UKI237" s="269"/>
      <c r="UKJ237" s="269"/>
      <c r="UKK237" s="269"/>
      <c r="UKL237" s="269"/>
      <c r="UKM237" s="269"/>
      <c r="UKN237" s="269"/>
      <c r="UKO237" s="269"/>
      <c r="UKP237" s="269"/>
      <c r="UKQ237" s="269"/>
      <c r="UKR237" s="269"/>
      <c r="UKS237" s="269"/>
      <c r="UKT237" s="269"/>
      <c r="UKU237" s="269"/>
      <c r="UKV237" s="269"/>
      <c r="UKW237" s="269"/>
      <c r="UKX237" s="269"/>
      <c r="UKY237" s="269"/>
      <c r="UKZ237" s="269"/>
      <c r="ULA237" s="269"/>
      <c r="ULB237" s="269"/>
      <c r="ULC237" s="269"/>
      <c r="ULD237" s="269"/>
      <c r="ULE237" s="269"/>
      <c r="ULF237" s="269"/>
      <c r="ULG237" s="269"/>
      <c r="ULH237" s="269"/>
      <c r="ULI237" s="269"/>
      <c r="ULJ237" s="269"/>
      <c r="ULK237" s="269"/>
      <c r="ULL237" s="269"/>
      <c r="ULM237" s="269"/>
      <c r="ULN237" s="269"/>
      <c r="ULO237" s="269"/>
      <c r="ULP237" s="269"/>
      <c r="ULQ237" s="269"/>
      <c r="ULR237" s="269"/>
      <c r="ULS237" s="269"/>
      <c r="ULT237" s="269"/>
      <c r="ULU237" s="269"/>
      <c r="ULV237" s="269"/>
      <c r="ULW237" s="269"/>
      <c r="ULX237" s="269"/>
      <c r="ULY237" s="269"/>
      <c r="ULZ237" s="269"/>
      <c r="UMA237" s="269"/>
      <c r="UMB237" s="269"/>
      <c r="UMC237" s="269"/>
      <c r="UMD237" s="269"/>
      <c r="UME237" s="269"/>
      <c r="UMF237" s="269"/>
      <c r="UMG237" s="269"/>
      <c r="UMH237" s="269"/>
      <c r="UMI237" s="269"/>
      <c r="UMJ237" s="269"/>
      <c r="UMK237" s="269"/>
      <c r="UML237" s="269"/>
      <c r="UMM237" s="269"/>
      <c r="UMN237" s="269"/>
      <c r="UMO237" s="269"/>
      <c r="UMP237" s="269"/>
      <c r="UMQ237" s="269"/>
      <c r="UMR237" s="269"/>
      <c r="UMS237" s="269"/>
      <c r="UMT237" s="269"/>
      <c r="UMU237" s="269"/>
      <c r="UMV237" s="269"/>
      <c r="UMW237" s="269"/>
      <c r="UMX237" s="269"/>
      <c r="UMY237" s="269"/>
      <c r="UMZ237" s="269"/>
      <c r="UNA237" s="269"/>
      <c r="UNB237" s="269"/>
      <c r="UNC237" s="269"/>
      <c r="UND237" s="269"/>
      <c r="UNE237" s="269"/>
      <c r="UNF237" s="269"/>
      <c r="UNG237" s="269"/>
      <c r="UNH237" s="269"/>
      <c r="UNI237" s="269"/>
      <c r="UNJ237" s="269"/>
      <c r="UNK237" s="269"/>
      <c r="UNL237" s="269"/>
      <c r="UNM237" s="269"/>
      <c r="UNN237" s="269"/>
      <c r="UNO237" s="269"/>
      <c r="UNP237" s="269"/>
      <c r="UNQ237" s="269"/>
      <c r="UNR237" s="269"/>
      <c r="UNS237" s="269"/>
      <c r="UNT237" s="269"/>
      <c r="UNU237" s="269"/>
      <c r="UNV237" s="269"/>
      <c r="UNW237" s="269"/>
      <c r="UNX237" s="269"/>
      <c r="UNY237" s="269"/>
      <c r="UNZ237" s="269"/>
      <c r="UOA237" s="269"/>
      <c r="UOB237" s="269"/>
      <c r="UOC237" s="269"/>
      <c r="UOD237" s="269"/>
      <c r="UOE237" s="269"/>
      <c r="UOF237" s="269"/>
      <c r="UOG237" s="269"/>
      <c r="UOH237" s="269"/>
      <c r="UOI237" s="269"/>
      <c r="UOJ237" s="269"/>
      <c r="UOK237" s="269"/>
      <c r="UOL237" s="269"/>
      <c r="UOM237" s="269"/>
      <c r="UON237" s="269"/>
      <c r="UOO237" s="269"/>
      <c r="UOP237" s="269"/>
      <c r="UOQ237" s="269"/>
      <c r="UOR237" s="269"/>
      <c r="UOS237" s="269"/>
      <c r="UOT237" s="269"/>
      <c r="UOU237" s="269"/>
      <c r="UOV237" s="269"/>
      <c r="UOW237" s="269"/>
      <c r="UOX237" s="269"/>
      <c r="UOY237" s="269"/>
      <c r="UOZ237" s="269"/>
      <c r="UPA237" s="269"/>
      <c r="UPB237" s="269"/>
      <c r="UPC237" s="269"/>
      <c r="UPD237" s="269"/>
      <c r="UPE237" s="269"/>
      <c r="UPF237" s="269"/>
      <c r="UPG237" s="269"/>
      <c r="UPH237" s="269"/>
      <c r="UPI237" s="269"/>
      <c r="UPJ237" s="269"/>
      <c r="UPK237" s="269"/>
      <c r="UPL237" s="269"/>
      <c r="UPM237" s="269"/>
      <c r="UPN237" s="269"/>
      <c r="UPO237" s="269"/>
      <c r="UPP237" s="269"/>
      <c r="UPQ237" s="269"/>
      <c r="UPR237" s="269"/>
      <c r="UPS237" s="269"/>
      <c r="UPT237" s="269"/>
      <c r="UPU237" s="269"/>
      <c r="UPV237" s="269"/>
      <c r="UPW237" s="269"/>
      <c r="UPX237" s="269"/>
      <c r="UPY237" s="269"/>
      <c r="UPZ237" s="269"/>
      <c r="UQA237" s="269"/>
      <c r="UQB237" s="269"/>
      <c r="UQC237" s="269"/>
      <c r="UQD237" s="269"/>
      <c r="UQE237" s="269"/>
      <c r="UQF237" s="269"/>
      <c r="UQG237" s="269"/>
      <c r="UQH237" s="269"/>
      <c r="UQI237" s="269"/>
      <c r="UQJ237" s="269"/>
      <c r="UQK237" s="269"/>
      <c r="UQL237" s="269"/>
      <c r="UQM237" s="269"/>
      <c r="UQN237" s="269"/>
      <c r="UQO237" s="269"/>
      <c r="UQP237" s="269"/>
      <c r="UQQ237" s="269"/>
      <c r="UQR237" s="269"/>
      <c r="UQS237" s="269"/>
      <c r="UQT237" s="269"/>
      <c r="UQU237" s="269"/>
      <c r="UQV237" s="269"/>
      <c r="UQW237" s="269"/>
      <c r="UQX237" s="269"/>
      <c r="UQY237" s="269"/>
      <c r="UQZ237" s="269"/>
      <c r="URA237" s="269"/>
      <c r="URB237" s="269"/>
      <c r="URC237" s="269"/>
      <c r="URD237" s="269"/>
      <c r="URE237" s="269"/>
      <c r="URF237" s="269"/>
      <c r="URG237" s="269"/>
      <c r="URH237" s="269"/>
      <c r="URI237" s="269"/>
      <c r="URJ237" s="269"/>
      <c r="URK237" s="269"/>
      <c r="URL237" s="269"/>
      <c r="URM237" s="269"/>
      <c r="URN237" s="269"/>
      <c r="URO237" s="269"/>
      <c r="URP237" s="269"/>
      <c r="URQ237" s="269"/>
      <c r="URR237" s="269"/>
      <c r="URS237" s="269"/>
      <c r="URT237" s="269"/>
      <c r="URU237" s="269"/>
      <c r="URV237" s="269"/>
      <c r="URW237" s="269"/>
      <c r="URX237" s="269"/>
      <c r="URY237" s="269"/>
      <c r="URZ237" s="269"/>
      <c r="USA237" s="269"/>
      <c r="USB237" s="269"/>
      <c r="USC237" s="269"/>
      <c r="USD237" s="269"/>
      <c r="USE237" s="269"/>
      <c r="USF237" s="269"/>
      <c r="USG237" s="269"/>
      <c r="USH237" s="269"/>
      <c r="USI237" s="269"/>
      <c r="USJ237" s="269"/>
      <c r="USK237" s="269"/>
      <c r="USL237" s="269"/>
      <c r="USM237" s="269"/>
      <c r="USN237" s="269"/>
      <c r="USO237" s="269"/>
      <c r="USP237" s="269"/>
      <c r="USQ237" s="269"/>
      <c r="USR237" s="269"/>
      <c r="USS237" s="269"/>
      <c r="UST237" s="269"/>
      <c r="USU237" s="269"/>
      <c r="USV237" s="269"/>
      <c r="USW237" s="269"/>
      <c r="USX237" s="269"/>
      <c r="USY237" s="269"/>
      <c r="USZ237" s="269"/>
      <c r="UTA237" s="269"/>
      <c r="UTB237" s="269"/>
      <c r="UTC237" s="269"/>
      <c r="UTD237" s="269"/>
      <c r="UTE237" s="269"/>
      <c r="UTF237" s="269"/>
      <c r="UTG237" s="269"/>
      <c r="UTH237" s="269"/>
      <c r="UTI237" s="269"/>
      <c r="UTJ237" s="269"/>
      <c r="UTK237" s="269"/>
      <c r="UTL237" s="269"/>
      <c r="UTM237" s="269"/>
      <c r="UTN237" s="269"/>
      <c r="UTO237" s="269"/>
      <c r="UTP237" s="269"/>
      <c r="UTQ237" s="269"/>
      <c r="UTR237" s="269"/>
      <c r="UTS237" s="269"/>
      <c r="UTT237" s="269"/>
      <c r="UTU237" s="269"/>
      <c r="UTV237" s="269"/>
      <c r="UTW237" s="269"/>
      <c r="UTX237" s="269"/>
      <c r="UTY237" s="269"/>
      <c r="UTZ237" s="269"/>
      <c r="UUA237" s="269"/>
      <c r="UUB237" s="269"/>
      <c r="UUC237" s="269"/>
      <c r="UUD237" s="269"/>
      <c r="UUE237" s="269"/>
      <c r="UUF237" s="269"/>
      <c r="UUG237" s="269"/>
      <c r="UUH237" s="269"/>
      <c r="UUI237" s="269"/>
      <c r="UUJ237" s="269"/>
      <c r="UUK237" s="269"/>
      <c r="UUL237" s="269"/>
      <c r="UUM237" s="269"/>
      <c r="UUN237" s="269"/>
      <c r="UUO237" s="269"/>
      <c r="UUP237" s="269"/>
      <c r="UUQ237" s="269"/>
      <c r="UUR237" s="269"/>
      <c r="UUS237" s="269"/>
      <c r="UUT237" s="269"/>
      <c r="UUU237" s="269"/>
      <c r="UUV237" s="269"/>
      <c r="UUW237" s="269"/>
      <c r="UUX237" s="269"/>
      <c r="UUY237" s="269"/>
      <c r="UUZ237" s="269"/>
      <c r="UVA237" s="269"/>
      <c r="UVB237" s="269"/>
      <c r="UVC237" s="269"/>
      <c r="UVD237" s="269"/>
      <c r="UVE237" s="269"/>
      <c r="UVF237" s="269"/>
      <c r="UVG237" s="269"/>
      <c r="UVH237" s="269"/>
      <c r="UVI237" s="269"/>
      <c r="UVJ237" s="269"/>
      <c r="UVK237" s="269"/>
      <c r="UVL237" s="269"/>
      <c r="UVM237" s="269"/>
      <c r="UVN237" s="269"/>
      <c r="UVO237" s="269"/>
      <c r="UVP237" s="269"/>
      <c r="UVQ237" s="269"/>
      <c r="UVR237" s="269"/>
      <c r="UVS237" s="269"/>
      <c r="UVT237" s="269"/>
      <c r="UVU237" s="269"/>
      <c r="UVV237" s="269"/>
      <c r="UVW237" s="269"/>
      <c r="UVX237" s="269"/>
      <c r="UVY237" s="269"/>
      <c r="UVZ237" s="269"/>
      <c r="UWA237" s="269"/>
      <c r="UWB237" s="269"/>
      <c r="UWC237" s="269"/>
      <c r="UWD237" s="269"/>
      <c r="UWE237" s="269"/>
      <c r="UWF237" s="269"/>
      <c r="UWG237" s="269"/>
      <c r="UWH237" s="269"/>
      <c r="UWI237" s="269"/>
      <c r="UWJ237" s="269"/>
      <c r="UWK237" s="269"/>
      <c r="UWL237" s="269"/>
      <c r="UWM237" s="269"/>
      <c r="UWN237" s="269"/>
      <c r="UWO237" s="269"/>
      <c r="UWP237" s="269"/>
      <c r="UWQ237" s="269"/>
      <c r="UWR237" s="269"/>
      <c r="UWS237" s="269"/>
      <c r="UWT237" s="269"/>
      <c r="UWU237" s="269"/>
      <c r="UWV237" s="269"/>
      <c r="UWW237" s="269"/>
      <c r="UWX237" s="269"/>
      <c r="UWY237" s="269"/>
      <c r="UWZ237" s="269"/>
      <c r="UXA237" s="269"/>
      <c r="UXB237" s="269"/>
      <c r="UXC237" s="269"/>
      <c r="UXD237" s="269"/>
      <c r="UXE237" s="269"/>
      <c r="UXF237" s="269"/>
      <c r="UXG237" s="269"/>
      <c r="UXH237" s="269"/>
      <c r="UXI237" s="269"/>
      <c r="UXJ237" s="269"/>
      <c r="UXK237" s="269"/>
      <c r="UXL237" s="269"/>
      <c r="UXM237" s="269"/>
      <c r="UXN237" s="269"/>
      <c r="UXO237" s="269"/>
      <c r="UXP237" s="269"/>
      <c r="UXQ237" s="269"/>
      <c r="UXR237" s="269"/>
      <c r="UXS237" s="269"/>
      <c r="UXT237" s="269"/>
      <c r="UXU237" s="269"/>
      <c r="UXV237" s="269"/>
      <c r="UXW237" s="269"/>
      <c r="UXX237" s="269"/>
      <c r="UXY237" s="269"/>
      <c r="UXZ237" s="269"/>
      <c r="UYA237" s="269"/>
      <c r="UYB237" s="269"/>
      <c r="UYC237" s="269"/>
      <c r="UYD237" s="269"/>
      <c r="UYE237" s="269"/>
      <c r="UYF237" s="269"/>
      <c r="UYG237" s="269"/>
      <c r="UYH237" s="269"/>
      <c r="UYI237" s="269"/>
      <c r="UYJ237" s="269"/>
      <c r="UYK237" s="269"/>
      <c r="UYL237" s="269"/>
      <c r="UYM237" s="269"/>
      <c r="UYN237" s="269"/>
      <c r="UYO237" s="269"/>
      <c r="UYP237" s="269"/>
      <c r="UYQ237" s="269"/>
      <c r="UYR237" s="269"/>
      <c r="UYS237" s="269"/>
      <c r="UYT237" s="269"/>
      <c r="UYU237" s="269"/>
      <c r="UYV237" s="269"/>
      <c r="UYW237" s="269"/>
      <c r="UYX237" s="269"/>
      <c r="UYY237" s="269"/>
      <c r="UYZ237" s="269"/>
      <c r="UZA237" s="269"/>
      <c r="UZB237" s="269"/>
      <c r="UZC237" s="269"/>
      <c r="UZD237" s="269"/>
      <c r="UZE237" s="269"/>
      <c r="UZF237" s="269"/>
      <c r="UZG237" s="269"/>
      <c r="UZH237" s="269"/>
      <c r="UZI237" s="269"/>
      <c r="UZJ237" s="269"/>
      <c r="UZK237" s="269"/>
      <c r="UZL237" s="269"/>
      <c r="UZM237" s="269"/>
      <c r="UZN237" s="269"/>
      <c r="UZO237" s="269"/>
      <c r="UZP237" s="269"/>
      <c r="UZQ237" s="269"/>
      <c r="UZR237" s="269"/>
      <c r="UZS237" s="269"/>
      <c r="UZT237" s="269"/>
      <c r="UZU237" s="269"/>
      <c r="UZV237" s="269"/>
      <c r="UZW237" s="269"/>
      <c r="UZX237" s="269"/>
      <c r="UZY237" s="269"/>
      <c r="UZZ237" s="269"/>
      <c r="VAA237" s="269"/>
      <c r="VAB237" s="269"/>
      <c r="VAC237" s="269"/>
      <c r="VAD237" s="269"/>
      <c r="VAE237" s="269"/>
      <c r="VAF237" s="269"/>
      <c r="VAG237" s="269"/>
      <c r="VAH237" s="269"/>
      <c r="VAI237" s="269"/>
      <c r="VAJ237" s="269"/>
      <c r="VAK237" s="269"/>
      <c r="VAL237" s="269"/>
      <c r="VAM237" s="269"/>
      <c r="VAN237" s="269"/>
      <c r="VAO237" s="269"/>
      <c r="VAP237" s="269"/>
      <c r="VAQ237" s="269"/>
      <c r="VAR237" s="269"/>
      <c r="VAS237" s="269"/>
      <c r="VAT237" s="269"/>
      <c r="VAU237" s="269"/>
      <c r="VAV237" s="269"/>
      <c r="VAW237" s="269"/>
      <c r="VAX237" s="269"/>
      <c r="VAY237" s="269"/>
      <c r="VAZ237" s="269"/>
      <c r="VBA237" s="269"/>
      <c r="VBB237" s="269"/>
      <c r="VBC237" s="269"/>
      <c r="VBD237" s="269"/>
      <c r="VBE237" s="269"/>
      <c r="VBF237" s="269"/>
      <c r="VBG237" s="269"/>
      <c r="VBH237" s="269"/>
      <c r="VBI237" s="269"/>
      <c r="VBJ237" s="269"/>
      <c r="VBK237" s="269"/>
      <c r="VBL237" s="269"/>
      <c r="VBM237" s="269"/>
      <c r="VBN237" s="269"/>
      <c r="VBO237" s="269"/>
      <c r="VBP237" s="269"/>
      <c r="VBQ237" s="269"/>
      <c r="VBR237" s="269"/>
      <c r="VBS237" s="269"/>
      <c r="VBT237" s="269"/>
      <c r="VBU237" s="269"/>
      <c r="VBV237" s="269"/>
      <c r="VBW237" s="269"/>
      <c r="VBX237" s="269"/>
      <c r="VBY237" s="269"/>
      <c r="VBZ237" s="269"/>
      <c r="VCA237" s="269"/>
      <c r="VCB237" s="269"/>
      <c r="VCC237" s="269"/>
      <c r="VCD237" s="269"/>
      <c r="VCE237" s="269"/>
      <c r="VCF237" s="269"/>
      <c r="VCG237" s="269"/>
      <c r="VCH237" s="269"/>
      <c r="VCI237" s="269"/>
      <c r="VCJ237" s="269"/>
      <c r="VCK237" s="269"/>
      <c r="VCL237" s="269"/>
      <c r="VCM237" s="269"/>
      <c r="VCN237" s="269"/>
      <c r="VCO237" s="269"/>
      <c r="VCP237" s="269"/>
      <c r="VCQ237" s="269"/>
      <c r="VCR237" s="269"/>
      <c r="VCS237" s="269"/>
      <c r="VCT237" s="269"/>
      <c r="VCU237" s="269"/>
      <c r="VCV237" s="269"/>
      <c r="VCW237" s="269"/>
      <c r="VCX237" s="269"/>
      <c r="VCY237" s="269"/>
      <c r="VCZ237" s="269"/>
      <c r="VDA237" s="269"/>
      <c r="VDB237" s="269"/>
      <c r="VDC237" s="269"/>
      <c r="VDD237" s="269"/>
      <c r="VDE237" s="269"/>
      <c r="VDF237" s="269"/>
      <c r="VDG237" s="269"/>
      <c r="VDH237" s="269"/>
      <c r="VDI237" s="269"/>
      <c r="VDJ237" s="269"/>
      <c r="VDK237" s="269"/>
      <c r="VDL237" s="269"/>
      <c r="VDM237" s="269"/>
      <c r="VDN237" s="269"/>
      <c r="VDO237" s="269"/>
      <c r="VDP237" s="269"/>
      <c r="VDQ237" s="269"/>
      <c r="VDR237" s="269"/>
      <c r="VDS237" s="269"/>
      <c r="VDT237" s="269"/>
      <c r="VDU237" s="269"/>
      <c r="VDV237" s="269"/>
      <c r="VDW237" s="269"/>
      <c r="VDX237" s="269"/>
      <c r="VDY237" s="269"/>
      <c r="VDZ237" s="269"/>
      <c r="VEA237" s="269"/>
      <c r="VEB237" s="269"/>
      <c r="VEC237" s="269"/>
      <c r="VED237" s="269"/>
      <c r="VEE237" s="269"/>
      <c r="VEF237" s="269"/>
      <c r="VEG237" s="269"/>
      <c r="VEH237" s="269"/>
      <c r="VEI237" s="269"/>
      <c r="VEJ237" s="269"/>
      <c r="VEK237" s="269"/>
      <c r="VEL237" s="269"/>
      <c r="VEM237" s="269"/>
      <c r="VEN237" s="269"/>
      <c r="VEO237" s="269"/>
      <c r="VEP237" s="269"/>
      <c r="VEQ237" s="269"/>
      <c r="VER237" s="269"/>
      <c r="VES237" s="269"/>
      <c r="VET237" s="269"/>
      <c r="VEU237" s="269"/>
      <c r="VEV237" s="269"/>
      <c r="VEW237" s="269"/>
      <c r="VEX237" s="269"/>
      <c r="VEY237" s="269"/>
      <c r="VEZ237" s="269"/>
      <c r="VFA237" s="269"/>
      <c r="VFB237" s="269"/>
      <c r="VFC237" s="269"/>
      <c r="VFD237" s="269"/>
      <c r="VFE237" s="269"/>
      <c r="VFF237" s="269"/>
      <c r="VFG237" s="269"/>
      <c r="VFH237" s="269"/>
      <c r="VFI237" s="269"/>
      <c r="VFJ237" s="269"/>
      <c r="VFK237" s="269"/>
      <c r="VFL237" s="269"/>
      <c r="VFM237" s="269"/>
      <c r="VFN237" s="269"/>
      <c r="VFO237" s="269"/>
      <c r="VFP237" s="269"/>
      <c r="VFQ237" s="269"/>
      <c r="VFR237" s="269"/>
      <c r="VFS237" s="269"/>
      <c r="VFT237" s="269"/>
      <c r="VFU237" s="269"/>
      <c r="VFV237" s="269"/>
      <c r="VFW237" s="269"/>
      <c r="VFX237" s="269"/>
      <c r="VFY237" s="269"/>
      <c r="VFZ237" s="269"/>
      <c r="VGA237" s="269"/>
      <c r="VGB237" s="269"/>
      <c r="VGC237" s="269"/>
      <c r="VGD237" s="269"/>
      <c r="VGE237" s="269"/>
      <c r="VGF237" s="269"/>
      <c r="VGG237" s="269"/>
      <c r="VGH237" s="269"/>
      <c r="VGI237" s="269"/>
      <c r="VGJ237" s="269"/>
      <c r="VGK237" s="269"/>
      <c r="VGL237" s="269"/>
      <c r="VGM237" s="269"/>
      <c r="VGN237" s="269"/>
      <c r="VGO237" s="269"/>
      <c r="VGP237" s="269"/>
      <c r="VGQ237" s="269"/>
      <c r="VGR237" s="269"/>
      <c r="VGS237" s="269"/>
      <c r="VGT237" s="269"/>
      <c r="VGU237" s="269"/>
      <c r="VGV237" s="269"/>
      <c r="VGW237" s="269"/>
      <c r="VGX237" s="269"/>
      <c r="VGY237" s="269"/>
      <c r="VGZ237" s="269"/>
      <c r="VHA237" s="269"/>
      <c r="VHB237" s="269"/>
      <c r="VHC237" s="269"/>
      <c r="VHD237" s="269"/>
      <c r="VHE237" s="269"/>
      <c r="VHF237" s="269"/>
      <c r="VHG237" s="269"/>
      <c r="VHH237" s="269"/>
      <c r="VHI237" s="269"/>
      <c r="VHJ237" s="269"/>
      <c r="VHK237" s="269"/>
      <c r="VHL237" s="269"/>
      <c r="VHM237" s="269"/>
      <c r="VHN237" s="269"/>
      <c r="VHO237" s="269"/>
      <c r="VHP237" s="269"/>
      <c r="VHQ237" s="269"/>
      <c r="VHR237" s="269"/>
      <c r="VHS237" s="269"/>
      <c r="VHT237" s="269"/>
      <c r="VHU237" s="269"/>
      <c r="VHV237" s="269"/>
      <c r="VHW237" s="269"/>
      <c r="VHX237" s="269"/>
      <c r="VHY237" s="269"/>
      <c r="VHZ237" s="269"/>
      <c r="VIA237" s="269"/>
      <c r="VIB237" s="269"/>
      <c r="VIC237" s="269"/>
      <c r="VID237" s="269"/>
      <c r="VIE237" s="269"/>
      <c r="VIF237" s="269"/>
      <c r="VIG237" s="269"/>
      <c r="VIH237" s="269"/>
      <c r="VII237" s="269"/>
      <c r="VIJ237" s="269"/>
      <c r="VIK237" s="269"/>
      <c r="VIL237" s="269"/>
      <c r="VIM237" s="269"/>
      <c r="VIN237" s="269"/>
      <c r="VIO237" s="269"/>
      <c r="VIP237" s="269"/>
      <c r="VIQ237" s="269"/>
      <c r="VIR237" s="269"/>
      <c r="VIS237" s="269"/>
      <c r="VIT237" s="269"/>
      <c r="VIU237" s="269"/>
      <c r="VIV237" s="269"/>
      <c r="VIW237" s="269"/>
      <c r="VIX237" s="269"/>
      <c r="VIY237" s="269"/>
      <c r="VIZ237" s="269"/>
      <c r="VJA237" s="269"/>
      <c r="VJB237" s="269"/>
      <c r="VJC237" s="269"/>
      <c r="VJD237" s="269"/>
      <c r="VJE237" s="269"/>
      <c r="VJF237" s="269"/>
      <c r="VJG237" s="269"/>
      <c r="VJH237" s="269"/>
      <c r="VJI237" s="269"/>
      <c r="VJJ237" s="269"/>
      <c r="VJK237" s="269"/>
      <c r="VJL237" s="269"/>
      <c r="VJM237" s="269"/>
      <c r="VJN237" s="269"/>
      <c r="VJO237" s="269"/>
      <c r="VJP237" s="269"/>
      <c r="VJQ237" s="269"/>
      <c r="VJR237" s="269"/>
      <c r="VJS237" s="269"/>
      <c r="VJT237" s="269"/>
      <c r="VJU237" s="269"/>
      <c r="VJV237" s="269"/>
      <c r="VJW237" s="269"/>
      <c r="VJX237" s="269"/>
      <c r="VJY237" s="269"/>
      <c r="VJZ237" s="269"/>
      <c r="VKA237" s="269"/>
      <c r="VKB237" s="269"/>
      <c r="VKC237" s="269"/>
      <c r="VKD237" s="269"/>
      <c r="VKE237" s="269"/>
      <c r="VKF237" s="269"/>
      <c r="VKG237" s="269"/>
      <c r="VKH237" s="269"/>
      <c r="VKI237" s="269"/>
      <c r="VKJ237" s="269"/>
      <c r="VKK237" s="269"/>
      <c r="VKL237" s="269"/>
      <c r="VKM237" s="269"/>
      <c r="VKN237" s="269"/>
      <c r="VKO237" s="269"/>
      <c r="VKP237" s="269"/>
      <c r="VKQ237" s="269"/>
      <c r="VKR237" s="269"/>
      <c r="VKS237" s="269"/>
      <c r="VKT237" s="269"/>
      <c r="VKU237" s="269"/>
      <c r="VKV237" s="269"/>
      <c r="VKW237" s="269"/>
      <c r="VKX237" s="269"/>
      <c r="VKY237" s="269"/>
      <c r="VKZ237" s="269"/>
      <c r="VLA237" s="269"/>
      <c r="VLB237" s="269"/>
      <c r="VLC237" s="269"/>
      <c r="VLD237" s="269"/>
      <c r="VLE237" s="269"/>
      <c r="VLF237" s="269"/>
      <c r="VLG237" s="269"/>
      <c r="VLH237" s="269"/>
      <c r="VLI237" s="269"/>
      <c r="VLJ237" s="269"/>
      <c r="VLK237" s="269"/>
      <c r="VLL237" s="269"/>
      <c r="VLM237" s="269"/>
      <c r="VLN237" s="269"/>
      <c r="VLO237" s="269"/>
      <c r="VLP237" s="269"/>
      <c r="VLQ237" s="269"/>
      <c r="VLR237" s="269"/>
      <c r="VLS237" s="269"/>
      <c r="VLT237" s="269"/>
      <c r="VLU237" s="269"/>
      <c r="VLV237" s="269"/>
      <c r="VLW237" s="269"/>
      <c r="VLX237" s="269"/>
      <c r="VLY237" s="269"/>
      <c r="VLZ237" s="269"/>
      <c r="VMA237" s="269"/>
      <c r="VMB237" s="269"/>
      <c r="VMC237" s="269"/>
      <c r="VMD237" s="269"/>
      <c r="VME237" s="269"/>
      <c r="VMF237" s="269"/>
      <c r="VMG237" s="269"/>
      <c r="VMH237" s="269"/>
      <c r="VMI237" s="269"/>
      <c r="VMJ237" s="269"/>
      <c r="VMK237" s="269"/>
      <c r="VML237" s="269"/>
      <c r="VMM237" s="269"/>
      <c r="VMN237" s="269"/>
      <c r="VMO237" s="269"/>
      <c r="VMP237" s="269"/>
      <c r="VMQ237" s="269"/>
      <c r="VMR237" s="269"/>
      <c r="VMS237" s="269"/>
      <c r="VMT237" s="269"/>
      <c r="VMU237" s="269"/>
      <c r="VMV237" s="269"/>
      <c r="VMW237" s="269"/>
      <c r="VMX237" s="269"/>
      <c r="VMY237" s="269"/>
      <c r="VMZ237" s="269"/>
      <c r="VNA237" s="269"/>
      <c r="VNB237" s="269"/>
      <c r="VNC237" s="269"/>
      <c r="VND237" s="269"/>
      <c r="VNE237" s="269"/>
      <c r="VNF237" s="269"/>
      <c r="VNG237" s="269"/>
      <c r="VNH237" s="269"/>
      <c r="VNI237" s="269"/>
      <c r="VNJ237" s="269"/>
      <c r="VNK237" s="269"/>
      <c r="VNL237" s="269"/>
      <c r="VNM237" s="269"/>
      <c r="VNN237" s="269"/>
      <c r="VNO237" s="269"/>
      <c r="VNP237" s="269"/>
      <c r="VNQ237" s="269"/>
      <c r="VNR237" s="269"/>
      <c r="VNS237" s="269"/>
      <c r="VNT237" s="269"/>
      <c r="VNU237" s="269"/>
      <c r="VNV237" s="269"/>
      <c r="VNW237" s="269"/>
      <c r="VNX237" s="269"/>
      <c r="VNY237" s="269"/>
      <c r="VNZ237" s="269"/>
      <c r="VOA237" s="269"/>
      <c r="VOB237" s="269"/>
      <c r="VOC237" s="269"/>
      <c r="VOD237" s="269"/>
      <c r="VOE237" s="269"/>
      <c r="VOF237" s="269"/>
      <c r="VOG237" s="269"/>
      <c r="VOH237" s="269"/>
      <c r="VOI237" s="269"/>
      <c r="VOJ237" s="269"/>
      <c r="VOK237" s="269"/>
      <c r="VOL237" s="269"/>
      <c r="VOM237" s="269"/>
      <c r="VON237" s="269"/>
      <c r="VOO237" s="269"/>
      <c r="VOP237" s="269"/>
      <c r="VOQ237" s="269"/>
      <c r="VOR237" s="269"/>
      <c r="VOS237" s="269"/>
      <c r="VOT237" s="269"/>
      <c r="VOU237" s="269"/>
      <c r="VOV237" s="269"/>
      <c r="VOW237" s="269"/>
      <c r="VOX237" s="269"/>
      <c r="VOY237" s="269"/>
      <c r="VOZ237" s="269"/>
      <c r="VPA237" s="269"/>
      <c r="VPB237" s="269"/>
      <c r="VPC237" s="269"/>
      <c r="VPD237" s="269"/>
      <c r="VPE237" s="269"/>
      <c r="VPF237" s="269"/>
      <c r="VPG237" s="269"/>
      <c r="VPH237" s="269"/>
      <c r="VPI237" s="269"/>
      <c r="VPJ237" s="269"/>
      <c r="VPK237" s="269"/>
      <c r="VPL237" s="269"/>
      <c r="VPM237" s="269"/>
      <c r="VPN237" s="269"/>
      <c r="VPO237" s="269"/>
      <c r="VPP237" s="269"/>
      <c r="VPQ237" s="269"/>
      <c r="VPR237" s="269"/>
      <c r="VPS237" s="269"/>
      <c r="VPT237" s="269"/>
      <c r="VPU237" s="269"/>
      <c r="VPV237" s="269"/>
      <c r="VPW237" s="269"/>
      <c r="VPX237" s="269"/>
      <c r="VPY237" s="269"/>
      <c r="VPZ237" s="269"/>
      <c r="VQA237" s="269"/>
      <c r="VQB237" s="269"/>
      <c r="VQC237" s="269"/>
      <c r="VQD237" s="269"/>
      <c r="VQE237" s="269"/>
      <c r="VQF237" s="269"/>
      <c r="VQG237" s="269"/>
      <c r="VQH237" s="269"/>
      <c r="VQI237" s="269"/>
      <c r="VQJ237" s="269"/>
      <c r="VQK237" s="269"/>
      <c r="VQL237" s="269"/>
      <c r="VQM237" s="269"/>
      <c r="VQN237" s="269"/>
      <c r="VQO237" s="269"/>
      <c r="VQP237" s="269"/>
      <c r="VQQ237" s="269"/>
      <c r="VQR237" s="269"/>
      <c r="VQS237" s="269"/>
      <c r="VQT237" s="269"/>
      <c r="VQU237" s="269"/>
      <c r="VQV237" s="269"/>
      <c r="VQW237" s="269"/>
      <c r="VQX237" s="269"/>
      <c r="VQY237" s="269"/>
      <c r="VQZ237" s="269"/>
      <c r="VRA237" s="269"/>
      <c r="VRB237" s="269"/>
      <c r="VRC237" s="269"/>
      <c r="VRD237" s="269"/>
      <c r="VRE237" s="269"/>
      <c r="VRF237" s="269"/>
      <c r="VRG237" s="269"/>
      <c r="VRH237" s="269"/>
      <c r="VRI237" s="269"/>
      <c r="VRJ237" s="269"/>
      <c r="VRK237" s="269"/>
      <c r="VRL237" s="269"/>
      <c r="VRM237" s="269"/>
      <c r="VRN237" s="269"/>
      <c r="VRO237" s="269"/>
      <c r="VRP237" s="269"/>
      <c r="VRQ237" s="269"/>
      <c r="VRR237" s="269"/>
      <c r="VRS237" s="269"/>
      <c r="VRT237" s="269"/>
      <c r="VRU237" s="269"/>
      <c r="VRV237" s="269"/>
      <c r="VRW237" s="269"/>
      <c r="VRX237" s="269"/>
      <c r="VRY237" s="269"/>
      <c r="VRZ237" s="269"/>
      <c r="VSA237" s="269"/>
      <c r="VSB237" s="269"/>
      <c r="VSC237" s="269"/>
      <c r="VSD237" s="269"/>
      <c r="VSE237" s="269"/>
      <c r="VSF237" s="269"/>
      <c r="VSG237" s="269"/>
      <c r="VSH237" s="269"/>
      <c r="VSI237" s="269"/>
      <c r="VSJ237" s="269"/>
      <c r="VSK237" s="269"/>
      <c r="VSL237" s="269"/>
      <c r="VSM237" s="269"/>
      <c r="VSN237" s="269"/>
      <c r="VSO237" s="269"/>
      <c r="VSP237" s="269"/>
      <c r="VSQ237" s="269"/>
      <c r="VSR237" s="269"/>
      <c r="VSS237" s="269"/>
      <c r="VST237" s="269"/>
      <c r="VSU237" s="269"/>
      <c r="VSV237" s="269"/>
      <c r="VSW237" s="269"/>
      <c r="VSX237" s="269"/>
      <c r="VSY237" s="269"/>
      <c r="VSZ237" s="269"/>
      <c r="VTA237" s="269"/>
      <c r="VTB237" s="269"/>
      <c r="VTC237" s="269"/>
      <c r="VTD237" s="269"/>
      <c r="VTE237" s="269"/>
      <c r="VTF237" s="269"/>
      <c r="VTG237" s="269"/>
      <c r="VTH237" s="269"/>
      <c r="VTI237" s="269"/>
      <c r="VTJ237" s="269"/>
      <c r="VTK237" s="269"/>
      <c r="VTL237" s="269"/>
      <c r="VTM237" s="269"/>
      <c r="VTN237" s="269"/>
      <c r="VTO237" s="269"/>
      <c r="VTP237" s="269"/>
      <c r="VTQ237" s="269"/>
      <c r="VTR237" s="269"/>
      <c r="VTS237" s="269"/>
      <c r="VTT237" s="269"/>
      <c r="VTU237" s="269"/>
      <c r="VTV237" s="269"/>
      <c r="VTW237" s="269"/>
      <c r="VTX237" s="269"/>
      <c r="VTY237" s="269"/>
      <c r="VTZ237" s="269"/>
      <c r="VUA237" s="269"/>
      <c r="VUB237" s="269"/>
      <c r="VUC237" s="269"/>
      <c r="VUD237" s="269"/>
      <c r="VUE237" s="269"/>
      <c r="VUF237" s="269"/>
      <c r="VUG237" s="269"/>
      <c r="VUH237" s="269"/>
      <c r="VUI237" s="269"/>
      <c r="VUJ237" s="269"/>
      <c r="VUK237" s="269"/>
      <c r="VUL237" s="269"/>
      <c r="VUM237" s="269"/>
      <c r="VUN237" s="269"/>
      <c r="VUO237" s="269"/>
      <c r="VUP237" s="269"/>
      <c r="VUQ237" s="269"/>
      <c r="VUR237" s="269"/>
      <c r="VUS237" s="269"/>
      <c r="VUT237" s="269"/>
      <c r="VUU237" s="269"/>
      <c r="VUV237" s="269"/>
      <c r="VUW237" s="269"/>
      <c r="VUX237" s="269"/>
      <c r="VUY237" s="269"/>
      <c r="VUZ237" s="269"/>
      <c r="VVA237" s="269"/>
      <c r="VVB237" s="269"/>
      <c r="VVC237" s="269"/>
      <c r="VVD237" s="269"/>
      <c r="VVE237" s="269"/>
      <c r="VVF237" s="269"/>
      <c r="VVG237" s="269"/>
      <c r="VVH237" s="269"/>
      <c r="VVI237" s="269"/>
      <c r="VVJ237" s="269"/>
      <c r="VVK237" s="269"/>
      <c r="VVL237" s="269"/>
      <c r="VVM237" s="269"/>
      <c r="VVN237" s="269"/>
      <c r="VVO237" s="269"/>
      <c r="VVP237" s="269"/>
      <c r="VVQ237" s="269"/>
      <c r="VVR237" s="269"/>
      <c r="VVS237" s="269"/>
      <c r="VVT237" s="269"/>
      <c r="VVU237" s="269"/>
      <c r="VVV237" s="269"/>
      <c r="VVW237" s="269"/>
      <c r="VVX237" s="269"/>
      <c r="VVY237" s="269"/>
      <c r="VVZ237" s="269"/>
      <c r="VWA237" s="269"/>
      <c r="VWB237" s="269"/>
      <c r="VWC237" s="269"/>
      <c r="VWD237" s="269"/>
      <c r="VWE237" s="269"/>
      <c r="VWF237" s="269"/>
      <c r="VWG237" s="269"/>
      <c r="VWH237" s="269"/>
      <c r="VWI237" s="269"/>
      <c r="VWJ237" s="269"/>
      <c r="VWK237" s="269"/>
      <c r="VWL237" s="269"/>
      <c r="VWM237" s="269"/>
      <c r="VWN237" s="269"/>
      <c r="VWO237" s="269"/>
      <c r="VWP237" s="269"/>
      <c r="VWQ237" s="269"/>
      <c r="VWR237" s="269"/>
      <c r="VWS237" s="269"/>
      <c r="VWT237" s="269"/>
      <c r="VWU237" s="269"/>
      <c r="VWV237" s="269"/>
      <c r="VWW237" s="269"/>
      <c r="VWX237" s="269"/>
      <c r="VWY237" s="269"/>
      <c r="VWZ237" s="269"/>
      <c r="VXA237" s="269"/>
      <c r="VXB237" s="269"/>
      <c r="VXC237" s="269"/>
      <c r="VXD237" s="269"/>
      <c r="VXE237" s="269"/>
      <c r="VXF237" s="269"/>
      <c r="VXG237" s="269"/>
      <c r="VXH237" s="269"/>
      <c r="VXI237" s="269"/>
      <c r="VXJ237" s="269"/>
      <c r="VXK237" s="269"/>
      <c r="VXL237" s="269"/>
      <c r="VXM237" s="269"/>
      <c r="VXN237" s="269"/>
      <c r="VXO237" s="269"/>
      <c r="VXP237" s="269"/>
      <c r="VXQ237" s="269"/>
      <c r="VXR237" s="269"/>
      <c r="VXS237" s="269"/>
      <c r="VXT237" s="269"/>
      <c r="VXU237" s="269"/>
      <c r="VXV237" s="269"/>
      <c r="VXW237" s="269"/>
      <c r="VXX237" s="269"/>
      <c r="VXY237" s="269"/>
      <c r="VXZ237" s="269"/>
      <c r="VYA237" s="269"/>
      <c r="VYB237" s="269"/>
      <c r="VYC237" s="269"/>
      <c r="VYD237" s="269"/>
      <c r="VYE237" s="269"/>
      <c r="VYF237" s="269"/>
      <c r="VYG237" s="269"/>
      <c r="VYH237" s="269"/>
      <c r="VYI237" s="269"/>
      <c r="VYJ237" s="269"/>
      <c r="VYK237" s="269"/>
      <c r="VYL237" s="269"/>
      <c r="VYM237" s="269"/>
      <c r="VYN237" s="269"/>
      <c r="VYO237" s="269"/>
      <c r="VYP237" s="269"/>
      <c r="VYQ237" s="269"/>
      <c r="VYR237" s="269"/>
      <c r="VYS237" s="269"/>
      <c r="VYT237" s="269"/>
      <c r="VYU237" s="269"/>
      <c r="VYV237" s="269"/>
      <c r="VYW237" s="269"/>
      <c r="VYX237" s="269"/>
      <c r="VYY237" s="269"/>
      <c r="VYZ237" s="269"/>
      <c r="VZA237" s="269"/>
      <c r="VZB237" s="269"/>
      <c r="VZC237" s="269"/>
      <c r="VZD237" s="269"/>
      <c r="VZE237" s="269"/>
      <c r="VZF237" s="269"/>
      <c r="VZG237" s="269"/>
      <c r="VZH237" s="269"/>
      <c r="VZI237" s="269"/>
      <c r="VZJ237" s="269"/>
      <c r="VZK237" s="269"/>
      <c r="VZL237" s="269"/>
      <c r="VZM237" s="269"/>
      <c r="VZN237" s="269"/>
      <c r="VZO237" s="269"/>
      <c r="VZP237" s="269"/>
      <c r="VZQ237" s="269"/>
      <c r="VZR237" s="269"/>
      <c r="VZS237" s="269"/>
      <c r="VZT237" s="269"/>
      <c r="VZU237" s="269"/>
      <c r="VZV237" s="269"/>
      <c r="VZW237" s="269"/>
      <c r="VZX237" s="269"/>
      <c r="VZY237" s="269"/>
      <c r="VZZ237" s="269"/>
      <c r="WAA237" s="269"/>
      <c r="WAB237" s="269"/>
      <c r="WAC237" s="269"/>
      <c r="WAD237" s="269"/>
      <c r="WAE237" s="269"/>
      <c r="WAF237" s="269"/>
      <c r="WAG237" s="269"/>
      <c r="WAH237" s="269"/>
      <c r="WAI237" s="269"/>
      <c r="WAJ237" s="269"/>
      <c r="WAK237" s="269"/>
      <c r="WAL237" s="269"/>
      <c r="WAM237" s="269"/>
      <c r="WAN237" s="269"/>
      <c r="WAO237" s="269"/>
      <c r="WAP237" s="269"/>
      <c r="WAQ237" s="269"/>
      <c r="WAR237" s="269"/>
      <c r="WAS237" s="269"/>
      <c r="WAT237" s="269"/>
      <c r="WAU237" s="269"/>
      <c r="WAV237" s="269"/>
      <c r="WAW237" s="269"/>
      <c r="WAX237" s="269"/>
      <c r="WAY237" s="269"/>
      <c r="WAZ237" s="269"/>
      <c r="WBA237" s="269"/>
      <c r="WBB237" s="269"/>
      <c r="WBC237" s="269"/>
      <c r="WBD237" s="269"/>
      <c r="WBE237" s="269"/>
      <c r="WBF237" s="269"/>
      <c r="WBG237" s="269"/>
      <c r="WBH237" s="269"/>
      <c r="WBI237" s="269"/>
      <c r="WBJ237" s="269"/>
      <c r="WBK237" s="269"/>
      <c r="WBL237" s="269"/>
      <c r="WBM237" s="269"/>
      <c r="WBN237" s="269"/>
      <c r="WBO237" s="269"/>
      <c r="WBP237" s="269"/>
      <c r="WBQ237" s="269"/>
      <c r="WBR237" s="269"/>
      <c r="WBS237" s="269"/>
      <c r="WBT237" s="269"/>
      <c r="WBU237" s="269"/>
      <c r="WBV237" s="269"/>
      <c r="WBW237" s="269"/>
      <c r="WBX237" s="269"/>
      <c r="WBY237" s="269"/>
      <c r="WBZ237" s="269"/>
      <c r="WCA237" s="269"/>
      <c r="WCB237" s="269"/>
      <c r="WCC237" s="269"/>
      <c r="WCD237" s="269"/>
      <c r="WCE237" s="269"/>
      <c r="WCF237" s="269"/>
      <c r="WCG237" s="269"/>
      <c r="WCH237" s="269"/>
      <c r="WCI237" s="269"/>
      <c r="WCJ237" s="269"/>
      <c r="WCK237" s="269"/>
      <c r="WCL237" s="269"/>
      <c r="WCM237" s="269"/>
      <c r="WCN237" s="269"/>
      <c r="WCO237" s="269"/>
      <c r="WCP237" s="269"/>
      <c r="WCQ237" s="269"/>
      <c r="WCR237" s="269"/>
      <c r="WCS237" s="269"/>
      <c r="WCT237" s="269"/>
      <c r="WCU237" s="269"/>
      <c r="WCV237" s="269"/>
      <c r="WCW237" s="269"/>
      <c r="WCX237" s="269"/>
      <c r="WCY237" s="269"/>
      <c r="WCZ237" s="269"/>
      <c r="WDA237" s="269"/>
      <c r="WDB237" s="269"/>
      <c r="WDC237" s="269"/>
      <c r="WDD237" s="269"/>
      <c r="WDE237" s="269"/>
      <c r="WDF237" s="269"/>
      <c r="WDG237" s="269"/>
      <c r="WDH237" s="269"/>
      <c r="WDI237" s="269"/>
      <c r="WDJ237" s="269"/>
      <c r="WDK237" s="269"/>
      <c r="WDL237" s="269"/>
      <c r="WDM237" s="269"/>
      <c r="WDN237" s="269"/>
      <c r="WDO237" s="269"/>
      <c r="WDP237" s="269"/>
      <c r="WDQ237" s="269"/>
      <c r="WDR237" s="269"/>
      <c r="WDS237" s="269"/>
      <c r="WDT237" s="269"/>
      <c r="WDU237" s="269"/>
      <c r="WDV237" s="269"/>
      <c r="WDW237" s="269"/>
      <c r="WDX237" s="269"/>
      <c r="WDY237" s="269"/>
      <c r="WDZ237" s="269"/>
      <c r="WEA237" s="269"/>
      <c r="WEB237" s="269"/>
      <c r="WEC237" s="269"/>
      <c r="WED237" s="269"/>
      <c r="WEE237" s="269"/>
      <c r="WEF237" s="269"/>
      <c r="WEG237" s="269"/>
      <c r="WEH237" s="269"/>
      <c r="WEI237" s="269"/>
      <c r="WEJ237" s="269"/>
      <c r="WEK237" s="269"/>
      <c r="WEL237" s="269"/>
      <c r="WEM237" s="269"/>
      <c r="WEN237" s="269"/>
      <c r="WEO237" s="269"/>
      <c r="WEP237" s="269"/>
      <c r="WEQ237" s="269"/>
      <c r="WER237" s="269"/>
      <c r="WES237" s="269"/>
      <c r="WET237" s="269"/>
      <c r="WEU237" s="269"/>
      <c r="WEV237" s="269"/>
      <c r="WEW237" s="269"/>
      <c r="WEX237" s="269"/>
      <c r="WEY237" s="269"/>
      <c r="WEZ237" s="269"/>
      <c r="WFA237" s="269"/>
      <c r="WFB237" s="269"/>
      <c r="WFC237" s="269"/>
      <c r="WFD237" s="269"/>
      <c r="WFE237" s="269"/>
      <c r="WFF237" s="269"/>
      <c r="WFG237" s="269"/>
      <c r="WFH237" s="269"/>
      <c r="WFI237" s="269"/>
      <c r="WFJ237" s="269"/>
      <c r="WFK237" s="269"/>
      <c r="WFL237" s="269"/>
      <c r="WFM237" s="269"/>
      <c r="WFN237" s="269"/>
      <c r="WFO237" s="269"/>
      <c r="WFP237" s="269"/>
      <c r="WFQ237" s="269"/>
      <c r="WFR237" s="269"/>
      <c r="WFS237" s="269"/>
      <c r="WFT237" s="269"/>
      <c r="WFU237" s="269"/>
      <c r="WFV237" s="269"/>
      <c r="WFW237" s="269"/>
      <c r="WFX237" s="269"/>
      <c r="WFY237" s="269"/>
      <c r="WFZ237" s="269"/>
      <c r="WGA237" s="269"/>
      <c r="WGB237" s="269"/>
      <c r="WGC237" s="269"/>
      <c r="WGD237" s="269"/>
      <c r="WGE237" s="269"/>
      <c r="WGF237" s="269"/>
      <c r="WGG237" s="269"/>
      <c r="WGH237" s="269"/>
      <c r="WGI237" s="269"/>
      <c r="WGJ237" s="269"/>
      <c r="WGK237" s="269"/>
      <c r="WGL237" s="269"/>
      <c r="WGM237" s="269"/>
      <c r="WGN237" s="269"/>
      <c r="WGO237" s="269"/>
      <c r="WGP237" s="269"/>
      <c r="WGQ237" s="269"/>
      <c r="WGR237" s="269"/>
      <c r="WGS237" s="269"/>
      <c r="WGT237" s="269"/>
      <c r="WGU237" s="269"/>
      <c r="WGV237" s="269"/>
      <c r="WGW237" s="269"/>
      <c r="WGX237" s="269"/>
      <c r="WGY237" s="269"/>
      <c r="WGZ237" s="269"/>
      <c r="WHA237" s="269"/>
      <c r="WHB237" s="269"/>
      <c r="WHC237" s="269"/>
      <c r="WHD237" s="269"/>
      <c r="WHE237" s="269"/>
      <c r="WHF237" s="269"/>
      <c r="WHG237" s="269"/>
      <c r="WHH237" s="269"/>
      <c r="WHI237" s="269"/>
      <c r="WHJ237" s="269"/>
      <c r="WHK237" s="269"/>
      <c r="WHL237" s="269"/>
      <c r="WHM237" s="269"/>
      <c r="WHN237" s="269"/>
      <c r="WHO237" s="269"/>
      <c r="WHP237" s="269"/>
      <c r="WHQ237" s="269"/>
      <c r="WHR237" s="269"/>
      <c r="WHS237" s="269"/>
      <c r="WHT237" s="269"/>
      <c r="WHU237" s="269"/>
      <c r="WHV237" s="269"/>
      <c r="WHW237" s="269"/>
      <c r="WHX237" s="269"/>
      <c r="WHY237" s="269"/>
      <c r="WHZ237" s="269"/>
      <c r="WIA237" s="269"/>
      <c r="WIB237" s="269"/>
      <c r="WIC237" s="269"/>
      <c r="WID237" s="269"/>
      <c r="WIE237" s="269"/>
      <c r="WIF237" s="269"/>
      <c r="WIG237" s="269"/>
      <c r="WIH237" s="269"/>
      <c r="WII237" s="269"/>
      <c r="WIJ237" s="269"/>
      <c r="WIK237" s="269"/>
      <c r="WIL237" s="269"/>
      <c r="WIM237" s="269"/>
      <c r="WIN237" s="269"/>
      <c r="WIO237" s="269"/>
      <c r="WIP237" s="269"/>
      <c r="WIQ237" s="269"/>
      <c r="WIR237" s="269"/>
      <c r="WIS237" s="269"/>
      <c r="WIT237" s="269"/>
      <c r="WIU237" s="269"/>
      <c r="WIV237" s="269"/>
      <c r="WIW237" s="269"/>
      <c r="WIX237" s="269"/>
      <c r="WIY237" s="269"/>
      <c r="WIZ237" s="269"/>
      <c r="WJA237" s="269"/>
      <c r="WJB237" s="269"/>
      <c r="WJC237" s="269"/>
      <c r="WJD237" s="269"/>
      <c r="WJE237" s="269"/>
      <c r="WJF237" s="269"/>
      <c r="WJG237" s="269"/>
      <c r="WJH237" s="269"/>
      <c r="WJI237" s="269"/>
      <c r="WJJ237" s="269"/>
      <c r="WJK237" s="269"/>
      <c r="WJL237" s="269"/>
      <c r="WJM237" s="269"/>
      <c r="WJN237" s="269"/>
      <c r="WJO237" s="269"/>
      <c r="WJP237" s="269"/>
      <c r="WJQ237" s="269"/>
      <c r="WJR237" s="269"/>
      <c r="WJS237" s="269"/>
      <c r="WJT237" s="269"/>
      <c r="WJU237" s="269"/>
      <c r="WJV237" s="269"/>
      <c r="WJW237" s="269"/>
      <c r="WJX237" s="269"/>
      <c r="WJY237" s="269"/>
      <c r="WJZ237" s="269"/>
      <c r="WKA237" s="269"/>
      <c r="WKB237" s="269"/>
      <c r="WKC237" s="269"/>
      <c r="WKD237" s="269"/>
      <c r="WKE237" s="269"/>
      <c r="WKF237" s="269"/>
      <c r="WKG237" s="269"/>
      <c r="WKH237" s="269"/>
      <c r="WKI237" s="269"/>
      <c r="WKJ237" s="269"/>
      <c r="WKK237" s="269"/>
      <c r="WKL237" s="269"/>
      <c r="WKM237" s="269"/>
      <c r="WKN237" s="269"/>
      <c r="WKO237" s="269"/>
      <c r="WKP237" s="269"/>
      <c r="WKQ237" s="269"/>
      <c r="WKR237" s="269"/>
      <c r="WKS237" s="269"/>
      <c r="WKT237" s="269"/>
      <c r="WKU237" s="269"/>
      <c r="WKV237" s="269"/>
      <c r="WKW237" s="269"/>
      <c r="WKX237" s="269"/>
      <c r="WKY237" s="269"/>
      <c r="WKZ237" s="269"/>
      <c r="WLA237" s="269"/>
      <c r="WLB237" s="269"/>
      <c r="WLC237" s="269"/>
      <c r="WLD237" s="269"/>
      <c r="WLE237" s="269"/>
      <c r="WLF237" s="269"/>
      <c r="WLG237" s="269"/>
      <c r="WLH237" s="269"/>
      <c r="WLI237" s="269"/>
      <c r="WLJ237" s="269"/>
      <c r="WLK237" s="269"/>
      <c r="WLL237" s="269"/>
      <c r="WLM237" s="269"/>
      <c r="WLN237" s="269"/>
      <c r="WLO237" s="269"/>
      <c r="WLP237" s="269"/>
      <c r="WLQ237" s="269"/>
      <c r="WLR237" s="269"/>
      <c r="WLS237" s="269"/>
      <c r="WLT237" s="269"/>
      <c r="WLU237" s="269"/>
      <c r="WLV237" s="269"/>
      <c r="WLW237" s="269"/>
      <c r="WLX237" s="269"/>
      <c r="WLY237" s="269"/>
      <c r="WLZ237" s="269"/>
      <c r="WMA237" s="269"/>
      <c r="WMB237" s="269"/>
      <c r="WMC237" s="269"/>
      <c r="WMD237" s="269"/>
      <c r="WME237" s="269"/>
      <c r="WMF237" s="269"/>
      <c r="WMG237" s="269"/>
      <c r="WMH237" s="269"/>
      <c r="WMI237" s="269"/>
      <c r="WMJ237" s="269"/>
      <c r="WMK237" s="269"/>
      <c r="WML237" s="269"/>
      <c r="WMM237" s="269"/>
      <c r="WMN237" s="269"/>
      <c r="WMO237" s="269"/>
      <c r="WMP237" s="269"/>
      <c r="WMQ237" s="269"/>
      <c r="WMR237" s="269"/>
      <c r="WMS237" s="269"/>
      <c r="WMT237" s="269"/>
      <c r="WMU237" s="269"/>
      <c r="WMV237" s="269"/>
      <c r="WMW237" s="269"/>
      <c r="WMX237" s="269"/>
      <c r="WMY237" s="269"/>
      <c r="WMZ237" s="269"/>
      <c r="WNA237" s="269"/>
      <c r="WNB237" s="269"/>
      <c r="WNC237" s="269"/>
      <c r="WND237" s="269"/>
      <c r="WNE237" s="269"/>
      <c r="WNF237" s="269"/>
      <c r="WNG237" s="269"/>
      <c r="WNH237" s="269"/>
      <c r="WNI237" s="269"/>
      <c r="WNJ237" s="269"/>
      <c r="WNK237" s="269"/>
      <c r="WNL237" s="269"/>
      <c r="WNM237" s="269"/>
      <c r="WNN237" s="269"/>
      <c r="WNO237" s="269"/>
      <c r="WNP237" s="269"/>
      <c r="WNQ237" s="269"/>
      <c r="WNR237" s="269"/>
      <c r="WNS237" s="269"/>
      <c r="WNT237" s="269"/>
      <c r="WNU237" s="269"/>
      <c r="WNV237" s="269"/>
      <c r="WNW237" s="269"/>
      <c r="WNX237" s="269"/>
      <c r="WNY237" s="269"/>
      <c r="WNZ237" s="269"/>
      <c r="WOA237" s="269"/>
      <c r="WOB237" s="269"/>
      <c r="WOC237" s="269"/>
      <c r="WOD237" s="269"/>
      <c r="WOE237" s="269"/>
      <c r="WOF237" s="269"/>
      <c r="WOG237" s="269"/>
      <c r="WOH237" s="269"/>
      <c r="WOI237" s="269"/>
      <c r="WOJ237" s="269"/>
      <c r="WOK237" s="269"/>
      <c r="WOL237" s="269"/>
      <c r="WOM237" s="269"/>
      <c r="WON237" s="269"/>
      <c r="WOO237" s="269"/>
      <c r="WOP237" s="269"/>
      <c r="WOQ237" s="269"/>
      <c r="WOR237" s="269"/>
      <c r="WOS237" s="269"/>
      <c r="WOT237" s="269"/>
      <c r="WOU237" s="269"/>
      <c r="WOV237" s="269"/>
      <c r="WOW237" s="269"/>
      <c r="WOX237" s="269"/>
      <c r="WOY237" s="269"/>
      <c r="WOZ237" s="269"/>
      <c r="WPA237" s="269"/>
      <c r="WPB237" s="269"/>
      <c r="WPC237" s="269"/>
      <c r="WPD237" s="269"/>
      <c r="WPE237" s="269"/>
      <c r="WPF237" s="269"/>
      <c r="WPG237" s="269"/>
      <c r="WPH237" s="269"/>
      <c r="WPI237" s="269"/>
      <c r="WPJ237" s="269"/>
      <c r="WPK237" s="269"/>
      <c r="WPL237" s="269"/>
      <c r="WPM237" s="269"/>
      <c r="WPN237" s="269"/>
      <c r="WPO237" s="269"/>
      <c r="WPP237" s="269"/>
      <c r="WPQ237" s="269"/>
      <c r="WPR237" s="269"/>
      <c r="WPS237" s="269"/>
      <c r="WPT237" s="269"/>
      <c r="WPU237" s="269"/>
      <c r="WPV237" s="269"/>
      <c r="WPW237" s="269"/>
      <c r="WPX237" s="269"/>
      <c r="WPY237" s="269"/>
      <c r="WPZ237" s="269"/>
      <c r="WQA237" s="269"/>
      <c r="WQB237" s="269"/>
      <c r="WQC237" s="269"/>
      <c r="WQD237" s="269"/>
      <c r="WQE237" s="269"/>
      <c r="WQF237" s="269"/>
      <c r="WQG237" s="269"/>
      <c r="WQH237" s="269"/>
      <c r="WQI237" s="269"/>
      <c r="WQJ237" s="269"/>
      <c r="WQK237" s="269"/>
      <c r="WQL237" s="269"/>
      <c r="WQM237" s="269"/>
      <c r="WQN237" s="269"/>
      <c r="WQO237" s="269"/>
      <c r="WQP237" s="269"/>
      <c r="WQQ237" s="269"/>
      <c r="WQR237" s="269"/>
      <c r="WQS237" s="269"/>
      <c r="WQT237" s="269"/>
      <c r="WQU237" s="269"/>
      <c r="WQV237" s="269"/>
      <c r="WQW237" s="269"/>
      <c r="WQX237" s="269"/>
      <c r="WQY237" s="269"/>
      <c r="WQZ237" s="269"/>
      <c r="WRA237" s="269"/>
      <c r="WRB237" s="269"/>
      <c r="WRC237" s="269"/>
      <c r="WRD237" s="269"/>
      <c r="WRE237" s="269"/>
      <c r="WRF237" s="269"/>
      <c r="WRG237" s="269"/>
      <c r="WRH237" s="269"/>
      <c r="WRI237" s="269"/>
      <c r="WRJ237" s="269"/>
      <c r="WRK237" s="269"/>
      <c r="WRL237" s="269"/>
      <c r="WRM237" s="269"/>
      <c r="WRN237" s="269"/>
      <c r="WRO237" s="269"/>
      <c r="WRP237" s="269"/>
      <c r="WRQ237" s="269"/>
      <c r="WRR237" s="269"/>
      <c r="WRS237" s="269"/>
      <c r="WRT237" s="269"/>
      <c r="WRU237" s="269"/>
      <c r="WRV237" s="269"/>
      <c r="WRW237" s="269"/>
      <c r="WRX237" s="269"/>
      <c r="WRY237" s="269"/>
      <c r="WRZ237" s="269"/>
      <c r="WSA237" s="269"/>
      <c r="WSB237" s="269"/>
      <c r="WSC237" s="269"/>
      <c r="WSD237" s="269"/>
      <c r="WSE237" s="269"/>
      <c r="WSF237" s="269"/>
      <c r="WSG237" s="269"/>
      <c r="WSH237" s="269"/>
      <c r="WSI237" s="269"/>
      <c r="WSJ237" s="269"/>
      <c r="WSK237" s="269"/>
      <c r="WSL237" s="269"/>
      <c r="WSM237" s="269"/>
      <c r="WSN237" s="269"/>
      <c r="WSO237" s="269"/>
      <c r="WSP237" s="269"/>
      <c r="WSQ237" s="269"/>
      <c r="WSR237" s="269"/>
      <c r="WSS237" s="269"/>
      <c r="WST237" s="269"/>
      <c r="WSU237" s="269"/>
      <c r="WSV237" s="269"/>
      <c r="WSW237" s="269"/>
      <c r="WSX237" s="269"/>
      <c r="WSY237" s="269"/>
      <c r="WSZ237" s="269"/>
      <c r="WTA237" s="269"/>
      <c r="WTB237" s="269"/>
      <c r="WTC237" s="269"/>
      <c r="WTD237" s="269"/>
      <c r="WTE237" s="269"/>
      <c r="WTF237" s="269"/>
      <c r="WTG237" s="269"/>
      <c r="WTH237" s="269"/>
      <c r="WTI237" s="269"/>
      <c r="WTJ237" s="269"/>
      <c r="WTK237" s="269"/>
      <c r="WTL237" s="269"/>
      <c r="WTM237" s="269"/>
      <c r="WTN237" s="269"/>
      <c r="WTO237" s="269"/>
      <c r="WTP237" s="269"/>
      <c r="WTQ237" s="269"/>
      <c r="WTR237" s="269"/>
      <c r="WTS237" s="269"/>
      <c r="WTT237" s="269"/>
      <c r="WTU237" s="269"/>
      <c r="WTV237" s="269"/>
      <c r="WTW237" s="269"/>
      <c r="WTX237" s="269"/>
      <c r="WTY237" s="269"/>
      <c r="WTZ237" s="269"/>
      <c r="WUA237" s="269"/>
      <c r="WUB237" s="269"/>
      <c r="WUC237" s="269"/>
      <c r="WUD237" s="269"/>
      <c r="WUE237" s="269"/>
      <c r="WUF237" s="269"/>
      <c r="WUG237" s="269"/>
      <c r="WUH237" s="269"/>
      <c r="WUI237" s="269"/>
      <c r="WUJ237" s="269"/>
      <c r="WUK237" s="269"/>
      <c r="WUL237" s="269"/>
      <c r="WUM237" s="269"/>
      <c r="WUN237" s="269"/>
      <c r="WUO237" s="269"/>
      <c r="WUP237" s="269"/>
      <c r="WUQ237" s="269"/>
      <c r="WUR237" s="269"/>
      <c r="WUS237" s="269"/>
      <c r="WUT237" s="269"/>
      <c r="WUU237" s="269"/>
      <c r="WUV237" s="269"/>
      <c r="WUW237" s="269"/>
      <c r="WUX237" s="269"/>
      <c r="WUY237" s="269"/>
      <c r="WUZ237" s="269"/>
      <c r="WVA237" s="269"/>
      <c r="WVB237" s="269"/>
      <c r="WVC237" s="269"/>
      <c r="WVD237" s="269"/>
      <c r="WVE237" s="269"/>
      <c r="WVF237" s="269"/>
      <c r="WVG237" s="269"/>
      <c r="WVH237" s="269"/>
      <c r="WVI237" s="269"/>
      <c r="WVJ237" s="269"/>
      <c r="WVK237" s="269"/>
      <c r="WVL237" s="269"/>
      <c r="WVM237" s="269"/>
      <c r="WVN237" s="269"/>
      <c r="WVO237" s="269"/>
      <c r="WVP237" s="269"/>
      <c r="WVQ237" s="269"/>
      <c r="WVR237" s="269"/>
      <c r="WVS237" s="269"/>
      <c r="WVT237" s="269"/>
      <c r="WVU237" s="269"/>
      <c r="WVV237" s="269"/>
      <c r="WVW237" s="269"/>
      <c r="WVX237" s="269"/>
      <c r="WVY237" s="269"/>
      <c r="WVZ237" s="269"/>
      <c r="WWA237" s="269"/>
      <c r="WWB237" s="269"/>
      <c r="WWC237" s="269"/>
      <c r="WWD237" s="269"/>
      <c r="WWE237" s="269"/>
      <c r="WWF237" s="269"/>
      <c r="WWG237" s="269"/>
      <c r="WWH237" s="269"/>
      <c r="WWI237" s="269"/>
      <c r="WWJ237" s="269"/>
      <c r="WWK237" s="269"/>
      <c r="WWL237" s="269"/>
      <c r="WWM237" s="269"/>
      <c r="WWN237" s="269"/>
      <c r="WWO237" s="269"/>
      <c r="WWP237" s="269"/>
      <c r="WWQ237" s="269"/>
      <c r="WWR237" s="269"/>
      <c r="WWS237" s="269"/>
      <c r="WWT237" s="269"/>
      <c r="WWU237" s="269"/>
      <c r="WWV237" s="269"/>
      <c r="WWW237" s="269"/>
      <c r="WWX237" s="269"/>
      <c r="WWY237" s="269"/>
      <c r="WWZ237" s="269"/>
      <c r="WXA237" s="269"/>
      <c r="WXB237" s="269"/>
      <c r="WXC237" s="269"/>
      <c r="WXD237" s="269"/>
      <c r="WXE237" s="269"/>
      <c r="WXF237" s="269"/>
      <c r="WXG237" s="269"/>
      <c r="WXH237" s="269"/>
      <c r="WXI237" s="269"/>
      <c r="WXJ237" s="269"/>
      <c r="WXK237" s="269"/>
      <c r="WXL237" s="269"/>
      <c r="WXM237" s="269"/>
      <c r="WXN237" s="269"/>
      <c r="WXO237" s="269"/>
      <c r="WXP237" s="269"/>
      <c r="WXQ237" s="269"/>
      <c r="WXR237" s="269"/>
      <c r="WXS237" s="269"/>
      <c r="WXT237" s="269"/>
      <c r="WXU237" s="269"/>
      <c r="WXV237" s="269"/>
      <c r="WXW237" s="269"/>
      <c r="WXX237" s="269"/>
      <c r="WXY237" s="269"/>
      <c r="WXZ237" s="269"/>
      <c r="WYA237" s="269"/>
      <c r="WYB237" s="269"/>
      <c r="WYC237" s="269"/>
      <c r="WYD237" s="269"/>
      <c r="WYE237" s="269"/>
      <c r="WYF237" s="269"/>
      <c r="WYG237" s="269"/>
      <c r="WYH237" s="269"/>
      <c r="WYI237" s="269"/>
      <c r="WYJ237" s="269"/>
      <c r="WYK237" s="269"/>
      <c r="WYL237" s="269"/>
      <c r="WYM237" s="269"/>
      <c r="WYN237" s="269"/>
      <c r="WYO237" s="269"/>
      <c r="WYP237" s="269"/>
      <c r="WYQ237" s="269"/>
      <c r="WYR237" s="269"/>
      <c r="WYS237" s="269"/>
      <c r="WYT237" s="269"/>
      <c r="WYU237" s="269"/>
      <c r="WYV237" s="269"/>
      <c r="WYW237" s="269"/>
      <c r="WYX237" s="269"/>
      <c r="WYY237" s="269"/>
      <c r="WYZ237" s="269"/>
      <c r="WZA237" s="269"/>
      <c r="WZB237" s="269"/>
      <c r="WZC237" s="269"/>
      <c r="WZD237" s="269"/>
      <c r="WZE237" s="269"/>
      <c r="WZF237" s="269"/>
      <c r="WZG237" s="269"/>
      <c r="WZH237" s="269"/>
      <c r="WZI237" s="269"/>
      <c r="WZJ237" s="269"/>
      <c r="WZK237" s="269"/>
      <c r="WZL237" s="269"/>
      <c r="WZM237" s="269"/>
      <c r="WZN237" s="269"/>
      <c r="WZO237" s="269"/>
      <c r="WZP237" s="269"/>
      <c r="WZQ237" s="269"/>
      <c r="WZR237" s="269"/>
      <c r="WZS237" s="269"/>
      <c r="WZT237" s="269"/>
      <c r="WZU237" s="269"/>
      <c r="WZV237" s="269"/>
      <c r="WZW237" s="269"/>
      <c r="WZX237" s="269"/>
      <c r="WZY237" s="269"/>
      <c r="WZZ237" s="269"/>
      <c r="XAA237" s="269"/>
      <c r="XAB237" s="269"/>
      <c r="XAC237" s="269"/>
      <c r="XAD237" s="269"/>
      <c r="XAE237" s="269"/>
      <c r="XAF237" s="269"/>
      <c r="XAG237" s="269"/>
      <c r="XAH237" s="269"/>
      <c r="XAI237" s="269"/>
      <c r="XAJ237" s="269"/>
      <c r="XAK237" s="269"/>
      <c r="XAL237" s="269"/>
      <c r="XAM237" s="269"/>
      <c r="XAN237" s="269"/>
      <c r="XAO237" s="269"/>
      <c r="XAP237" s="269"/>
      <c r="XAQ237" s="269"/>
      <c r="XAR237" s="269"/>
      <c r="XAS237" s="269"/>
      <c r="XAT237" s="269"/>
      <c r="XAU237" s="269"/>
      <c r="XAV237" s="269"/>
      <c r="XAW237" s="269"/>
      <c r="XAX237" s="269"/>
      <c r="XAY237" s="269"/>
      <c r="XAZ237" s="269"/>
      <c r="XBA237" s="269"/>
      <c r="XBB237" s="269"/>
      <c r="XBC237" s="269"/>
      <c r="XBD237" s="269"/>
      <c r="XBE237" s="269"/>
      <c r="XBF237" s="269"/>
      <c r="XBG237" s="269"/>
      <c r="XBH237" s="269"/>
      <c r="XBI237" s="269"/>
      <c r="XBJ237" s="269"/>
      <c r="XBK237" s="269"/>
      <c r="XBL237" s="269"/>
      <c r="XBM237" s="269"/>
      <c r="XBN237" s="269"/>
      <c r="XBO237" s="269"/>
      <c r="XBP237" s="269"/>
      <c r="XBQ237" s="269"/>
      <c r="XBR237" s="269"/>
      <c r="XBS237" s="269"/>
      <c r="XBT237" s="269"/>
      <c r="XBU237" s="269"/>
      <c r="XBV237" s="269"/>
      <c r="XBW237" s="269"/>
      <c r="XBX237" s="269"/>
      <c r="XBY237" s="269"/>
      <c r="XBZ237" s="269"/>
      <c r="XCA237" s="269"/>
      <c r="XCB237" s="269"/>
      <c r="XCC237" s="269"/>
      <c r="XCD237" s="269"/>
      <c r="XCE237" s="269"/>
      <c r="XCF237" s="269"/>
      <c r="XCG237" s="269"/>
      <c r="XCH237" s="269"/>
      <c r="XCI237" s="269"/>
      <c r="XCJ237" s="269"/>
      <c r="XCK237" s="269"/>
      <c r="XCL237" s="269"/>
      <c r="XCM237" s="269"/>
      <c r="XCN237" s="269"/>
      <c r="XCO237" s="269"/>
      <c r="XCP237" s="269"/>
      <c r="XCQ237" s="269"/>
      <c r="XCR237" s="269"/>
      <c r="XCS237" s="269"/>
      <c r="XCT237" s="269"/>
      <c r="XCU237" s="269"/>
      <c r="XCV237" s="269"/>
      <c r="XCW237" s="269"/>
      <c r="XCX237" s="269"/>
      <c r="XCY237" s="269"/>
      <c r="XCZ237" s="269"/>
      <c r="XDA237" s="269"/>
      <c r="XDB237" s="269"/>
      <c r="XDC237" s="269"/>
      <c r="XDD237" s="269"/>
      <c r="XDE237" s="269"/>
      <c r="XDF237" s="269"/>
      <c r="XDG237" s="269"/>
      <c r="XDH237" s="269"/>
      <c r="XDI237" s="269"/>
      <c r="XDJ237" s="269"/>
      <c r="XDK237" s="269"/>
      <c r="XDL237" s="269"/>
      <c r="XDM237" s="269"/>
      <c r="XDN237" s="269"/>
      <c r="XDO237" s="269"/>
      <c r="XDP237" s="269"/>
      <c r="XDQ237" s="269"/>
      <c r="XDR237" s="269"/>
      <c r="XDS237" s="269"/>
      <c r="XDT237" s="269"/>
      <c r="XDU237" s="269"/>
      <c r="XDV237" s="269"/>
      <c r="XDW237" s="269"/>
      <c r="XDX237" s="269"/>
      <c r="XDY237" s="269"/>
      <c r="XDZ237" s="269"/>
      <c r="XEA237" s="269"/>
      <c r="XEB237" s="269"/>
      <c r="XEC237" s="269"/>
      <c r="XED237" s="269"/>
      <c r="XEE237" s="269"/>
      <c r="XEF237" s="269"/>
      <c r="XEG237" s="269"/>
      <c r="XEH237" s="269"/>
      <c r="XEI237" s="269"/>
      <c r="XEJ237" s="269"/>
      <c r="XEK237" s="269"/>
      <c r="XEL237" s="269"/>
      <c r="XEM237" s="269"/>
      <c r="XEN237" s="269"/>
      <c r="XEO237" s="269"/>
      <c r="XEP237" s="269"/>
      <c r="XEQ237" s="269"/>
      <c r="XER237" s="269"/>
      <c r="XES237" s="269"/>
      <c r="XET237" s="269"/>
      <c r="XEU237" s="269"/>
      <c r="XEV237" s="269"/>
    </row>
    <row r="238" spans="1:16376" hidden="1" x14ac:dyDescent="0.15">
      <c r="A238" s="148" t="s">
        <v>770</v>
      </c>
      <c r="B238" s="258"/>
      <c r="C238" s="151"/>
      <c r="D238" s="151"/>
      <c r="E238" s="151"/>
      <c r="F238" s="152"/>
      <c r="G238" s="154"/>
      <c r="H238" s="154"/>
      <c r="I238" s="154"/>
      <c r="J238" s="155"/>
      <c r="K238" s="151"/>
      <c r="L238" s="151"/>
      <c r="M238" s="151"/>
      <c r="N238" s="152"/>
      <c r="O238" s="154"/>
      <c r="P238" s="154"/>
      <c r="Q238" s="154"/>
      <c r="R238" s="155"/>
      <c r="S238" s="151"/>
      <c r="T238" s="151"/>
      <c r="U238" s="151"/>
      <c r="V238" s="152"/>
      <c r="W238" s="154"/>
      <c r="X238" s="154"/>
      <c r="Y238" s="154"/>
      <c r="Z238" s="155"/>
      <c r="AA238" s="151"/>
      <c r="AB238" s="151"/>
      <c r="AC238" s="151"/>
      <c r="AD238" s="152"/>
      <c r="AE238" s="157"/>
      <c r="AF238" s="157"/>
      <c r="AG238" s="157"/>
      <c r="AH238" s="158"/>
    </row>
    <row r="239" spans="1:16376" hidden="1" x14ac:dyDescent="0.15">
      <c r="A239" s="235" t="s">
        <v>771</v>
      </c>
      <c r="B239" s="271">
        <v>120.73418377394309</v>
      </c>
      <c r="C239" s="272">
        <v>99.282976466227879</v>
      </c>
      <c r="D239" s="272">
        <v>81.996231095531272</v>
      </c>
      <c r="E239" s="272">
        <v>70.85645820276396</v>
      </c>
      <c r="F239" s="181">
        <v>-1.7044527676005616E-2</v>
      </c>
      <c r="G239" s="273">
        <v>94.583734759219197</v>
      </c>
      <c r="H239" s="273">
        <v>74.703577853739091</v>
      </c>
      <c r="I239" s="273">
        <v>63.062252138034154</v>
      </c>
      <c r="J239" s="185">
        <v>-2.0647924757400404E-2</v>
      </c>
      <c r="K239" s="272">
        <v>88.866496159708447</v>
      </c>
      <c r="L239" s="272">
        <v>69.717193785776104</v>
      </c>
      <c r="M239" s="272">
        <v>55.3100666018128</v>
      </c>
      <c r="N239" s="181">
        <v>-2.4831653070392923E-2</v>
      </c>
      <c r="O239" s="273">
        <v>87.896475777580363</v>
      </c>
      <c r="P239" s="273">
        <v>70.897257805616889</v>
      </c>
      <c r="Q239" s="273">
        <v>70.882149432654955</v>
      </c>
      <c r="R239" s="185">
        <v>-1.6838620438526797E-2</v>
      </c>
      <c r="S239" s="272">
        <v>94.855602126407916</v>
      </c>
      <c r="T239" s="272">
        <v>75.696686976622971</v>
      </c>
      <c r="U239" s="272">
        <v>64.507929237722834</v>
      </c>
      <c r="V239" s="181">
        <v>-1.9931232390082765E-2</v>
      </c>
      <c r="W239" s="273">
        <v>94.411937164925448</v>
      </c>
      <c r="X239" s="273">
        <v>73.547155155770227</v>
      </c>
      <c r="Y239" s="273">
        <v>62.551558436485223</v>
      </c>
      <c r="Z239" s="185">
        <v>-2.0900193979644488E-2</v>
      </c>
      <c r="AA239" s="272">
        <v>93.938442342779979</v>
      </c>
      <c r="AB239" s="272">
        <v>73.358452509911416</v>
      </c>
      <c r="AC239" s="272">
        <v>61.917566572182629</v>
      </c>
      <c r="AD239" s="181">
        <v>-2.1235243196065401E-2</v>
      </c>
      <c r="AE239" s="274">
        <v>86.209708869252708</v>
      </c>
      <c r="AF239" s="274">
        <v>68.107911399972622</v>
      </c>
      <c r="AG239" s="274">
        <v>63.341908730298378</v>
      </c>
      <c r="AH239" s="189">
        <v>-2.0509544718551598E-2</v>
      </c>
    </row>
    <row r="240" spans="1:16376" hidden="1" x14ac:dyDescent="0.15">
      <c r="A240" s="275" t="s">
        <v>772</v>
      </c>
      <c r="B240" s="276">
        <v>86.007168680918838</v>
      </c>
      <c r="C240" s="277">
        <v>70.726015094968133</v>
      </c>
      <c r="D240" s="277">
        <v>58.411490918241363</v>
      </c>
      <c r="E240" s="277">
        <v>50.475873214068478</v>
      </c>
      <c r="F240" s="162">
        <v>-1.7044527676005616E-2</v>
      </c>
      <c r="G240" s="278">
        <v>67.378425692087418</v>
      </c>
      <c r="H240" s="278">
        <v>53.216438134576983</v>
      </c>
      <c r="I240" s="278">
        <v>44.923530250470009</v>
      </c>
      <c r="J240" s="165">
        <v>-2.0647924757400404E-2</v>
      </c>
      <c r="K240" s="277">
        <v>63.30564788180412</v>
      </c>
      <c r="L240" s="277">
        <v>49.664297703130281</v>
      </c>
      <c r="M240" s="277">
        <v>39.401121366603711</v>
      </c>
      <c r="N240" s="162">
        <v>-2.4831653070392923E-2</v>
      </c>
      <c r="O240" s="278">
        <v>62.614636405006237</v>
      </c>
      <c r="P240" s="278">
        <v>50.504937545436768</v>
      </c>
      <c r="Q240" s="278">
        <v>50.494174824049885</v>
      </c>
      <c r="R240" s="165">
        <v>-1.6838620438526797E-2</v>
      </c>
      <c r="S240" s="277">
        <v>67.57209530393834</v>
      </c>
      <c r="T240" s="277">
        <v>53.923897291383469</v>
      </c>
      <c r="U240" s="277">
        <v>45.953384350480917</v>
      </c>
      <c r="V240" s="162">
        <v>-1.9931232390082765E-2</v>
      </c>
      <c r="W240" s="278">
        <v>67.256042583927567</v>
      </c>
      <c r="X240" s="278">
        <v>52.392639613382052</v>
      </c>
      <c r="Y240" s="278">
        <v>44.559728401147517</v>
      </c>
      <c r="Z240" s="165">
        <v>-2.0900193979644488E-2</v>
      </c>
      <c r="AA240" s="277">
        <v>66.918740025821435</v>
      </c>
      <c r="AB240" s="277">
        <v>52.258213887497305</v>
      </c>
      <c r="AC240" s="277">
        <v>44.10809288657363</v>
      </c>
      <c r="AD240" s="162">
        <v>-2.1235243196065401E-2</v>
      </c>
      <c r="AE240" s="279">
        <v>61.413037640885229</v>
      </c>
      <c r="AF240" s="279">
        <v>48.517896433128875</v>
      </c>
      <c r="AG240" s="279">
        <v>45.122748656987213</v>
      </c>
      <c r="AH240" s="168">
        <v>-2.0509544718551598E-2</v>
      </c>
    </row>
    <row r="241" spans="1:34" hidden="1" x14ac:dyDescent="0.15">
      <c r="A241" s="146" t="s">
        <v>773</v>
      </c>
      <c r="B241" s="280">
        <v>87.317847697843703</v>
      </c>
      <c r="C241" s="281">
        <v>74.921450500640276</v>
      </c>
      <c r="D241" s="281">
        <v>66.52357023954508</v>
      </c>
      <c r="E241" s="281">
        <v>60.99618102079058</v>
      </c>
      <c r="F241" s="232">
        <v>-1.1505672679786971E-2</v>
      </c>
      <c r="G241" s="282">
        <v>69.228803372855893</v>
      </c>
      <c r="H241" s="282">
        <v>57.729509235168315</v>
      </c>
      <c r="I241" s="282">
        <v>48.758330312090266</v>
      </c>
      <c r="J241" s="233">
        <v>-1.8620546083272238E-2</v>
      </c>
      <c r="K241" s="281">
        <v>65.257971362933858</v>
      </c>
      <c r="L241" s="281">
        <v>54.278171804429071</v>
      </c>
      <c r="M241" s="281">
        <v>45.782154473683107</v>
      </c>
      <c r="N241" s="232">
        <v>-2.0612358589105484E-2</v>
      </c>
      <c r="O241" s="282">
        <v>62.253015616202696</v>
      </c>
      <c r="P241" s="282">
        <v>53.020301386735973</v>
      </c>
      <c r="Q241" s="282">
        <v>46.018921134676766</v>
      </c>
      <c r="R241" s="233">
        <v>-2.0449379158215986E-2</v>
      </c>
      <c r="S241" s="281">
        <v>69.435296318563687</v>
      </c>
      <c r="T241" s="281">
        <v>58.313344043461015</v>
      </c>
      <c r="U241" s="281">
        <v>49.382728422005542</v>
      </c>
      <c r="V241" s="232">
        <v>-1.8217633250089293E-2</v>
      </c>
      <c r="W241" s="282">
        <v>69.489878960377553</v>
      </c>
      <c r="X241" s="282">
        <v>57.403716820419803</v>
      </c>
      <c r="Y241" s="282">
        <v>48.4203907268245</v>
      </c>
      <c r="Z241" s="233">
        <v>-1.8840699882309853E-2</v>
      </c>
      <c r="AA241" s="281">
        <v>69.100990679513217</v>
      </c>
      <c r="AB241" s="281">
        <v>57.496213930778858</v>
      </c>
      <c r="AC241" s="281">
        <v>49.228945117244585</v>
      </c>
      <c r="AD241" s="232">
        <v>-1.8316407307612304E-2</v>
      </c>
      <c r="AE241" s="283">
        <v>68.305849265997026</v>
      </c>
      <c r="AF241" s="283">
        <v>56.640887094651198</v>
      </c>
      <c r="AG241" s="283">
        <v>48.683034761737822</v>
      </c>
      <c r="AH241" s="234">
        <v>-1.8669469916462234E-2</v>
      </c>
    </row>
    <row r="242" spans="1:34" hidden="1" x14ac:dyDescent="0.15">
      <c r="A242" s="275" t="s">
        <v>772</v>
      </c>
      <c r="B242" s="276">
        <v>80.108117153985049</v>
      </c>
      <c r="C242" s="277">
        <v>68.735275688660806</v>
      </c>
      <c r="D242" s="277">
        <v>61.03079838490374</v>
      </c>
      <c r="E242" s="277">
        <v>55.959799101642737</v>
      </c>
      <c r="F242" s="162">
        <v>-1.1505672679786971E-2</v>
      </c>
      <c r="G242" s="278">
        <v>63.51266364482192</v>
      </c>
      <c r="H242" s="278">
        <v>52.962852509328727</v>
      </c>
      <c r="I242" s="278">
        <v>44.73241313035804</v>
      </c>
      <c r="J242" s="165">
        <v>-1.8620546083272238E-2</v>
      </c>
      <c r="K242" s="277">
        <v>59.869698498104462</v>
      </c>
      <c r="L242" s="277">
        <v>49.796487893971623</v>
      </c>
      <c r="M242" s="277">
        <v>42.001976581360651</v>
      </c>
      <c r="N242" s="162">
        <v>-2.0612358589105484E-2</v>
      </c>
      <c r="O242" s="278">
        <v>57.112858363488719</v>
      </c>
      <c r="P242" s="278">
        <v>48.642478336455021</v>
      </c>
      <c r="Q242" s="278">
        <v>42.219193701538316</v>
      </c>
      <c r="R242" s="165">
        <v>-2.0449379158215986E-2</v>
      </c>
      <c r="S242" s="277">
        <v>63.702106714278614</v>
      </c>
      <c r="T242" s="277">
        <v>53.498480773817448</v>
      </c>
      <c r="U242" s="277">
        <v>45.305255433032613</v>
      </c>
      <c r="V242" s="162">
        <v>-1.8217633250089293E-2</v>
      </c>
      <c r="W242" s="278">
        <v>63.752182532456473</v>
      </c>
      <c r="X242" s="278">
        <v>52.663960385706247</v>
      </c>
      <c r="Y242" s="278">
        <v>44.422376813600465</v>
      </c>
      <c r="Z242" s="165">
        <v>-1.8840699882309853E-2</v>
      </c>
      <c r="AA242" s="277">
        <v>63.395404293131399</v>
      </c>
      <c r="AB242" s="277">
        <v>52.7488201199806</v>
      </c>
      <c r="AC242" s="277">
        <v>45.16416983233448</v>
      </c>
      <c r="AD242" s="162">
        <v>-1.8316407307612304E-2</v>
      </c>
      <c r="AE242" s="279">
        <v>62.665916757795436</v>
      </c>
      <c r="AF242" s="279">
        <v>51.964116600597436</v>
      </c>
      <c r="AG242" s="279">
        <v>44.663334643796162</v>
      </c>
      <c r="AH242" s="168">
        <v>-1.8669469916462234E-2</v>
      </c>
    </row>
    <row r="243" spans="1:34" hidden="1" x14ac:dyDescent="0.15">
      <c r="A243" s="146" t="s">
        <v>774</v>
      </c>
      <c r="B243" s="280">
        <v>6647.825081907301</v>
      </c>
      <c r="C243" s="281">
        <v>6650.8462525001842</v>
      </c>
      <c r="D243" s="281">
        <v>6512.4583697231892</v>
      </c>
      <c r="E243" s="281">
        <v>6351.097969036925</v>
      </c>
      <c r="F243" s="232">
        <v>-1.4718847249978184E-3</v>
      </c>
      <c r="G243" s="282">
        <v>6886.3373156064181</v>
      </c>
      <c r="H243" s="282">
        <v>6740.1602117271932</v>
      </c>
      <c r="I243" s="282">
        <v>6499.2302978999769</v>
      </c>
      <c r="J243" s="233">
        <v>-7.2895971641873114E-4</v>
      </c>
      <c r="K243" s="281">
        <v>6537.3237981307284</v>
      </c>
      <c r="L243" s="281">
        <v>6387.7060361887325</v>
      </c>
      <c r="M243" s="281">
        <v>6190.0637320221804</v>
      </c>
      <c r="N243" s="232">
        <v>-2.2987848093481977E-3</v>
      </c>
      <c r="O243" s="282">
        <v>6871.0717842632503</v>
      </c>
      <c r="P243" s="282">
        <v>6646.5292024733953</v>
      </c>
      <c r="Q243" s="282">
        <v>6267.4840936098162</v>
      </c>
      <c r="R243" s="233">
        <v>-1.8986704884740302E-3</v>
      </c>
      <c r="S243" s="281">
        <v>6900.3593885348191</v>
      </c>
      <c r="T243" s="281">
        <v>6808.1392654548872</v>
      </c>
      <c r="U243" s="281">
        <v>6613.3335732010619</v>
      </c>
      <c r="V243" s="232">
        <v>-1.6778903030623127E-4</v>
      </c>
      <c r="W243" s="282">
        <v>6918.6036649475009</v>
      </c>
      <c r="X243" s="282">
        <v>6767.9759305049129</v>
      </c>
      <c r="Y243" s="282">
        <v>6620.0590308192277</v>
      </c>
      <c r="Z243" s="233">
        <v>-1.3500568816571246E-4</v>
      </c>
      <c r="AA243" s="281">
        <v>6870.378015223785</v>
      </c>
      <c r="AB243" s="281">
        <v>6711.8861150537205</v>
      </c>
      <c r="AC243" s="281">
        <v>6581.9791829654305</v>
      </c>
      <c r="AD243" s="232">
        <v>-3.2105354891498461E-4</v>
      </c>
      <c r="AE243" s="283">
        <v>6755.2577907021841</v>
      </c>
      <c r="AF243" s="283">
        <v>6580.5937195958668</v>
      </c>
      <c r="AG243" s="283">
        <v>6480.2097173278162</v>
      </c>
      <c r="AH243" s="234">
        <v>-8.2343086540881405E-4</v>
      </c>
    </row>
    <row r="244" spans="1:34" hidden="1" x14ac:dyDescent="0.15">
      <c r="A244" s="275" t="s">
        <v>772</v>
      </c>
      <c r="B244" s="276">
        <v>90.934296081538008</v>
      </c>
      <c r="C244" s="277">
        <v>90.975622081819481</v>
      </c>
      <c r="D244" s="277">
        <v>89.082641362337327</v>
      </c>
      <c r="E244" s="277">
        <v>86.875424073817669</v>
      </c>
      <c r="F244" s="162">
        <v>-1.4718847249978184E-3</v>
      </c>
      <c r="G244" s="278">
        <v>94.19685816929406</v>
      </c>
      <c r="H244" s="278">
        <v>92.197330221323227</v>
      </c>
      <c r="I244" s="278">
        <v>88.901697161047551</v>
      </c>
      <c r="J244" s="165">
        <v>-7.2895971641873114E-4</v>
      </c>
      <c r="K244" s="277">
        <v>89.422770683001801</v>
      </c>
      <c r="L244" s="277">
        <v>87.376178647883592</v>
      </c>
      <c r="M244" s="277">
        <v>84.672668314220871</v>
      </c>
      <c r="N244" s="162">
        <v>-2.2987848093481977E-3</v>
      </c>
      <c r="O244" s="278">
        <v>93.988043958646486</v>
      </c>
      <c r="P244" s="278">
        <v>90.916570000800803</v>
      </c>
      <c r="Q244" s="278">
        <v>85.731686263190426</v>
      </c>
      <c r="R244" s="165">
        <v>-1.8986704884740302E-3</v>
      </c>
      <c r="S244" s="277">
        <v>94.388663356048809</v>
      </c>
      <c r="T244" s="277">
        <v>93.127202370914048</v>
      </c>
      <c r="U244" s="277">
        <v>90.462493495527099</v>
      </c>
      <c r="V244" s="162">
        <v>-1.6778903030623127E-4</v>
      </c>
      <c r="W244" s="278">
        <v>94.63822323656062</v>
      </c>
      <c r="X244" s="278">
        <v>92.577815985597908</v>
      </c>
      <c r="Y244" s="278">
        <v>90.554489711853336</v>
      </c>
      <c r="Z244" s="165">
        <v>-1.3500568816571246E-4</v>
      </c>
      <c r="AA244" s="277">
        <v>93.978554027959433</v>
      </c>
      <c r="AB244" s="277">
        <v>91.810574395671154</v>
      </c>
      <c r="AC244" s="277">
        <v>90.033602938087071</v>
      </c>
      <c r="AD244" s="162">
        <v>-3.2105354891498461E-4</v>
      </c>
      <c r="AE244" s="279">
        <v>92.40384704445124</v>
      </c>
      <c r="AF244" s="279">
        <v>90.014651456255677</v>
      </c>
      <c r="AG244" s="279">
        <v>88.641518368121879</v>
      </c>
      <c r="AH244" s="168">
        <v>-8.2343086540881405E-4</v>
      </c>
    </row>
    <row r="245" spans="1:34" hidden="1" x14ac:dyDescent="0.15">
      <c r="A245" s="146" t="s">
        <v>775</v>
      </c>
      <c r="B245" s="284">
        <v>4.3893483563573525</v>
      </c>
      <c r="C245" s="206">
        <v>3.3782543967127312</v>
      </c>
      <c r="D245" s="206">
        <v>2.8002581903402928</v>
      </c>
      <c r="E245" s="206">
        <v>2.4615916035460801</v>
      </c>
      <c r="F245" s="232">
        <v>-1.8484214205977012E-2</v>
      </c>
      <c r="G245" s="209">
        <v>2.5726649746734509</v>
      </c>
      <c r="H245" s="209">
        <v>1.3963083454784602</v>
      </c>
      <c r="I245" s="282">
        <v>-1.3930852453145412E-6</v>
      </c>
      <c r="J245" s="233">
        <v>-1.6171254719428139</v>
      </c>
      <c r="K245" s="206">
        <v>2.572740405801091</v>
      </c>
      <c r="L245" s="206">
        <v>1.4129543861455909</v>
      </c>
      <c r="M245" s="206">
        <v>-3.5446442013189281E-3</v>
      </c>
      <c r="N245" s="232">
        <v>-1.7947515327581125</v>
      </c>
      <c r="O245" s="209">
        <v>2.0351673119330589</v>
      </c>
      <c r="P245" s="209">
        <v>1.1570734179202766</v>
      </c>
      <c r="Q245" s="282">
        <v>1.5522049537362859E-6</v>
      </c>
      <c r="R245" s="233">
        <v>-0.38071768501372361</v>
      </c>
      <c r="S245" s="206">
        <v>2.5726648810031212</v>
      </c>
      <c r="T245" s="206">
        <v>1.3963103587986421</v>
      </c>
      <c r="U245" s="281">
        <v>3.114660824389447E-7</v>
      </c>
      <c r="V245" s="232">
        <v>-0.41198630330167174</v>
      </c>
      <c r="W245" s="209">
        <v>2.5726648816412321</v>
      </c>
      <c r="X245" s="209">
        <v>1.3963103461423423</v>
      </c>
      <c r="Y245" s="209">
        <v>2.4369429024347902E-7</v>
      </c>
      <c r="Z245" s="233">
        <v>-0.41662226693521787</v>
      </c>
      <c r="AA245" s="206">
        <v>2.5726650060640202</v>
      </c>
      <c r="AB245" s="206">
        <v>1.3963071804685598</v>
      </c>
      <c r="AC245" s="281">
        <v>-3.5302121444461408E-6</v>
      </c>
      <c r="AD245" s="232">
        <v>-1.6359163984897094</v>
      </c>
      <c r="AE245" s="212">
        <v>2.5726649197004501</v>
      </c>
      <c r="AF245" s="212">
        <v>1.3963094846690327</v>
      </c>
      <c r="AG245" s="212">
        <v>-2.9656855430698397E-7</v>
      </c>
      <c r="AH245" s="234">
        <v>-1.5870847617707562</v>
      </c>
    </row>
    <row r="246" spans="1:34" hidden="1" x14ac:dyDescent="0.15">
      <c r="A246" s="275" t="s">
        <v>776</v>
      </c>
      <c r="B246" s="276">
        <v>66.496334550804875</v>
      </c>
      <c r="C246" s="277">
        <v>51.178789269750169</v>
      </c>
      <c r="D246" s="277">
        <v>42.422448695329692</v>
      </c>
      <c r="E246" s="277">
        <v>37.29182682886745</v>
      </c>
      <c r="F246" s="162">
        <v>-1.8484214205977012E-2</v>
      </c>
      <c r="G246" s="278">
        <v>38.974530375391346</v>
      </c>
      <c r="H246" s="278">
        <v>21.153341985841077</v>
      </c>
      <c r="I246" s="278">
        <v>-2.110451370214373E-5</v>
      </c>
      <c r="J246" s="165">
        <v>-1.6171254719428139</v>
      </c>
      <c r="K246" s="277">
        <v>38.975673117568974</v>
      </c>
      <c r="L246" s="277">
        <v>21.405520805857638</v>
      </c>
      <c r="M246" s="277">
        <v>-5.3699507885512726E-2</v>
      </c>
      <c r="N246" s="162">
        <v>-1.7947515327581125</v>
      </c>
      <c r="O246" s="278">
        <v>30.831721580073452</v>
      </c>
      <c r="P246" s="278">
        <v>17.529057812518246</v>
      </c>
      <c r="Q246" s="278">
        <v>2.351509415869691E-5</v>
      </c>
      <c r="R246" s="165">
        <v>-0.38071768501372361</v>
      </c>
      <c r="S246" s="277">
        <v>38.974528956334787</v>
      </c>
      <c r="T246" s="277">
        <v>21.153372486590051</v>
      </c>
      <c r="U246" s="277">
        <v>4.7185484353483036E-6</v>
      </c>
      <c r="V246" s="162">
        <v>-0.41198630330167174</v>
      </c>
      <c r="W246" s="278">
        <v>38.974528966001834</v>
      </c>
      <c r="X246" s="278">
        <v>21.153372294853721</v>
      </c>
      <c r="Y246" s="278">
        <v>3.6918411883807276E-6</v>
      </c>
      <c r="Z246" s="165">
        <v>-0.41662226693521798</v>
      </c>
      <c r="AA246" s="277">
        <v>38.974530850942074</v>
      </c>
      <c r="AB246" s="277">
        <v>21.153324336549701</v>
      </c>
      <c r="AC246" s="277">
        <v>-5.3480869763368887E-5</v>
      </c>
      <c r="AD246" s="162">
        <v>-1.6359163984897094</v>
      </c>
      <c r="AE246" s="279">
        <v>38.974529542579099</v>
      </c>
      <c r="AF246" s="279">
        <v>21.153359243983125</v>
      </c>
      <c r="AG246" s="279">
        <v>-4.4928586667957354E-6</v>
      </c>
      <c r="AH246" s="168">
        <v>-1.5870847617707562</v>
      </c>
    </row>
    <row r="247" spans="1:34" hidden="1" x14ac:dyDescent="0.15">
      <c r="A247" s="146" t="s">
        <v>777</v>
      </c>
      <c r="B247" s="284">
        <v>1.4632621301534947</v>
      </c>
      <c r="C247" s="206">
        <v>1.1399630189356516</v>
      </c>
      <c r="D247" s="206">
        <v>0.88946752644613936</v>
      </c>
      <c r="E247" s="206">
        <v>0.72233513205238908</v>
      </c>
      <c r="F247" s="232">
        <v>-2.2514749234573195E-2</v>
      </c>
      <c r="G247" s="209">
        <v>1.0860065205136671</v>
      </c>
      <c r="H247" s="209">
        <v>0.81035927776762384</v>
      </c>
      <c r="I247" s="209">
        <v>0.64287831174535159</v>
      </c>
      <c r="J247" s="233">
        <v>-2.6098093138633205E-2</v>
      </c>
      <c r="K247" s="206">
        <v>1.0203614239840453</v>
      </c>
      <c r="L247" s="206">
        <v>0.75626866111874236</v>
      </c>
      <c r="M247" s="206">
        <v>0.56384986317434127</v>
      </c>
      <c r="N247" s="232">
        <v>-3.0258538687088277E-2</v>
      </c>
      <c r="O247" s="209">
        <v>1.0092236901791367</v>
      </c>
      <c r="P247" s="209">
        <v>0.76906959856125712</v>
      </c>
      <c r="Q247" s="209">
        <v>0.72259703729584346</v>
      </c>
      <c r="R247" s="233">
        <v>-2.2309987886446669E-2</v>
      </c>
      <c r="S247" s="206">
        <v>1.089128090350526</v>
      </c>
      <c r="T247" s="206">
        <v>0.82113219139085458</v>
      </c>
      <c r="U247" s="206">
        <v>0.657616041871806</v>
      </c>
      <c r="V247" s="232">
        <v>-2.5385389218553489E-2</v>
      </c>
      <c r="W247" s="209">
        <v>1.0840339476597138</v>
      </c>
      <c r="X247" s="209">
        <v>0.79781479343040906</v>
      </c>
      <c r="Y247" s="209">
        <v>0.63767212431087605</v>
      </c>
      <c r="Z247" s="233">
        <v>-2.6348958463572769E-2</v>
      </c>
      <c r="AA247" s="206">
        <v>1.0785972997456883</v>
      </c>
      <c r="AB247" s="206">
        <v>0.7957678106190853</v>
      </c>
      <c r="AC247" s="206">
        <v>0.63120899295154864</v>
      </c>
      <c r="AD247" s="232">
        <v>-2.668214310575967E-2</v>
      </c>
      <c r="AE247" s="212">
        <v>0.98985630248088396</v>
      </c>
      <c r="AF247" s="212">
        <v>0.73881170725721335</v>
      </c>
      <c r="AG247" s="212">
        <v>0.6457292273376104</v>
      </c>
      <c r="AH247" s="234">
        <v>-2.5960483195168194E-2</v>
      </c>
    </row>
    <row r="248" spans="1:34" hidden="1" x14ac:dyDescent="0.15">
      <c r="A248" s="275" t="s">
        <v>772</v>
      </c>
      <c r="B248" s="276">
        <v>28.000200547663528</v>
      </c>
      <c r="C248" s="277">
        <v>21.813721881649396</v>
      </c>
      <c r="D248" s="277">
        <v>17.02037427737816</v>
      </c>
      <c r="E248" s="277">
        <v>13.822218277437601</v>
      </c>
      <c r="F248" s="162">
        <v>-2.2514749234573195E-2</v>
      </c>
      <c r="G248" s="278">
        <v>20.781239221480526</v>
      </c>
      <c r="H248" s="278">
        <v>15.506601193029617</v>
      </c>
      <c r="I248" s="278">
        <v>12.301775113065313</v>
      </c>
      <c r="J248" s="165">
        <v>-2.6098093138633205E-2</v>
      </c>
      <c r="K248" s="277">
        <v>19.525089807152874</v>
      </c>
      <c r="L248" s="277">
        <v>14.471552118290976</v>
      </c>
      <c r="M248" s="277">
        <v>10.789529040841137</v>
      </c>
      <c r="N248" s="162">
        <v>-3.0258538687088277E-2</v>
      </c>
      <c r="O248" s="278">
        <v>19.311964097304006</v>
      </c>
      <c r="P248" s="278">
        <v>14.716504002305708</v>
      </c>
      <c r="Q248" s="278">
        <v>13.827229955926429</v>
      </c>
      <c r="R248" s="165">
        <v>-2.2309987886446669E-2</v>
      </c>
      <c r="S248" s="277">
        <v>20.840971910282097</v>
      </c>
      <c r="T248" s="277">
        <v>15.712745899242631</v>
      </c>
      <c r="U248" s="277">
        <v>12.583788424729969</v>
      </c>
      <c r="V248" s="162">
        <v>-2.5385389218553489E-2</v>
      </c>
      <c r="W248" s="278">
        <v>20.743493123657451</v>
      </c>
      <c r="X248" s="278">
        <v>15.266556658307604</v>
      </c>
      <c r="Y248" s="278">
        <v>12.202152298225739</v>
      </c>
      <c r="Z248" s="165">
        <v>-2.6348958463572769E-2</v>
      </c>
      <c r="AA248" s="277">
        <v>20.639460340492498</v>
      </c>
      <c r="AB248" s="277">
        <v>15.227386691386727</v>
      </c>
      <c r="AC248" s="277">
        <v>12.078477277532025</v>
      </c>
      <c r="AD248" s="162">
        <v>-2.668214310575967E-2</v>
      </c>
      <c r="AE248" s="279">
        <v>18.941360137520981</v>
      </c>
      <c r="AF248" s="279">
        <v>14.137505197372679</v>
      </c>
      <c r="AG248" s="279">
        <v>12.356328707177212</v>
      </c>
      <c r="AH248" s="168">
        <v>-2.5960483195168194E-2</v>
      </c>
    </row>
    <row r="249" spans="1:34" hidden="1" x14ac:dyDescent="0.15">
      <c r="A249" s="146" t="s">
        <v>778</v>
      </c>
      <c r="B249" s="284">
        <v>1.0582661498916792</v>
      </c>
      <c r="C249" s="206">
        <v>0.86024498796931392</v>
      </c>
      <c r="D249" s="206">
        <v>0.72162530741682973</v>
      </c>
      <c r="E249" s="206">
        <v>0.62181607139129524</v>
      </c>
      <c r="F249" s="162">
        <v>-1.7006718385391917E-2</v>
      </c>
      <c r="G249" s="209">
        <v>0.79488224969834864</v>
      </c>
      <c r="H249" s="209">
        <v>0.62623029249393358</v>
      </c>
      <c r="I249" s="209">
        <v>0.4970592075580752</v>
      </c>
      <c r="J249" s="165">
        <v>-2.4081996980186426E-2</v>
      </c>
      <c r="K249" s="206">
        <v>0.74928932121421099</v>
      </c>
      <c r="L249" s="206">
        <v>0.58879134528337185</v>
      </c>
      <c r="M249" s="206">
        <v>0.46671904631130401</v>
      </c>
      <c r="N249" s="162">
        <v>-2.6062724898755274E-2</v>
      </c>
      <c r="O249" s="209">
        <v>0.71478654393318419</v>
      </c>
      <c r="P249" s="209">
        <v>0.57514639021572089</v>
      </c>
      <c r="Q249" s="209">
        <v>0.46913272717642784</v>
      </c>
      <c r="R249" s="165">
        <v>-2.5900652460727147E-2</v>
      </c>
      <c r="S249" s="206">
        <v>0.79725319313856724</v>
      </c>
      <c r="T249" s="206">
        <v>0.63256353605704607</v>
      </c>
      <c r="U249" s="206">
        <v>0.50342453688187871</v>
      </c>
      <c r="V249" s="162">
        <v>-2.3681326387398283E-2</v>
      </c>
      <c r="W249" s="209">
        <v>0.79787990876856019</v>
      </c>
      <c r="X249" s="209">
        <v>0.62269620599496189</v>
      </c>
      <c r="Y249" s="209">
        <v>0.49361413506729196</v>
      </c>
      <c r="Z249" s="165">
        <v>-2.4300925606678958E-2</v>
      </c>
      <c r="AA249" s="206">
        <v>0.79341470965324568</v>
      </c>
      <c r="AB249" s="206">
        <v>0.62369958352652954</v>
      </c>
      <c r="AC249" s="206">
        <v>0.50185681692283024</v>
      </c>
      <c r="AD249" s="162">
        <v>-2.3779550759819412E-2</v>
      </c>
      <c r="AE249" s="212">
        <v>0.78428492891443979</v>
      </c>
      <c r="AF249" s="212">
        <v>0.61442128579175792</v>
      </c>
      <c r="AG249" s="212">
        <v>0.49629161879219097</v>
      </c>
      <c r="AH249" s="168">
        <v>-2.4130648548543854E-2</v>
      </c>
    </row>
    <row r="250" spans="1:34" hidden="1" x14ac:dyDescent="0.15">
      <c r="A250" s="275" t="s">
        <v>772</v>
      </c>
      <c r="B250" s="276">
        <v>70.985274472617306</v>
      </c>
      <c r="C250" s="277">
        <v>57.702617239477526</v>
      </c>
      <c r="D250" s="277">
        <v>48.404430698849907</v>
      </c>
      <c r="E250" s="277">
        <v>41.709530729782578</v>
      </c>
      <c r="F250" s="162">
        <v>-1.7006718385391917E-2</v>
      </c>
      <c r="G250" s="278">
        <v>53.318283566023808</v>
      </c>
      <c r="H250" s="278">
        <v>42.005623254886657</v>
      </c>
      <c r="I250" s="278">
        <v>33.341219769018572</v>
      </c>
      <c r="J250" s="165">
        <v>-2.4081996980186426E-2</v>
      </c>
      <c r="K250" s="277">
        <v>50.260048600473603</v>
      </c>
      <c r="L250" s="277">
        <v>39.494332551711871</v>
      </c>
      <c r="M250" s="277">
        <v>31.306094036360516</v>
      </c>
      <c r="N250" s="162">
        <v>-2.6062724898755274E-2</v>
      </c>
      <c r="O250" s="278">
        <v>47.945707245407142</v>
      </c>
      <c r="P250" s="278">
        <v>38.579070468782277</v>
      </c>
      <c r="Q250" s="278">
        <v>31.467996407250538</v>
      </c>
      <c r="R250" s="165">
        <v>-2.5900652460727147E-2</v>
      </c>
      <c r="S250" s="277">
        <v>53.477319240442945</v>
      </c>
      <c r="T250" s="277">
        <v>42.430437969668468</v>
      </c>
      <c r="U250" s="277">
        <v>33.768186699034274</v>
      </c>
      <c r="V250" s="162">
        <v>-2.3681326387398283E-2</v>
      </c>
      <c r="W250" s="278">
        <v>53.519357418661038</v>
      </c>
      <c r="X250" s="278">
        <v>41.768567481946029</v>
      </c>
      <c r="Y250" s="278">
        <v>33.110134784998863</v>
      </c>
      <c r="Z250" s="165">
        <v>-2.4300925606678958E-2</v>
      </c>
      <c r="AA250" s="277">
        <v>53.219845443523283</v>
      </c>
      <c r="AB250" s="277">
        <v>41.835870994852762</v>
      </c>
      <c r="AC250" s="277">
        <v>33.663028812617284</v>
      </c>
      <c r="AD250" s="162">
        <v>-2.3779550759819412E-2</v>
      </c>
      <c r="AE250" s="279">
        <v>52.607447521048599</v>
      </c>
      <c r="AF250" s="279">
        <v>41.213511004023566</v>
      </c>
      <c r="AG250" s="279">
        <v>33.289732249329909</v>
      </c>
      <c r="AH250" s="168">
        <v>-2.4130648548543854E-2</v>
      </c>
    </row>
    <row r="251" spans="1:34" hidden="1" x14ac:dyDescent="0.15">
      <c r="A251" s="146" t="s">
        <v>779</v>
      </c>
      <c r="B251" s="280">
        <v>80.569648016611723</v>
      </c>
      <c r="C251" s="281">
        <v>62.643701947463548</v>
      </c>
      <c r="D251" s="281">
        <v>65.142685568400537</v>
      </c>
      <c r="E251" s="281">
        <v>66.225770872245576</v>
      </c>
      <c r="F251" s="162">
        <v>-6.3043125439558034E-3</v>
      </c>
      <c r="G251" s="282">
        <v>64.86177035687426</v>
      </c>
      <c r="H251" s="282">
        <v>67.420336902952243</v>
      </c>
      <c r="I251" s="282">
        <v>67.770413659663362</v>
      </c>
      <c r="J251" s="165">
        <v>-5.5649829589046185E-3</v>
      </c>
      <c r="K251" s="281">
        <v>61.574444513766089</v>
      </c>
      <c r="L251" s="281">
        <v>63.894815474498536</v>
      </c>
      <c r="M251" s="281">
        <v>64.546594053510006</v>
      </c>
      <c r="N251" s="162">
        <v>-7.1272108031097403E-3</v>
      </c>
      <c r="O251" s="282">
        <v>64.717985737710706</v>
      </c>
      <c r="P251" s="282">
        <v>66.48376655593421</v>
      </c>
      <c r="Q251" s="282">
        <v>65.353891177935679</v>
      </c>
      <c r="R251" s="165">
        <v>-6.7290328559294066E-3</v>
      </c>
      <c r="S251" s="281">
        <v>64.99384295694108</v>
      </c>
      <c r="T251" s="281">
        <v>68.100316393156461</v>
      </c>
      <c r="U251" s="281">
        <v>68.960220115602553</v>
      </c>
      <c r="V251" s="162">
        <v>-5.0065280869924234E-3</v>
      </c>
      <c r="W251" s="282">
        <v>65.165684098722622</v>
      </c>
      <c r="X251" s="282">
        <v>67.698571406626016</v>
      </c>
      <c r="Y251" s="282">
        <v>69.030349503844249</v>
      </c>
      <c r="Z251" s="165">
        <v>-4.9739034015106043E-3</v>
      </c>
      <c r="AA251" s="281">
        <v>64.711451191687743</v>
      </c>
      <c r="AB251" s="281">
        <v>67.137517346224868</v>
      </c>
      <c r="AC251" s="281">
        <v>68.633273708271545</v>
      </c>
      <c r="AD251" s="162">
        <v>-5.1590508741344854E-3</v>
      </c>
      <c r="AE251" s="283">
        <v>63.627144509610204</v>
      </c>
      <c r="AF251" s="283">
        <v>65.824228454491561</v>
      </c>
      <c r="AG251" s="283">
        <v>67.572077463785092</v>
      </c>
      <c r="AH251" s="168">
        <v>-5.6589969099435367E-3</v>
      </c>
    </row>
    <row r="252" spans="1:34" hidden="1" x14ac:dyDescent="0.15">
      <c r="A252" s="275" t="s">
        <v>772</v>
      </c>
      <c r="B252" s="276">
        <v>80.394253294996716</v>
      </c>
      <c r="C252" s="277">
        <v>62.507330808523697</v>
      </c>
      <c r="D252" s="277">
        <v>65.000874309672355</v>
      </c>
      <c r="E252" s="277">
        <v>66.081601809430751</v>
      </c>
      <c r="F252" s="162">
        <v>-6.3043125439558034E-3</v>
      </c>
      <c r="G252" s="278">
        <v>64.720570631726474</v>
      </c>
      <c r="H252" s="278">
        <v>67.273567349983054</v>
      </c>
      <c r="I252" s="278">
        <v>67.622882013067127</v>
      </c>
      <c r="J252" s="165">
        <v>-5.5649829589046185E-3</v>
      </c>
      <c r="K252" s="277">
        <v>61.440401076566722</v>
      </c>
      <c r="L252" s="277">
        <v>63.755720745296287</v>
      </c>
      <c r="M252" s="277">
        <v>64.406080446042367</v>
      </c>
      <c r="N252" s="162">
        <v>-7.1272108031097403E-3</v>
      </c>
      <c r="O252" s="278">
        <v>64.577099022038212</v>
      </c>
      <c r="P252" s="278">
        <v>66.339035853814337</v>
      </c>
      <c r="Q252" s="278">
        <v>65.211620138756672</v>
      </c>
      <c r="R252" s="165">
        <v>-6.7290328559294066E-3</v>
      </c>
      <c r="S252" s="277">
        <v>64.85235571859829</v>
      </c>
      <c r="T252" s="277">
        <v>67.952066570429068</v>
      </c>
      <c r="U252" s="277">
        <v>68.810098340127112</v>
      </c>
      <c r="V252" s="162">
        <v>-5.0065280869923123E-3</v>
      </c>
      <c r="W252" s="278">
        <v>65.023822773735958</v>
      </c>
      <c r="X252" s="278">
        <v>67.551196155797683</v>
      </c>
      <c r="Y252" s="278">
        <v>68.880075061392716</v>
      </c>
      <c r="Z252" s="165">
        <v>-4.9739034015106043E-3</v>
      </c>
      <c r="AA252" s="277">
        <v>64.570578701283807</v>
      </c>
      <c r="AB252" s="277">
        <v>66.991363472467896</v>
      </c>
      <c r="AC252" s="277">
        <v>68.48386367320343</v>
      </c>
      <c r="AD252" s="162">
        <v>-5.1590508741344854E-3</v>
      </c>
      <c r="AE252" s="279">
        <v>63.488632482151431</v>
      </c>
      <c r="AF252" s="279">
        <v>65.680933522597144</v>
      </c>
      <c r="AG252" s="279">
        <v>67.424977581789037</v>
      </c>
      <c r="AH252" s="168">
        <v>-5.6589969099435367E-3</v>
      </c>
    </row>
    <row r="253" spans="1:34" hidden="1" x14ac:dyDescent="0.15">
      <c r="A253" s="146" t="s">
        <v>780</v>
      </c>
      <c r="B253" s="280">
        <v>53.197586840317591</v>
      </c>
      <c r="C253" s="281">
        <v>38.788976900982313</v>
      </c>
      <c r="D253" s="281">
        <v>30.37625867304364</v>
      </c>
      <c r="E253" s="281">
        <v>25.094312376132152</v>
      </c>
      <c r="F253" s="162">
        <v>-2.3946423800101035E-2</v>
      </c>
      <c r="G253" s="282">
        <v>29.539232561549575</v>
      </c>
      <c r="H253" s="282">
        <v>15.146683129397074</v>
      </c>
      <c r="I253" s="282">
        <v>-1.4201590654657666E-5</v>
      </c>
      <c r="J253" s="165">
        <v>-1.6136911220093613</v>
      </c>
      <c r="K253" s="281">
        <v>29.540098658629326</v>
      </c>
      <c r="L253" s="281">
        <v>15.327253777821932</v>
      </c>
      <c r="M253" s="281">
        <v>-3.6135323472018629E-2</v>
      </c>
      <c r="N253" s="162">
        <v>-1.7903286803598046</v>
      </c>
      <c r="O253" s="282">
        <v>23.367706685743265</v>
      </c>
      <c r="P253" s="282">
        <v>12.551543128306271</v>
      </c>
      <c r="Q253" s="282">
        <v>1.582371175004252E-5</v>
      </c>
      <c r="R253" s="165">
        <v>-0.38416403794186615</v>
      </c>
      <c r="S253" s="281">
        <v>29.539231486030737</v>
      </c>
      <c r="T253" s="281">
        <v>15.146704969217005</v>
      </c>
      <c r="U253" s="281">
        <v>3.17519248767079E-6</v>
      </c>
      <c r="V253" s="162">
        <v>-0.41525864400374579</v>
      </c>
      <c r="W253" s="282">
        <v>29.539231493357498</v>
      </c>
      <c r="X253" s="282">
        <v>15.146704831925723</v>
      </c>
      <c r="Y253" s="282">
        <v>2.4843035030019348E-6</v>
      </c>
      <c r="Z253" s="165">
        <v>-0.41986880814898653</v>
      </c>
      <c r="AA253" s="281">
        <v>29.53923292197479</v>
      </c>
      <c r="AB253" s="281">
        <v>15.146670491761656</v>
      </c>
      <c r="AC253" s="281">
        <v>-3.5988198115044669E-5</v>
      </c>
      <c r="AD253" s="162">
        <v>-1.6323774756285947</v>
      </c>
      <c r="AE253" s="283">
        <v>29.539231930351857</v>
      </c>
      <c r="AF253" s="283">
        <v>15.146695486953112</v>
      </c>
      <c r="AG253" s="283">
        <v>-3.0233219564108139E-6</v>
      </c>
      <c r="AH253" s="168">
        <v>-1.5838175906618228</v>
      </c>
    </row>
    <row r="254" spans="1:34" hidden="1" x14ac:dyDescent="0.15">
      <c r="A254" s="275" t="s">
        <v>776</v>
      </c>
      <c r="B254" s="276">
        <v>56.086918964654899</v>
      </c>
      <c r="C254" s="277">
        <v>40.895731054447914</v>
      </c>
      <c r="D254" s="277">
        <v>32.02609102849717</v>
      </c>
      <c r="E254" s="277">
        <v>26.457265231571881</v>
      </c>
      <c r="F254" s="162">
        <v>-2.3946423800101035E-2</v>
      </c>
      <c r="G254" s="278">
        <v>31.143603335444748</v>
      </c>
      <c r="H254" s="278">
        <v>15.969348230246291</v>
      </c>
      <c r="I254" s="278">
        <v>-1.4972924742016919E-5</v>
      </c>
      <c r="J254" s="165">
        <v>-1.6136911220093613</v>
      </c>
      <c r="K254" s="277">
        <v>31.144516473043886</v>
      </c>
      <c r="L254" s="277">
        <v>16.159726251640389</v>
      </c>
      <c r="M254" s="277">
        <v>-3.8097949168639421E-2</v>
      </c>
      <c r="N254" s="162">
        <v>-1.7903286803598046</v>
      </c>
      <c r="O254" s="278">
        <v>24.6368820301414</v>
      </c>
      <c r="P254" s="278">
        <v>13.233257824867195</v>
      </c>
      <c r="Q254" s="278">
        <v>1.6683148453870622E-5</v>
      </c>
      <c r="R254" s="165">
        <v>-0.38416403794186615</v>
      </c>
      <c r="S254" s="277">
        <v>31.143602201511015</v>
      </c>
      <c r="T254" s="277">
        <v>15.969371256257123</v>
      </c>
      <c r="U254" s="277">
        <v>3.3476474090400573E-6</v>
      </c>
      <c r="V254" s="162">
        <v>-0.41525864400374579</v>
      </c>
      <c r="W254" s="285">
        <v>31.14360220923572</v>
      </c>
      <c r="X254" s="278">
        <v>15.969371111509108</v>
      </c>
      <c r="Y254" s="278">
        <v>2.6192340204213286E-6</v>
      </c>
      <c r="Z254" s="165">
        <v>-0.41986880814898653</v>
      </c>
      <c r="AA254" s="277">
        <v>31.14360371544581</v>
      </c>
      <c r="AB254" s="277">
        <v>15.969334906220228</v>
      </c>
      <c r="AC254" s="277">
        <v>-3.7942832960097602E-5</v>
      </c>
      <c r="AD254" s="162">
        <v>-1.6323774756285947</v>
      </c>
      <c r="AE254" s="286">
        <v>31.143602669964647</v>
      </c>
      <c r="AF254" s="279">
        <v>15.969361258980964</v>
      </c>
      <c r="AG254" s="279">
        <v>-3.1875283005273798E-6</v>
      </c>
      <c r="AH254" s="168">
        <v>-1.5838175906618228</v>
      </c>
    </row>
    <row r="255" spans="1:34" hidden="1" x14ac:dyDescent="0.15">
      <c r="A255" s="145" t="s">
        <v>781</v>
      </c>
      <c r="B255" s="287">
        <v>0.72498169810113244</v>
      </c>
      <c r="C255" s="288">
        <v>0.6561164186414401</v>
      </c>
      <c r="D255" s="288">
        <v>0.57656436906536079</v>
      </c>
      <c r="E255" s="288">
        <v>0.49154201313369361</v>
      </c>
      <c r="F255" s="216">
        <v>-1.245720995806443E-2</v>
      </c>
      <c r="G255" s="289">
        <v>0.56838256451414071</v>
      </c>
      <c r="H255" s="289">
        <v>0.38675821979577896</v>
      </c>
      <c r="I255" s="289">
        <v>0.17146485664700176</v>
      </c>
      <c r="J255" s="217">
        <v>-4.5526295218840551E-2</v>
      </c>
      <c r="K255" s="288">
        <v>0.59416462624093691</v>
      </c>
      <c r="L255" s="288">
        <v>0.41198577020489285</v>
      </c>
      <c r="M255" s="288">
        <v>0.20855776338253315</v>
      </c>
      <c r="N255" s="216">
        <v>-3.9429558595863723E-2</v>
      </c>
      <c r="O255" s="289">
        <v>0.49548355066765409</v>
      </c>
      <c r="P255" s="289">
        <v>0.27536975692927179</v>
      </c>
      <c r="Q255" s="289">
        <v>5.6251234943101632E-3</v>
      </c>
      <c r="R255" s="217">
        <v>-0.14524173801189144</v>
      </c>
      <c r="S255" s="288">
        <v>0.55248210367143158</v>
      </c>
      <c r="T255" s="288">
        <v>0.37420532704929033</v>
      </c>
      <c r="U255" s="288">
        <v>0.19438943885413093</v>
      </c>
      <c r="V255" s="216">
        <v>-4.1655205216567626E-2</v>
      </c>
      <c r="W255" s="290">
        <v>0.56912406723579279</v>
      </c>
      <c r="X255" s="289">
        <v>0.38849540681617162</v>
      </c>
      <c r="Y255" s="289">
        <v>0.19685873298802412</v>
      </c>
      <c r="Z255" s="217">
        <v>-4.1269017922354156E-2</v>
      </c>
      <c r="AA255" s="288">
        <v>0.57329542640362641</v>
      </c>
      <c r="AB255" s="288">
        <v>0.3962503393629449</v>
      </c>
      <c r="AC255" s="288">
        <v>0.17517426398986674</v>
      </c>
      <c r="AD255" s="216">
        <v>-4.4858520860497686E-2</v>
      </c>
      <c r="AE255" s="291">
        <v>0.51630747631275065</v>
      </c>
      <c r="AF255" s="292">
        <v>0.30652027044180613</v>
      </c>
      <c r="AG255" s="292">
        <v>0.17053009147670467</v>
      </c>
      <c r="AH255" s="218">
        <v>-4.56932108072442E-2</v>
      </c>
    </row>
    <row r="256" spans="1:34" x14ac:dyDescent="0.15">
      <c r="A256" s="148" t="s">
        <v>782</v>
      </c>
      <c r="B256" s="258"/>
      <c r="C256" s="151"/>
      <c r="D256" s="151"/>
      <c r="E256" s="151"/>
      <c r="F256" s="152"/>
      <c r="G256" s="154"/>
      <c r="H256" s="154"/>
      <c r="I256" s="154"/>
      <c r="J256" s="155"/>
    </row>
    <row r="257" spans="1:10" x14ac:dyDescent="0.15">
      <c r="A257" s="146" t="s">
        <v>783</v>
      </c>
      <c r="B257" s="293">
        <v>16.080086422389204</v>
      </c>
      <c r="C257" s="294">
        <v>20.447716607860855</v>
      </c>
      <c r="D257" s="207">
        <v>20.876476753258643</v>
      </c>
      <c r="E257" s="207">
        <v>20.727595070060563</v>
      </c>
      <c r="F257" s="181">
        <v>8.2234434183277028E-3</v>
      </c>
      <c r="G257" s="295">
        <v>21.234886381768497</v>
      </c>
      <c r="H257" s="210">
        <v>21.381768326690089</v>
      </c>
      <c r="I257" s="210">
        <v>21.197293910994748</v>
      </c>
      <c r="J257" s="185">
        <v>8.9524774484324166E-3</v>
      </c>
    </row>
    <row r="258" spans="1:10" x14ac:dyDescent="0.15">
      <c r="A258" s="296" t="s">
        <v>784</v>
      </c>
      <c r="B258" s="297">
        <v>7.2243133333333347</v>
      </c>
      <c r="C258" s="219">
        <v>7.564363817423029</v>
      </c>
      <c r="D258" s="220">
        <v>7.5703732598498137</v>
      </c>
      <c r="E258" s="220">
        <v>7.7604018373737746</v>
      </c>
      <c r="F258" s="162">
        <v>2.3117624280790672E-3</v>
      </c>
      <c r="G258" s="221">
        <v>7.7191298785797171</v>
      </c>
      <c r="H258" s="222">
        <v>7.7604944182071893</v>
      </c>
      <c r="I258" s="222">
        <v>8.0199922749777528</v>
      </c>
      <c r="J258" s="165">
        <v>3.376179063021123E-3</v>
      </c>
    </row>
    <row r="259" spans="1:10" x14ac:dyDescent="0.15">
      <c r="A259" s="296" t="s">
        <v>707</v>
      </c>
      <c r="B259" s="297">
        <v>6.7115555555555542</v>
      </c>
      <c r="C259" s="219">
        <v>5.3148678354051198</v>
      </c>
      <c r="D259" s="220">
        <v>2.2973004229802543</v>
      </c>
      <c r="E259" s="220">
        <v>0</v>
      </c>
      <c r="F259" s="162">
        <v>-1</v>
      </c>
      <c r="G259" s="221">
        <v>5.2514755988991197</v>
      </c>
      <c r="H259" s="222">
        <v>2.2918682926497698</v>
      </c>
      <c r="I259" s="222">
        <v>0</v>
      </c>
      <c r="J259" s="165">
        <v>-1</v>
      </c>
    </row>
    <row r="260" spans="1:10" x14ac:dyDescent="0.15">
      <c r="A260" s="296" t="s">
        <v>785</v>
      </c>
      <c r="B260" s="542">
        <v>1.4566111111111106</v>
      </c>
      <c r="C260" s="219">
        <v>2.2780024823964169</v>
      </c>
      <c r="D260" s="220">
        <v>3.3289794625709082</v>
      </c>
      <c r="E260" s="220">
        <v>4.1743016995091891</v>
      </c>
      <c r="F260" s="162">
        <v>3.454571060984013E-2</v>
      </c>
      <c r="G260" s="221">
        <v>1.9339961933162093</v>
      </c>
      <c r="H260" s="222">
        <v>2.3680926116192542</v>
      </c>
      <c r="I260" s="222">
        <v>3.0641866238135194</v>
      </c>
      <c r="J260" s="165">
        <v>2.4279400259423989E-2</v>
      </c>
    </row>
    <row r="261" spans="1:10" x14ac:dyDescent="0.15">
      <c r="A261" s="296" t="s">
        <v>786</v>
      </c>
      <c r="B261" s="542"/>
      <c r="C261" s="219">
        <v>0.5218459350725918</v>
      </c>
      <c r="D261" s="220">
        <v>0.88834366097009898</v>
      </c>
      <c r="E261" s="220">
        <v>1.4470185148436967</v>
      </c>
      <c r="F261" s="162" t="s">
        <v>672</v>
      </c>
      <c r="G261" s="221">
        <v>1.035850531251548</v>
      </c>
      <c r="H261" s="222">
        <v>2.4399242724040215</v>
      </c>
      <c r="I261" s="222">
        <v>4.3933105789474372</v>
      </c>
      <c r="J261" s="165" t="s">
        <v>672</v>
      </c>
    </row>
    <row r="262" spans="1:10" x14ac:dyDescent="0.15">
      <c r="A262" s="296" t="s">
        <v>787</v>
      </c>
      <c r="B262" s="297">
        <v>-0.96506024427746073</v>
      </c>
      <c r="C262" s="219">
        <v>-3.5860337996132856E-2</v>
      </c>
      <c r="D262" s="220">
        <v>-8.5781360000038318E-2</v>
      </c>
      <c r="E262" s="220">
        <v>-9.6987516838805493E-2</v>
      </c>
      <c r="F262" s="162">
        <v>-7.1436392785414915E-2</v>
      </c>
      <c r="G262" s="221">
        <v>-3.8191400547127198E-2</v>
      </c>
      <c r="H262" s="222">
        <v>-7.6477692773713996E-2</v>
      </c>
      <c r="I262" s="222">
        <v>-4.0092763642039758E-2</v>
      </c>
      <c r="J262" s="165">
        <v>-9.7523593267046293E-2</v>
      </c>
    </row>
    <row r="263" spans="1:10" x14ac:dyDescent="0.15">
      <c r="A263" s="296" t="s">
        <v>788</v>
      </c>
      <c r="B263" s="297">
        <v>0</v>
      </c>
      <c r="C263" s="219">
        <v>0</v>
      </c>
      <c r="D263" s="220">
        <v>-3.4105753446740444E-7</v>
      </c>
      <c r="E263" s="220">
        <v>-3.8507664705991897E-7</v>
      </c>
      <c r="F263" s="162" t="s">
        <v>672</v>
      </c>
      <c r="G263" s="221">
        <v>-2.5128103886943139E-2</v>
      </c>
      <c r="H263" s="222">
        <v>-9.3537373644636879E-2</v>
      </c>
      <c r="I263" s="222">
        <v>-8.6005676549432988E-2</v>
      </c>
      <c r="J263" s="165" t="s">
        <v>672</v>
      </c>
    </row>
    <row r="264" spans="1:10" x14ac:dyDescent="0.15">
      <c r="A264" s="296" t="s">
        <v>789</v>
      </c>
      <c r="B264" s="297">
        <v>1.6526666666666661</v>
      </c>
      <c r="C264" s="219">
        <v>4.8044968755598259</v>
      </c>
      <c r="D264" s="220">
        <v>6.8772616479451409</v>
      </c>
      <c r="E264" s="220">
        <v>7.4428609202493554</v>
      </c>
      <c r="F264" s="162">
        <v>4.974159879060025E-2</v>
      </c>
      <c r="G264" s="221">
        <v>5.3577536841559716</v>
      </c>
      <c r="H264" s="222">
        <v>6.6914037982282046</v>
      </c>
      <c r="I264" s="222">
        <v>5.8459028734475114</v>
      </c>
      <c r="J264" s="165">
        <v>4.1595065541873755E-2</v>
      </c>
    </row>
    <row r="265" spans="1:10" x14ac:dyDescent="0.15">
      <c r="A265" s="146" t="s">
        <v>790</v>
      </c>
      <c r="B265" s="284">
        <v>14.381486666666664</v>
      </c>
      <c r="C265" s="205">
        <v>16.832739347077506</v>
      </c>
      <c r="D265" s="206">
        <v>17.548182120337351</v>
      </c>
      <c r="E265" s="206">
        <v>17.587341422435152</v>
      </c>
      <c r="F265" s="232">
        <v>6.5126535897133131E-3</v>
      </c>
      <c r="G265" s="208">
        <v>17.534558074533848</v>
      </c>
      <c r="H265" s="209">
        <v>18.04019982022669</v>
      </c>
      <c r="I265" s="209">
        <v>17.524349721061828</v>
      </c>
      <c r="J265" s="233">
        <v>6.3961620288344179E-3</v>
      </c>
    </row>
    <row r="266" spans="1:10" x14ac:dyDescent="0.15">
      <c r="A266" s="296" t="s">
        <v>784</v>
      </c>
      <c r="B266" s="297">
        <v>6.2116866666666652</v>
      </c>
      <c r="C266" s="219">
        <v>5.9212547900698036</v>
      </c>
      <c r="D266" s="220">
        <v>5.9019246675890198</v>
      </c>
      <c r="E266" s="220">
        <v>6.0660711021303957</v>
      </c>
      <c r="F266" s="162">
        <v>-7.6491160870617581E-4</v>
      </c>
      <c r="G266" s="221">
        <v>6.0632172305292347</v>
      </c>
      <c r="H266" s="222">
        <v>6.04006540120292</v>
      </c>
      <c r="I266" s="222">
        <v>6.5603243383356977</v>
      </c>
      <c r="J266" s="165">
        <v>1.7630872379923446E-3</v>
      </c>
    </row>
    <row r="267" spans="1:10" x14ac:dyDescent="0.15">
      <c r="A267" s="296" t="s">
        <v>707</v>
      </c>
      <c r="B267" s="297">
        <v>6.6719999999999997</v>
      </c>
      <c r="C267" s="219">
        <v>5.2677974300248431</v>
      </c>
      <c r="D267" s="220">
        <v>2.163652685786563</v>
      </c>
      <c r="E267" s="220">
        <v>0</v>
      </c>
      <c r="F267" s="162">
        <v>-1</v>
      </c>
      <c r="G267" s="221">
        <v>5.2340147241584765</v>
      </c>
      <c r="H267" s="222">
        <v>2.1326122394132128</v>
      </c>
      <c r="I267" s="222">
        <v>0</v>
      </c>
      <c r="J267" s="165">
        <v>-1</v>
      </c>
    </row>
    <row r="268" spans="1:10" x14ac:dyDescent="0.15">
      <c r="A268" s="296" t="s">
        <v>785</v>
      </c>
      <c r="B268" s="542">
        <v>1.472</v>
      </c>
      <c r="C268" s="219">
        <v>1.975766924325868</v>
      </c>
      <c r="D268" s="220">
        <v>2.7377234225475666</v>
      </c>
      <c r="E268" s="220">
        <v>3.7442856187170888</v>
      </c>
      <c r="F268" s="162">
        <v>3.0574499886386164E-2</v>
      </c>
      <c r="G268" s="221">
        <v>1.5813732186946536</v>
      </c>
      <c r="H268" s="222">
        <v>1.8888715797931215</v>
      </c>
      <c r="I268" s="222">
        <v>2.6389184795361578</v>
      </c>
      <c r="J268" s="165">
        <v>1.9008966076292211E-2</v>
      </c>
    </row>
    <row r="269" spans="1:10" x14ac:dyDescent="0.15">
      <c r="A269" s="296" t="s">
        <v>786</v>
      </c>
      <c r="B269" s="542"/>
      <c r="C269" s="219">
        <v>1.2889836260706886</v>
      </c>
      <c r="D269" s="220">
        <v>2.196742503394213</v>
      </c>
      <c r="E269" s="220">
        <v>3.5782628008984005</v>
      </c>
      <c r="F269" s="162" t="s">
        <v>672</v>
      </c>
      <c r="G269" s="221">
        <v>2.3951879588802809</v>
      </c>
      <c r="H269" s="222">
        <v>5.2517427331312749</v>
      </c>
      <c r="I269" s="222">
        <v>9.1216694647473133</v>
      </c>
      <c r="J269" s="165" t="s">
        <v>672</v>
      </c>
    </row>
    <row r="270" spans="1:10" x14ac:dyDescent="0.15">
      <c r="A270" s="296" t="s">
        <v>787</v>
      </c>
      <c r="B270" s="297">
        <v>-0.20619999999999994</v>
      </c>
      <c r="C270" s="219">
        <v>-5.0519597673116201E-2</v>
      </c>
      <c r="D270" s="220">
        <v>-8.9699657703299129E-2</v>
      </c>
      <c r="E270" s="220">
        <v>-0.11271218734615948</v>
      </c>
      <c r="F270" s="162">
        <v>-1.9295572368878133E-2</v>
      </c>
      <c r="G270" s="221">
        <v>-8.5760161892354761E-2</v>
      </c>
      <c r="H270" s="222">
        <v>-0.16019804149777542</v>
      </c>
      <c r="I270" s="222">
        <v>-0.15857805955197513</v>
      </c>
      <c r="J270" s="165">
        <v>-8.4351777217093193E-3</v>
      </c>
    </row>
    <row r="271" spans="1:10" x14ac:dyDescent="0.15">
      <c r="A271" s="296" t="s">
        <v>788</v>
      </c>
      <c r="B271" s="297">
        <v>0</v>
      </c>
      <c r="C271" s="219">
        <v>0</v>
      </c>
      <c r="D271" s="220">
        <v>-4.2277506496259224E-7</v>
      </c>
      <c r="E271" s="220">
        <v>-4.3407091310929382E-7</v>
      </c>
      <c r="F271" s="162" t="s">
        <v>672</v>
      </c>
      <c r="G271" s="221">
        <v>-7.3911011554660164E-2</v>
      </c>
      <c r="H271" s="222">
        <v>-0.34089244550571574</v>
      </c>
      <c r="I271" s="222">
        <v>-0.2172350682469068</v>
      </c>
      <c r="J271" s="165" t="s">
        <v>672</v>
      </c>
    </row>
    <row r="272" spans="1:10" x14ac:dyDescent="0.15">
      <c r="A272" s="296" t="s">
        <v>789</v>
      </c>
      <c r="B272" s="297">
        <v>0.23200000000000001</v>
      </c>
      <c r="C272" s="219">
        <v>2.4294561742594181</v>
      </c>
      <c r="D272" s="220">
        <v>4.6378389214983553</v>
      </c>
      <c r="E272" s="220">
        <v>4.3114345221063397</v>
      </c>
      <c r="F272" s="162">
        <v>9.885351142392107E-2</v>
      </c>
      <c r="G272" s="221">
        <v>2.4204361157182146</v>
      </c>
      <c r="H272" s="222">
        <v>3.2279983536896504</v>
      </c>
      <c r="I272" s="222">
        <v>-0.42074943375845919</v>
      </c>
      <c r="J272" s="165">
        <v>-2.0193887974795199</v>
      </c>
    </row>
    <row r="273" spans="1:10" x14ac:dyDescent="0.15">
      <c r="A273" s="146" t="s">
        <v>791</v>
      </c>
      <c r="B273" s="284">
        <v>11.709460000000004</v>
      </c>
      <c r="C273" s="205">
        <v>13.939891974991758</v>
      </c>
      <c r="D273" s="206">
        <v>14.548346723842975</v>
      </c>
      <c r="E273" s="206">
        <v>14.900678465923921</v>
      </c>
      <c r="F273" s="232">
        <v>7.8048058920756613E-3</v>
      </c>
      <c r="G273" s="208">
        <v>14.225493029591373</v>
      </c>
      <c r="H273" s="209">
        <v>14.889699448219847</v>
      </c>
      <c r="I273" s="209">
        <v>15.344004786475521</v>
      </c>
      <c r="J273" s="233">
        <v>8.7583827248316481E-3</v>
      </c>
    </row>
    <row r="274" spans="1:10" x14ac:dyDescent="0.15">
      <c r="A274" s="296" t="s">
        <v>784</v>
      </c>
      <c r="B274" s="297">
        <v>11.827860000000001</v>
      </c>
      <c r="C274" s="219">
        <v>11.75586016108506</v>
      </c>
      <c r="D274" s="220">
        <v>11.765573040636031</v>
      </c>
      <c r="E274" s="220">
        <v>12.072876052256944</v>
      </c>
      <c r="F274" s="162">
        <v>6.6162271691583285E-4</v>
      </c>
      <c r="G274" s="221">
        <v>12.006157756846219</v>
      </c>
      <c r="H274" s="222">
        <v>12.076995263528975</v>
      </c>
      <c r="I274" s="222">
        <v>12.19040202143437</v>
      </c>
      <c r="J274" s="165">
        <v>9.74382691667941E-4</v>
      </c>
    </row>
    <row r="275" spans="1:10" x14ac:dyDescent="0.15">
      <c r="A275" s="296" t="s">
        <v>707</v>
      </c>
      <c r="B275" s="297">
        <v>4.92</v>
      </c>
      <c r="C275" s="219">
        <v>3.3849804613975958</v>
      </c>
      <c r="D275" s="220">
        <v>1.3328420514811596</v>
      </c>
      <c r="E275" s="220">
        <v>0</v>
      </c>
      <c r="F275" s="162">
        <v>-1</v>
      </c>
      <c r="G275" s="221">
        <v>3.396522732843938</v>
      </c>
      <c r="H275" s="222">
        <v>1.3328421426118653</v>
      </c>
      <c r="I275" s="222">
        <v>0</v>
      </c>
      <c r="J275" s="165">
        <v>-1</v>
      </c>
    </row>
    <row r="276" spans="1:10" x14ac:dyDescent="0.15">
      <c r="A276" s="296" t="s">
        <v>785</v>
      </c>
      <c r="B276" s="542">
        <v>1.663</v>
      </c>
      <c r="C276" s="219">
        <v>1.1799929255984676</v>
      </c>
      <c r="D276" s="220">
        <v>1.6340254826898355</v>
      </c>
      <c r="E276" s="220">
        <v>1.8498018384502219</v>
      </c>
      <c r="F276" s="162">
        <v>3.4399456209437407E-3</v>
      </c>
      <c r="G276" s="221">
        <v>1.0865433501808179</v>
      </c>
      <c r="H276" s="222">
        <v>1.3203032003972099</v>
      </c>
      <c r="I276" s="222">
        <v>1.6138036127467819</v>
      </c>
      <c r="J276" s="165">
        <v>-9.6821855824436032E-4</v>
      </c>
    </row>
    <row r="277" spans="1:10" x14ac:dyDescent="0.15">
      <c r="A277" s="296" t="s">
        <v>786</v>
      </c>
      <c r="B277" s="542"/>
      <c r="C277" s="219">
        <v>1.6410072047483644</v>
      </c>
      <c r="D277" s="220">
        <v>2.7982352834398339</v>
      </c>
      <c r="E277" s="220">
        <v>4.5580313742885874</v>
      </c>
      <c r="F277" s="162" t="s">
        <v>672</v>
      </c>
      <c r="G277" s="221">
        <v>2.9471249767650818</v>
      </c>
      <c r="H277" s="222">
        <v>6.2013483418704265</v>
      </c>
      <c r="I277" s="222">
        <v>10.530909181973756</v>
      </c>
      <c r="J277" s="165" t="s">
        <v>672</v>
      </c>
    </row>
    <row r="278" spans="1:10" x14ac:dyDescent="0.15">
      <c r="A278" s="296" t="s">
        <v>787</v>
      </c>
      <c r="B278" s="297">
        <v>-0.27340000000000009</v>
      </c>
      <c r="C278" s="219">
        <v>-0.73924937225212539</v>
      </c>
      <c r="D278" s="220">
        <v>-0.63941050374880615</v>
      </c>
      <c r="E278" s="220">
        <v>-0.62207392184803589</v>
      </c>
      <c r="F278" s="162">
        <v>2.6874884152320311E-2</v>
      </c>
      <c r="G278" s="221">
        <v>-0.70226908897970031</v>
      </c>
      <c r="H278" s="222">
        <v>-0.61843504634651092</v>
      </c>
      <c r="I278" s="222">
        <v>-0.89012341306059295</v>
      </c>
      <c r="J278" s="165">
        <v>3.8812464675627822E-2</v>
      </c>
    </row>
    <row r="279" spans="1:10" x14ac:dyDescent="0.15">
      <c r="A279" s="296" t="s">
        <v>788</v>
      </c>
      <c r="B279" s="297">
        <v>0</v>
      </c>
      <c r="C279" s="219">
        <v>0</v>
      </c>
      <c r="D279" s="220">
        <v>-5.0484741475659594E-7</v>
      </c>
      <c r="E279" s="220">
        <v>-7.4577052588074786E-7</v>
      </c>
      <c r="F279" s="162" t="s">
        <v>672</v>
      </c>
      <c r="G279" s="221">
        <v>-0.50434260896541716</v>
      </c>
      <c r="H279" s="222">
        <v>-1.4055470484658075</v>
      </c>
      <c r="I279" s="222">
        <v>-7.0065424608471911</v>
      </c>
      <c r="J279" s="165" t="s">
        <v>672</v>
      </c>
    </row>
    <row r="280" spans="1:10" x14ac:dyDescent="0.15">
      <c r="A280" s="296" t="s">
        <v>789</v>
      </c>
      <c r="B280" s="297">
        <v>-6.4279999999999999</v>
      </c>
      <c r="C280" s="219">
        <v>-3.2826994055856082</v>
      </c>
      <c r="D280" s="220">
        <v>-2.3429181258076683</v>
      </c>
      <c r="E280" s="220">
        <v>-2.957956131453273</v>
      </c>
      <c r="F280" s="162">
        <v>-2.472673735850528E-2</v>
      </c>
      <c r="G280" s="221">
        <v>-4.0042440890995659</v>
      </c>
      <c r="H280" s="222">
        <v>-4.0178074053763124</v>
      </c>
      <c r="I280" s="222">
        <v>-1.0944441557716</v>
      </c>
      <c r="J280" s="165">
        <v>-5.5510038474467671E-2</v>
      </c>
    </row>
    <row r="281" spans="1:10" x14ac:dyDescent="0.15">
      <c r="A281" s="146" t="s">
        <v>792</v>
      </c>
      <c r="B281" s="284">
        <v>17.72654</v>
      </c>
      <c r="C281" s="205">
        <v>16.801674221559065</v>
      </c>
      <c r="D281" s="206">
        <v>17.371535254549187</v>
      </c>
      <c r="E281" s="206">
        <v>17.655767778303087</v>
      </c>
      <c r="F281" s="232">
        <v>-1.2903797309038456E-4</v>
      </c>
      <c r="G281" s="208">
        <v>17.410736719209499</v>
      </c>
      <c r="H281" s="209">
        <v>17.98994534364865</v>
      </c>
      <c r="I281" s="209">
        <v>17.722038626748745</v>
      </c>
      <c r="J281" s="233">
        <v>-8.1924297312685468E-6</v>
      </c>
    </row>
    <row r="282" spans="1:10" x14ac:dyDescent="0.15">
      <c r="A282" s="296" t="s">
        <v>784</v>
      </c>
      <c r="B282" s="297">
        <v>11.203139999999999</v>
      </c>
      <c r="C282" s="219">
        <v>11.463115499893227</v>
      </c>
      <c r="D282" s="220">
        <v>11.494167721707914</v>
      </c>
      <c r="E282" s="220">
        <v>11.687650783345639</v>
      </c>
      <c r="F282" s="162">
        <v>1.3666975852502095E-3</v>
      </c>
      <c r="G282" s="221">
        <v>11.612042549085213</v>
      </c>
      <c r="H282" s="222">
        <v>11.709445678703503</v>
      </c>
      <c r="I282" s="222">
        <v>10.81628212237332</v>
      </c>
      <c r="J282" s="165">
        <v>-1.1329542831504114E-3</v>
      </c>
    </row>
    <row r="283" spans="1:10" x14ac:dyDescent="0.15">
      <c r="A283" s="296" t="s">
        <v>707</v>
      </c>
      <c r="B283" s="297">
        <v>6.9770000000000003</v>
      </c>
      <c r="C283" s="219">
        <v>4.8583558391183788</v>
      </c>
      <c r="D283" s="220">
        <v>1.9848951057960789</v>
      </c>
      <c r="E283" s="220">
        <v>0</v>
      </c>
      <c r="F283" s="162">
        <v>-1</v>
      </c>
      <c r="G283" s="221">
        <v>4.9439886035606744</v>
      </c>
      <c r="H283" s="222">
        <v>2.021367603219296</v>
      </c>
      <c r="I283" s="222">
        <v>0</v>
      </c>
      <c r="J283" s="165">
        <v>-1</v>
      </c>
    </row>
    <row r="284" spans="1:10" x14ac:dyDescent="0.15">
      <c r="A284" s="296" t="s">
        <v>785</v>
      </c>
      <c r="B284" s="542">
        <v>1.4670000000000001</v>
      </c>
      <c r="C284" s="219">
        <v>1.697534904875186</v>
      </c>
      <c r="D284" s="220">
        <v>2.6198859672971642</v>
      </c>
      <c r="E284" s="220">
        <v>3.4022977260125291</v>
      </c>
      <c r="F284" s="162">
        <v>2.7508048238248151E-2</v>
      </c>
      <c r="G284" s="221">
        <v>1.4507539011534314</v>
      </c>
      <c r="H284" s="222">
        <v>1.819277404045585</v>
      </c>
      <c r="I284" s="222">
        <v>2.1222380577211988</v>
      </c>
      <c r="J284" s="165">
        <v>1.1982568399779847E-2</v>
      </c>
    </row>
    <row r="285" spans="1:10" x14ac:dyDescent="0.15">
      <c r="A285" s="296" t="s">
        <v>786</v>
      </c>
      <c r="B285" s="542"/>
      <c r="C285" s="219">
        <v>0.87018104324009882</v>
      </c>
      <c r="D285" s="220">
        <v>1.483079401087362</v>
      </c>
      <c r="E285" s="220">
        <v>2.4157805723037469</v>
      </c>
      <c r="F285" s="162" t="s">
        <v>672</v>
      </c>
      <c r="G285" s="221">
        <v>1.6118125116820878</v>
      </c>
      <c r="H285" s="222">
        <v>3.5209462854512443</v>
      </c>
      <c r="I285" s="222">
        <v>6.1033593136327733</v>
      </c>
      <c r="J285" s="165" t="s">
        <v>672</v>
      </c>
    </row>
    <row r="286" spans="1:10" x14ac:dyDescent="0.15">
      <c r="A286" s="296" t="s">
        <v>787</v>
      </c>
      <c r="B286" s="297">
        <v>-0.2056</v>
      </c>
      <c r="C286" s="219">
        <v>-3.1192564936225062E-2</v>
      </c>
      <c r="D286" s="220">
        <v>-5.1914322824034118E-2</v>
      </c>
      <c r="E286" s="220">
        <v>-6.7225571391303002E-2</v>
      </c>
      <c r="F286" s="162">
        <v>-3.5418169159327939E-2</v>
      </c>
      <c r="G286" s="221">
        <v>-4.7152591224144003E-2</v>
      </c>
      <c r="H286" s="222">
        <v>-6.3428699340072239E-2</v>
      </c>
      <c r="I286" s="222">
        <v>-7.1705228780799962E-2</v>
      </c>
      <c r="J286" s="165">
        <v>-3.3408816477897174E-2</v>
      </c>
    </row>
    <row r="287" spans="1:10" x14ac:dyDescent="0.15">
      <c r="A287" s="296" t="s">
        <v>788</v>
      </c>
      <c r="B287" s="297">
        <v>0</v>
      </c>
      <c r="C287" s="219">
        <v>0</v>
      </c>
      <c r="D287" s="220">
        <v>-4.4354677172517525E-7</v>
      </c>
      <c r="E287" s="220">
        <v>-4.5876447205698148E-7</v>
      </c>
      <c r="F287" s="162" t="s">
        <v>672</v>
      </c>
      <c r="G287" s="221">
        <v>-0.50444634824920931</v>
      </c>
      <c r="H287" s="222">
        <v>-1.2471198135862376</v>
      </c>
      <c r="I287" s="222">
        <v>-1.2481370340645033</v>
      </c>
      <c r="J287" s="165" t="s">
        <v>672</v>
      </c>
    </row>
    <row r="288" spans="1:10" x14ac:dyDescent="0.15">
      <c r="A288" s="298" t="s">
        <v>789</v>
      </c>
      <c r="B288" s="299">
        <v>-1.7150000000000001</v>
      </c>
      <c r="C288" s="226">
        <v>-2.0563205006316001</v>
      </c>
      <c r="D288" s="227">
        <v>-0.15857817496853022</v>
      </c>
      <c r="E288" s="227">
        <v>0.21726472679694808</v>
      </c>
      <c r="F288" s="216">
        <v>-1.93552554012884</v>
      </c>
      <c r="G288" s="228">
        <v>-1.6562619067985513</v>
      </c>
      <c r="H288" s="229">
        <v>0.22945688515532758</v>
      </c>
      <c r="I288" s="229">
        <v>1.3958667588342666E-6</v>
      </c>
      <c r="J288" s="217">
        <v>-1.6361610740814494</v>
      </c>
    </row>
    <row r="291" spans="1:1" x14ac:dyDescent="0.15">
      <c r="A291" s="269" t="s">
        <v>793</v>
      </c>
    </row>
    <row r="292" spans="1:1" x14ac:dyDescent="0.15">
      <c r="A292" s="133" t="s">
        <v>794</v>
      </c>
    </row>
    <row r="293" spans="1:1" x14ac:dyDescent="0.15">
      <c r="A293" s="133" t="s">
        <v>795</v>
      </c>
    </row>
    <row r="294" spans="1:1" x14ac:dyDescent="0.15">
      <c r="A294" s="133" t="s">
        <v>796</v>
      </c>
    </row>
    <row r="295" spans="1:1" x14ac:dyDescent="0.15">
      <c r="A295" s="133" t="s">
        <v>797</v>
      </c>
    </row>
    <row r="296" spans="1:1" x14ac:dyDescent="0.15">
      <c r="A296" s="133" t="s">
        <v>798</v>
      </c>
    </row>
    <row r="297" spans="1:1" x14ac:dyDescent="0.15">
      <c r="A297" s="133" t="s">
        <v>799</v>
      </c>
    </row>
    <row r="298" spans="1:1" x14ac:dyDescent="0.15">
      <c r="A298" s="133" t="s">
        <v>800</v>
      </c>
    </row>
    <row r="299" spans="1:1" x14ac:dyDescent="0.15">
      <c r="A299" s="133" t="s">
        <v>801</v>
      </c>
    </row>
    <row r="300" spans="1:1" x14ac:dyDescent="0.15">
      <c r="A300" s="133" t="s">
        <v>802</v>
      </c>
    </row>
    <row r="301" spans="1:1" x14ac:dyDescent="0.15">
      <c r="A301" s="133" t="s">
        <v>803</v>
      </c>
    </row>
    <row r="302" spans="1:1" x14ac:dyDescent="0.15">
      <c r="A302" s="133" t="s">
        <v>804</v>
      </c>
    </row>
    <row r="303" spans="1:1" x14ac:dyDescent="0.15">
      <c r="A303" s="133" t="s">
        <v>805</v>
      </c>
    </row>
    <row r="304" spans="1:1" x14ac:dyDescent="0.15">
      <c r="A304" s="133" t="s">
        <v>806</v>
      </c>
    </row>
    <row r="305" spans="1:1" x14ac:dyDescent="0.15">
      <c r="A305" s="133" t="s">
        <v>807</v>
      </c>
    </row>
    <row r="306" spans="1:1" x14ac:dyDescent="0.15">
      <c r="A306" s="133" t="s">
        <v>808</v>
      </c>
    </row>
    <row r="307" spans="1:1" x14ac:dyDescent="0.15">
      <c r="A307" s="133" t="s">
        <v>809</v>
      </c>
    </row>
    <row r="308" spans="1:1" x14ac:dyDescent="0.15">
      <c r="A308" s="133" t="s">
        <v>810</v>
      </c>
    </row>
    <row r="309" spans="1:1" x14ac:dyDescent="0.15">
      <c r="A309" s="133" t="s">
        <v>811</v>
      </c>
    </row>
    <row r="310" spans="1:1" x14ac:dyDescent="0.15">
      <c r="A310" s="133" t="s">
        <v>812</v>
      </c>
    </row>
    <row r="311" spans="1:1" x14ac:dyDescent="0.15">
      <c r="A311" s="133" t="s">
        <v>813</v>
      </c>
    </row>
    <row r="312" spans="1:1" x14ac:dyDescent="0.15">
      <c r="A312" s="133" t="s">
        <v>814</v>
      </c>
    </row>
    <row r="313" spans="1:1" x14ac:dyDescent="0.15">
      <c r="A313" s="133" t="s">
        <v>815</v>
      </c>
    </row>
    <row r="322" spans="1:23" ht="15" x14ac:dyDescent="0.25">
      <c r="A322" s="338" t="s">
        <v>1172</v>
      </c>
      <c r="B322" s="367"/>
      <c r="C322" s="367"/>
      <c r="D322" s="367"/>
      <c r="E322" s="367"/>
      <c r="F322" s="367"/>
      <c r="G322" s="367"/>
      <c r="H322" s="367"/>
      <c r="I322" s="367"/>
      <c r="J322" s="367"/>
      <c r="K322" s="367"/>
      <c r="L322" s="367"/>
      <c r="M322" s="367"/>
      <c r="N322" s="367"/>
      <c r="O322" s="367"/>
      <c r="P322" s="367"/>
      <c r="Q322" s="367"/>
      <c r="R322" s="367"/>
      <c r="S322" s="367"/>
      <c r="T322" s="367"/>
      <c r="U322" s="367"/>
      <c r="V322" s="367"/>
      <c r="W322" s="65"/>
    </row>
    <row r="323" spans="1:23" ht="15"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row>
    <row r="324" spans="1:23" ht="15" x14ac:dyDescent="0.25">
      <c r="A324" s="65"/>
      <c r="B324" s="65"/>
      <c r="C324" s="65"/>
      <c r="D324" s="65"/>
      <c r="E324" s="65"/>
      <c r="F324" s="65"/>
      <c r="G324" s="65"/>
      <c r="H324" s="65"/>
      <c r="I324" s="9" t="s">
        <v>1174</v>
      </c>
      <c r="J324" s="65"/>
      <c r="K324" s="65"/>
      <c r="L324" s="65"/>
      <c r="M324" s="65"/>
      <c r="N324" s="65"/>
      <c r="O324" s="65"/>
      <c r="P324" s="65"/>
      <c r="Q324" s="65"/>
      <c r="R324" s="65"/>
      <c r="S324" s="65"/>
      <c r="T324" s="65"/>
      <c r="U324" s="65"/>
      <c r="V324" s="65"/>
      <c r="W324" s="65"/>
    </row>
    <row r="325" spans="1:23" ht="15" x14ac:dyDescent="0.25">
      <c r="A325" s="65"/>
      <c r="B325" s="65"/>
      <c r="C325" s="65" t="str">
        <f>C1</f>
        <v xml:space="preserve">BAU </v>
      </c>
      <c r="D325" s="65"/>
      <c r="E325" s="65"/>
      <c r="F325" s="65" t="str">
        <f>W1</f>
        <v>INNOV</v>
      </c>
      <c r="G325" s="65"/>
      <c r="H325" s="65"/>
      <c r="J325" s="65" t="str">
        <f>C325</f>
        <v xml:space="preserve">BAU </v>
      </c>
      <c r="K325" s="65"/>
      <c r="L325" s="65"/>
      <c r="M325" s="65" t="str">
        <f t="shared" ref="J325:M326" si="0">F325</f>
        <v>INNOV</v>
      </c>
      <c r="N325" s="65"/>
      <c r="O325" s="65"/>
      <c r="P325" s="65"/>
      <c r="Q325" s="65"/>
      <c r="R325" s="65"/>
      <c r="S325" s="65"/>
      <c r="T325" s="65"/>
      <c r="U325" s="65"/>
      <c r="V325" s="65"/>
      <c r="W325" s="65"/>
    </row>
    <row r="326" spans="1:23" ht="15" x14ac:dyDescent="0.25">
      <c r="A326" s="65"/>
      <c r="B326" s="65">
        <f>B2</f>
        <v>2019</v>
      </c>
      <c r="C326" s="65">
        <f>C2</f>
        <v>2030</v>
      </c>
      <c r="D326" s="65">
        <f>D2</f>
        <v>2040</v>
      </c>
      <c r="E326" s="65">
        <f>E2</f>
        <v>2050</v>
      </c>
      <c r="F326" s="65">
        <f>W2</f>
        <v>2030</v>
      </c>
      <c r="G326" s="65">
        <f>X2</f>
        <v>2040</v>
      </c>
      <c r="H326" s="65">
        <f>Y2</f>
        <v>2050</v>
      </c>
      <c r="I326" s="65">
        <f>B326</f>
        <v>2019</v>
      </c>
      <c r="J326" s="65">
        <f t="shared" si="0"/>
        <v>2030</v>
      </c>
      <c r="K326" s="65">
        <f t="shared" si="0"/>
        <v>2040</v>
      </c>
      <c r="L326" s="65">
        <f t="shared" si="0"/>
        <v>2050</v>
      </c>
      <c r="M326" s="65">
        <f t="shared" si="0"/>
        <v>2030</v>
      </c>
      <c r="N326" s="65">
        <f>G326</f>
        <v>2040</v>
      </c>
      <c r="O326" s="65">
        <f t="shared" ref="O326" si="1">H326</f>
        <v>2050</v>
      </c>
      <c r="P326" s="65"/>
      <c r="Q326" s="65" t="s">
        <v>1179</v>
      </c>
      <c r="R326" s="65"/>
      <c r="S326" s="65"/>
      <c r="T326" s="65"/>
      <c r="U326" s="65"/>
      <c r="V326" s="65"/>
      <c r="W326" s="65"/>
    </row>
    <row r="327" spans="1:23" ht="15" x14ac:dyDescent="0.25">
      <c r="A327" s="9" t="str">
        <f>A82</f>
        <v>Domestic electricity production by source (TWh/yr.)3</v>
      </c>
      <c r="B327" s="368">
        <f>B82</f>
        <v>67.906166666666664</v>
      </c>
      <c r="C327" s="368">
        <f t="shared" ref="C327:E327" si="2">C82</f>
        <v>66.983910880744716</v>
      </c>
      <c r="D327" s="368">
        <f t="shared" si="2"/>
        <v>62.197744139823818</v>
      </c>
      <c r="E327" s="368">
        <f t="shared" si="2"/>
        <v>62.756779920130207</v>
      </c>
      <c r="F327" s="368">
        <f>W82</f>
        <v>70.626019579180408</v>
      </c>
      <c r="G327" s="368">
        <f t="shared" ref="G327:H327" si="3">X82</f>
        <v>70.958147685888548</v>
      </c>
      <c r="H327" s="368">
        <f t="shared" si="3"/>
        <v>74.46266277345164</v>
      </c>
      <c r="I327" s="65">
        <f>B327/$B$347</f>
        <v>0.95342480802858909</v>
      </c>
      <c r="J327" s="65">
        <f>C327/$C$347</f>
        <v>0.95131147397607008</v>
      </c>
      <c r="K327" s="65">
        <f>D327/$D$347</f>
        <v>0.94706639983442586</v>
      </c>
      <c r="L327" s="65">
        <f>E327/$E$347</f>
        <v>0.94480147857601326</v>
      </c>
      <c r="M327" s="65">
        <f>F327/$F$347</f>
        <v>0.95308854229316564</v>
      </c>
      <c r="N327" s="65">
        <f>G327/$G$347</f>
        <v>0.94733988641891254</v>
      </c>
      <c r="O327" s="65">
        <f>H327/$H$347</f>
        <v>0.92837864870714804</v>
      </c>
      <c r="P327" s="65"/>
      <c r="Q327" s="65"/>
      <c r="R327" s="65"/>
      <c r="S327" s="65"/>
      <c r="T327" s="65"/>
      <c r="U327" s="65"/>
      <c r="V327" s="65"/>
      <c r="W327" s="65"/>
    </row>
    <row r="328" spans="1:23" ht="15" x14ac:dyDescent="0.25">
      <c r="A328" s="9" t="str">
        <f t="shared" ref="A328:B330" si="4">A84</f>
        <v>Gas (natural gas and biomethane)4</v>
      </c>
      <c r="B328" s="413">
        <f t="shared" si="4"/>
        <v>0.66359999999999975</v>
      </c>
      <c r="C328" s="413">
        <f t="shared" ref="C328:E328" si="5">C84</f>
        <v>3.9163972342442945</v>
      </c>
      <c r="D328" s="413">
        <f t="shared" si="5"/>
        <v>7.0676819404315676</v>
      </c>
      <c r="E328" s="413">
        <f t="shared" si="5"/>
        <v>9.8715564871683021</v>
      </c>
      <c r="F328" s="413">
        <f t="shared" ref="F328:H330" si="6">W84</f>
        <v>1.5488760409186031</v>
      </c>
      <c r="G328" s="413">
        <f t="shared" si="6"/>
        <v>1.8510996395253216</v>
      </c>
      <c r="H328" s="413">
        <f t="shared" si="6"/>
        <v>2.1189415514815915</v>
      </c>
      <c r="I328" s="65">
        <f t="shared" ref="I328:I347" si="7">B328/$B$347</f>
        <v>9.3171612191495345E-3</v>
      </c>
      <c r="J328" s="65">
        <f t="shared" ref="J328:J347" si="8">C328/$C$347</f>
        <v>5.5621022669426465E-2</v>
      </c>
      <c r="K328" s="65">
        <f t="shared" ref="K328:K347" si="9">D328/$D$347</f>
        <v>0.10761747364103476</v>
      </c>
      <c r="L328" s="65">
        <f t="shared" ref="L328:L347" si="10">E328/$E$347</f>
        <v>0.14861599299379566</v>
      </c>
      <c r="M328" s="65">
        <f t="shared" ref="M328:M347" si="11">F328/$F$347</f>
        <v>2.0901871814776454E-2</v>
      </c>
      <c r="N328" s="65">
        <f t="shared" ref="N328:N347" si="12">G328/$G$347</f>
        <v>2.4713448412165228E-2</v>
      </c>
      <c r="O328" s="65">
        <f t="shared" ref="O328:O347" si="13">H328/$H$347</f>
        <v>2.6418342038599125E-2</v>
      </c>
      <c r="P328" s="65"/>
      <c r="Q328" s="65" t="s">
        <v>1271</v>
      </c>
      <c r="S328" s="65" t="s">
        <v>1191</v>
      </c>
      <c r="T328" s="65" t="s">
        <v>431</v>
      </c>
      <c r="U328" s="65"/>
      <c r="V328" s="65" t="s">
        <v>1195</v>
      </c>
      <c r="W328" s="65"/>
    </row>
    <row r="329" spans="1:23" ht="15" x14ac:dyDescent="0.25">
      <c r="A329" s="9" t="str">
        <f t="shared" si="4"/>
        <v>Gas (natural gas and biomethane)4 with CCS</v>
      </c>
      <c r="B329" s="413">
        <f t="shared" si="4"/>
        <v>0</v>
      </c>
      <c r="C329" s="413">
        <f t="shared" ref="C329:E329" si="14">C85</f>
        <v>0</v>
      </c>
      <c r="D329" s="413">
        <f t="shared" si="14"/>
        <v>0</v>
      </c>
      <c r="E329" s="413">
        <f t="shared" si="14"/>
        <v>0</v>
      </c>
      <c r="F329" s="413">
        <f t="shared" si="6"/>
        <v>0</v>
      </c>
      <c r="G329" s="413">
        <f t="shared" si="6"/>
        <v>0.4783378434177496</v>
      </c>
      <c r="H329" s="368">
        <f t="shared" si="6"/>
        <v>0.99105814058466879</v>
      </c>
      <c r="I329" s="65">
        <f t="shared" si="7"/>
        <v>0</v>
      </c>
      <c r="J329" s="65">
        <f t="shared" si="8"/>
        <v>0</v>
      </c>
      <c r="K329" s="65">
        <f t="shared" si="9"/>
        <v>0</v>
      </c>
      <c r="L329" s="65">
        <f t="shared" si="10"/>
        <v>0</v>
      </c>
      <c r="M329" s="65">
        <f t="shared" si="11"/>
        <v>0</v>
      </c>
      <c r="N329" s="65">
        <f t="shared" si="12"/>
        <v>6.3861379282221051E-3</v>
      </c>
      <c r="O329" s="65">
        <f t="shared" si="13"/>
        <v>1.2356222341195284E-2</v>
      </c>
      <c r="P329" s="65"/>
      <c r="Q329" s="65"/>
      <c r="R329" s="65"/>
      <c r="S329" s="133" t="s">
        <v>1193</v>
      </c>
      <c r="T329" s="133" t="s">
        <v>431</v>
      </c>
      <c r="U329" s="65" t="s">
        <v>419</v>
      </c>
      <c r="V329" s="65" t="s">
        <v>1194</v>
      </c>
      <c r="W329" s="65"/>
    </row>
    <row r="330" spans="1:23" ht="15" x14ac:dyDescent="0.25">
      <c r="A330" s="65" t="str">
        <f t="shared" si="4"/>
        <v>Nuclear power plants</v>
      </c>
      <c r="B330" s="368">
        <f t="shared" si="4"/>
        <v>25.280555555555555</v>
      </c>
      <c r="C330" s="368">
        <f t="shared" ref="C330:E330" si="15">C86</f>
        <v>18.826001565945941</v>
      </c>
      <c r="D330" s="368">
        <f t="shared" si="15"/>
        <v>7.7786902660440509</v>
      </c>
      <c r="E330" s="368">
        <f t="shared" si="15"/>
        <v>0</v>
      </c>
      <c r="F330" s="368">
        <f t="shared" si="6"/>
        <v>18.826001603147333</v>
      </c>
      <c r="G330" s="368">
        <f t="shared" si="6"/>
        <v>7.7786902656111572</v>
      </c>
      <c r="H330" s="368">
        <f t="shared" si="6"/>
        <v>0</v>
      </c>
      <c r="I330" s="65">
        <f t="shared" si="7"/>
        <v>0.35494727519707298</v>
      </c>
      <c r="J330" s="65">
        <f t="shared" si="8"/>
        <v>0.26736855258661962</v>
      </c>
      <c r="K330" s="65">
        <f t="shared" si="9"/>
        <v>0.11844378421712803</v>
      </c>
      <c r="L330" s="65">
        <f t="shared" si="10"/>
        <v>0</v>
      </c>
      <c r="M330" s="65">
        <f t="shared" si="11"/>
        <v>0.25405433481970996</v>
      </c>
      <c r="N330" s="65">
        <f t="shared" si="12"/>
        <v>0.10385084437847382</v>
      </c>
      <c r="O330" s="65">
        <f t="shared" si="13"/>
        <v>0</v>
      </c>
      <c r="P330" s="65"/>
      <c r="Q330" s="65"/>
      <c r="R330" s="65"/>
      <c r="S330" s="65" t="s">
        <v>1223</v>
      </c>
      <c r="T330" s="65" t="s">
        <v>431</v>
      </c>
      <c r="U330" s="65" t="s">
        <v>432</v>
      </c>
      <c r="V330" s="65"/>
      <c r="W330" s="65"/>
    </row>
    <row r="331" spans="1:23" ht="15" x14ac:dyDescent="0.25">
      <c r="A331" s="65"/>
      <c r="B331" s="368"/>
      <c r="C331" s="368"/>
      <c r="D331" s="368"/>
      <c r="E331" s="368"/>
      <c r="F331" s="368"/>
      <c r="G331" s="368"/>
      <c r="H331" s="368"/>
      <c r="I331" s="65"/>
      <c r="J331" s="65"/>
      <c r="K331" s="65"/>
      <c r="L331" s="65"/>
      <c r="M331" s="65"/>
      <c r="N331" s="65"/>
      <c r="O331" s="65"/>
      <c r="P331" s="65"/>
      <c r="Q331" s="65"/>
      <c r="R331" s="65"/>
      <c r="S331" s="65" t="s">
        <v>1224</v>
      </c>
      <c r="T331" s="133" t="s">
        <v>431</v>
      </c>
      <c r="U331" s="133" t="s">
        <v>432</v>
      </c>
      <c r="V331" s="65"/>
      <c r="W331" s="65"/>
    </row>
    <row r="332" spans="1:23" ht="15" x14ac:dyDescent="0.25">
      <c r="A332" s="65" t="str">
        <f t="shared" ref="A332:B337" si="16">A87</f>
        <v>Woody biomass</v>
      </c>
      <c r="B332" s="368">
        <f t="shared" si="16"/>
        <v>0.31277777777777777</v>
      </c>
      <c r="C332" s="368">
        <f t="shared" ref="C332:E332" si="17">C87</f>
        <v>0.57558624257245505</v>
      </c>
      <c r="D332" s="368">
        <f t="shared" si="17"/>
        <v>0.57558775921997019</v>
      </c>
      <c r="E332" s="368">
        <f t="shared" si="17"/>
        <v>0.57558910145904985</v>
      </c>
      <c r="F332" s="368">
        <f t="shared" ref="F332:H337" si="18">W87</f>
        <v>0.87366634712665836</v>
      </c>
      <c r="G332" s="368">
        <f t="shared" si="18"/>
        <v>1.1805319717865179</v>
      </c>
      <c r="H332" s="368">
        <f t="shared" si="18"/>
        <v>0.55195245536228066</v>
      </c>
      <c r="I332" s="65">
        <f t="shared" si="7"/>
        <v>4.3915023829458758E-3</v>
      </c>
      <c r="J332" s="65">
        <f t="shared" si="8"/>
        <v>8.1745271308031799E-3</v>
      </c>
      <c r="K332" s="65">
        <f t="shared" si="9"/>
        <v>8.7643022179030045E-3</v>
      </c>
      <c r="L332" s="65">
        <f t="shared" si="10"/>
        <v>8.6654770178275411E-3</v>
      </c>
      <c r="M332" s="65">
        <f t="shared" si="11"/>
        <v>1.1790008699272709E-2</v>
      </c>
      <c r="N332" s="65">
        <f t="shared" si="12"/>
        <v>1.5760910628851491E-2</v>
      </c>
      <c r="O332" s="65">
        <f t="shared" si="13"/>
        <v>6.8815813936017505E-3</v>
      </c>
      <c r="P332" s="65"/>
      <c r="Q332" s="65"/>
      <c r="R332" s="65"/>
      <c r="S332" s="65" t="s">
        <v>1225</v>
      </c>
      <c r="T332" s="65" t="s">
        <v>431</v>
      </c>
      <c r="U332" s="65" t="s">
        <v>432</v>
      </c>
      <c r="V332" s="65"/>
      <c r="W332" s="65"/>
    </row>
    <row r="333" spans="1:23" ht="15" x14ac:dyDescent="0.25">
      <c r="A333" s="65" t="str">
        <f t="shared" si="16"/>
        <v>Woody biomass with CCS</v>
      </c>
      <c r="B333" s="368">
        <f t="shared" si="16"/>
        <v>0</v>
      </c>
      <c r="C333" s="368">
        <f t="shared" ref="C333:E333" si="19">C88</f>
        <v>0</v>
      </c>
      <c r="D333" s="368">
        <f t="shared" si="19"/>
        <v>0</v>
      </c>
      <c r="E333" s="368">
        <f t="shared" si="19"/>
        <v>0</v>
      </c>
      <c r="F333" s="368">
        <f t="shared" si="18"/>
        <v>0</v>
      </c>
      <c r="G333" s="368">
        <f t="shared" si="18"/>
        <v>1.9194629029313928E-2</v>
      </c>
      <c r="H333" s="368">
        <f t="shared" si="18"/>
        <v>0.69552866227449617</v>
      </c>
      <c r="I333" s="65">
        <f t="shared" si="7"/>
        <v>0</v>
      </c>
      <c r="J333" s="65">
        <f t="shared" si="8"/>
        <v>0</v>
      </c>
      <c r="K333" s="65">
        <f t="shared" si="9"/>
        <v>0</v>
      </c>
      <c r="L333" s="65">
        <f t="shared" si="10"/>
        <v>0</v>
      </c>
      <c r="M333" s="65">
        <f t="shared" si="11"/>
        <v>0</v>
      </c>
      <c r="N333" s="65">
        <f t="shared" si="12"/>
        <v>2.5626144815642699E-4</v>
      </c>
      <c r="O333" s="65">
        <f t="shared" si="13"/>
        <v>8.6716474481181877E-3</v>
      </c>
      <c r="P333" s="65"/>
      <c r="Q333" s="65"/>
      <c r="R333" s="65"/>
      <c r="S333" s="65" t="s">
        <v>1226</v>
      </c>
      <c r="T333" s="65" t="s">
        <v>431</v>
      </c>
      <c r="U333" s="133" t="s">
        <v>419</v>
      </c>
    </row>
    <row r="334" spans="1:23" ht="15" x14ac:dyDescent="0.25">
      <c r="A334" s="65" t="str">
        <f t="shared" si="16"/>
        <v>Waste (incl. non renewable waste)</v>
      </c>
      <c r="B334" s="368">
        <f t="shared" si="16"/>
        <v>2.355</v>
      </c>
      <c r="C334" s="368">
        <f t="shared" ref="C334:E334" si="20">C89</f>
        <v>2.5158929381514628</v>
      </c>
      <c r="D334" s="368">
        <f t="shared" si="20"/>
        <v>2.5539046922692075</v>
      </c>
      <c r="E334" s="368">
        <f t="shared" si="20"/>
        <v>2.6001007117714767</v>
      </c>
      <c r="F334" s="368">
        <f t="shared" si="18"/>
        <v>2.5156692314703082</v>
      </c>
      <c r="G334" s="368">
        <f t="shared" si="18"/>
        <v>2.079632561129912</v>
      </c>
      <c r="H334" s="368">
        <f t="shared" si="18"/>
        <v>1.2223217834036684</v>
      </c>
      <c r="I334" s="65">
        <f t="shared" si="7"/>
        <v>3.3064970872659978E-2</v>
      </c>
      <c r="J334" s="65">
        <f t="shared" si="8"/>
        <v>3.5730935800687369E-2</v>
      </c>
      <c r="K334" s="65">
        <f t="shared" si="9"/>
        <v>3.8887540953096968E-2</v>
      </c>
      <c r="L334" s="65">
        <f t="shared" si="10"/>
        <v>3.9144439852629373E-2</v>
      </c>
      <c r="M334" s="65">
        <f t="shared" si="11"/>
        <v>3.3948614618239087E-2</v>
      </c>
      <c r="N334" s="65">
        <f t="shared" si="12"/>
        <v>2.7764519487952766E-2</v>
      </c>
      <c r="O334" s="65">
        <f t="shared" si="13"/>
        <v>1.5239549638643783E-2</v>
      </c>
      <c r="P334" s="65"/>
      <c r="Q334" s="65"/>
      <c r="S334" s="133" t="s">
        <v>1257</v>
      </c>
      <c r="T334" s="133" t="s">
        <v>480</v>
      </c>
      <c r="U334" s="65" t="s">
        <v>419</v>
      </c>
      <c r="V334" s="65" t="s">
        <v>433</v>
      </c>
      <c r="W334" s="65"/>
    </row>
    <row r="335" spans="1:23" ht="15" x14ac:dyDescent="0.25">
      <c r="A335" s="65" t="str">
        <f t="shared" si="16"/>
        <v>Waste with CCS</v>
      </c>
      <c r="B335" s="368">
        <f t="shared" si="16"/>
        <v>0</v>
      </c>
      <c r="C335" s="368">
        <f t="shared" ref="C335:E335" si="21">C90</f>
        <v>0</v>
      </c>
      <c r="D335" s="368">
        <f t="shared" si="21"/>
        <v>0</v>
      </c>
      <c r="E335" s="368">
        <f t="shared" si="21"/>
        <v>0</v>
      </c>
      <c r="F335" s="368">
        <f t="shared" si="18"/>
        <v>0</v>
      </c>
      <c r="G335" s="368">
        <f t="shared" si="18"/>
        <v>0.45056126971159588</v>
      </c>
      <c r="H335" s="368">
        <f t="shared" si="18"/>
        <v>1.4532804454826385</v>
      </c>
      <c r="I335" s="65">
        <f t="shared" si="7"/>
        <v>0</v>
      </c>
      <c r="J335" s="65">
        <f t="shared" si="8"/>
        <v>0</v>
      </c>
      <c r="K335" s="65">
        <f t="shared" si="9"/>
        <v>0</v>
      </c>
      <c r="L335" s="65">
        <f t="shared" si="10"/>
        <v>0</v>
      </c>
      <c r="M335" s="65">
        <f t="shared" si="11"/>
        <v>0</v>
      </c>
      <c r="N335" s="65">
        <f t="shared" si="12"/>
        <v>6.0153016389720235E-3</v>
      </c>
      <c r="O335" s="65">
        <f t="shared" si="13"/>
        <v>1.8119074525638986E-2</v>
      </c>
      <c r="P335" s="65"/>
      <c r="Q335" s="65"/>
      <c r="S335" s="65" t="s">
        <v>1189</v>
      </c>
      <c r="T335" s="65" t="s">
        <v>480</v>
      </c>
      <c r="U335" s="65" t="s">
        <v>419</v>
      </c>
      <c r="V335" s="65"/>
      <c r="W335" s="65"/>
    </row>
    <row r="336" spans="1:23" ht="15" x14ac:dyDescent="0.25">
      <c r="A336" s="65" t="str">
        <f t="shared" si="16"/>
        <v>Biogas</v>
      </c>
      <c r="B336" s="368">
        <f t="shared" si="16"/>
        <v>0.37222222222222223</v>
      </c>
      <c r="C336" s="368">
        <f t="shared" ref="C336:E336" si="22">C91</f>
        <v>0.12340746190699248</v>
      </c>
      <c r="D336" s="368">
        <f t="shared" si="22"/>
        <v>0.12340745448198449</v>
      </c>
      <c r="E336" s="368">
        <f t="shared" si="22"/>
        <v>0.12340745542287485</v>
      </c>
      <c r="F336" s="368">
        <f t="shared" si="18"/>
        <v>0.13607419285060735</v>
      </c>
      <c r="G336" s="368">
        <f t="shared" si="18"/>
        <v>0.53038906645505779</v>
      </c>
      <c r="H336" s="368">
        <f t="shared" si="18"/>
        <v>0.54452113930103396</v>
      </c>
      <c r="I336" s="65">
        <f t="shared" si="7"/>
        <v>5.226121841161167E-3</v>
      </c>
      <c r="J336" s="65">
        <f t="shared" si="8"/>
        <v>1.7526437758374361E-3</v>
      </c>
      <c r="K336" s="65">
        <f t="shared" si="9"/>
        <v>1.8790883052967732E-3</v>
      </c>
      <c r="L336" s="65">
        <f t="shared" si="10"/>
        <v>1.8578956170030607E-3</v>
      </c>
      <c r="M336" s="65">
        <f t="shared" si="11"/>
        <v>1.8363027518817658E-3</v>
      </c>
      <c r="N336" s="65">
        <f t="shared" si="12"/>
        <v>7.0810574170792721E-3</v>
      </c>
      <c r="O336" s="65">
        <f t="shared" si="13"/>
        <v>6.7889299236422894E-3</v>
      </c>
      <c r="P336" s="65"/>
      <c r="Q336" s="65"/>
      <c r="R336" s="65"/>
      <c r="S336" s="65" t="s">
        <v>1227</v>
      </c>
      <c r="T336" s="65" t="s">
        <v>431</v>
      </c>
      <c r="V336" s="65"/>
      <c r="W336" s="65"/>
    </row>
    <row r="337" spans="1:24" ht="15" x14ac:dyDescent="0.25">
      <c r="A337" s="65" t="str">
        <f t="shared" si="16"/>
        <v>Hydro (excluding pump storage)</v>
      </c>
      <c r="B337" s="368">
        <f t="shared" si="16"/>
        <v>36.567</v>
      </c>
      <c r="C337" s="368">
        <f t="shared" ref="C337:E337" si="23">C92</f>
        <v>36.704594268471105</v>
      </c>
      <c r="D337" s="368">
        <f t="shared" si="23"/>
        <v>36.732038689782783</v>
      </c>
      <c r="E337" s="368">
        <f t="shared" si="23"/>
        <v>37.586999775106747</v>
      </c>
      <c r="F337" s="368">
        <f t="shared" si="18"/>
        <v>37.400404825544783</v>
      </c>
      <c r="G337" s="368">
        <f t="shared" si="18"/>
        <v>37.586999621783299</v>
      </c>
      <c r="H337" s="368">
        <f t="shared" si="18"/>
        <v>37.586999503641358</v>
      </c>
      <c r="I337" s="65">
        <f t="shared" si="7"/>
        <v>0.51341264963930255</v>
      </c>
      <c r="J337" s="65">
        <f t="shared" si="8"/>
        <v>0.52128192003298346</v>
      </c>
      <c r="K337" s="65">
        <f t="shared" si="9"/>
        <v>0.55930773891585006</v>
      </c>
      <c r="L337" s="65">
        <f t="shared" si="10"/>
        <v>0.565871177711048</v>
      </c>
      <c r="M337" s="65">
        <f t="shared" si="11"/>
        <v>0.50471338366151786</v>
      </c>
      <c r="N337" s="65">
        <f t="shared" si="12"/>
        <v>0.50181219653806153</v>
      </c>
      <c r="O337" s="65">
        <f t="shared" si="13"/>
        <v>0.46862369016150734</v>
      </c>
      <c r="P337" s="65"/>
      <c r="Q337" s="65"/>
      <c r="R337" s="65" t="s">
        <v>1180</v>
      </c>
      <c r="S337" s="65" t="s">
        <v>1228</v>
      </c>
      <c r="T337" s="65" t="s">
        <v>431</v>
      </c>
      <c r="V337" s="65"/>
      <c r="W337" s="65"/>
    </row>
    <row r="338" spans="1:24" ht="15" x14ac:dyDescent="0.25">
      <c r="A338" s="65"/>
      <c r="B338" s="368"/>
      <c r="C338" s="368"/>
      <c r="D338" s="368"/>
      <c r="E338" s="368"/>
      <c r="F338" s="368"/>
      <c r="G338" s="368"/>
      <c r="H338" s="368"/>
      <c r="I338" s="65"/>
      <c r="J338" s="65"/>
      <c r="K338" s="65"/>
      <c r="L338" s="65"/>
      <c r="M338" s="65"/>
      <c r="N338" s="65"/>
      <c r="O338" s="65"/>
      <c r="P338" s="65"/>
      <c r="Q338" s="65"/>
      <c r="R338" s="65"/>
      <c r="S338" s="65" t="s">
        <v>842</v>
      </c>
      <c r="T338" s="65" t="s">
        <v>431</v>
      </c>
      <c r="V338" s="65"/>
      <c r="W338" s="65"/>
    </row>
    <row r="339" spans="1:24" ht="15" x14ac:dyDescent="0.25">
      <c r="A339" s="65" t="str">
        <f>A93</f>
        <v>Solar</v>
      </c>
      <c r="B339" s="368">
        <f>B93</f>
        <v>2.1777777777777776</v>
      </c>
      <c r="C339" s="368">
        <f t="shared" ref="C339:E339" si="24">C93</f>
        <v>4.2495976625879797</v>
      </c>
      <c r="D339" s="368">
        <f t="shared" si="24"/>
        <v>7.2484360623679125</v>
      </c>
      <c r="E339" s="368">
        <f t="shared" si="24"/>
        <v>11.806941057381088</v>
      </c>
      <c r="F339" s="368">
        <f>W93</f>
        <v>8.4076243657324028</v>
      </c>
      <c r="G339" s="368">
        <f>X93</f>
        <v>17.832507140158359</v>
      </c>
      <c r="H339" s="368">
        <f>Y93</f>
        <v>27.157719835609374</v>
      </c>
      <c r="I339" s="65">
        <f t="shared" si="7"/>
        <v>3.0576712861719063E-2</v>
      </c>
      <c r="J339" s="65">
        <f t="shared" si="8"/>
        <v>6.035316485774124E-2</v>
      </c>
      <c r="K339" s="65">
        <f t="shared" si="9"/>
        <v>0.1103697624560865</v>
      </c>
      <c r="L339" s="65">
        <f t="shared" si="10"/>
        <v>0.17775315085749455</v>
      </c>
      <c r="M339" s="65">
        <f t="shared" si="11"/>
        <v>0.113459748951314</v>
      </c>
      <c r="N339" s="65">
        <f t="shared" si="12"/>
        <v>0.23807618771990108</v>
      </c>
      <c r="O339" s="65">
        <f t="shared" si="13"/>
        <v>0.33859448888711335</v>
      </c>
      <c r="P339" s="65"/>
      <c r="Q339" s="65"/>
      <c r="R339" s="65" t="s">
        <v>1181</v>
      </c>
      <c r="S339" s="65" t="s">
        <v>1244</v>
      </c>
      <c r="T339" s="65" t="s">
        <v>505</v>
      </c>
      <c r="V339" s="65"/>
      <c r="W339" s="65"/>
    </row>
    <row r="340" spans="1:24" ht="15" x14ac:dyDescent="0.25">
      <c r="A340" s="65"/>
      <c r="B340" s="368"/>
      <c r="C340" s="368"/>
      <c r="D340" s="368"/>
      <c r="E340" s="368"/>
      <c r="F340" s="368"/>
      <c r="G340" s="368"/>
      <c r="H340" s="368"/>
      <c r="I340" s="65"/>
      <c r="J340" s="65"/>
      <c r="K340" s="65"/>
      <c r="L340" s="65"/>
      <c r="M340" s="65"/>
      <c r="N340" s="65"/>
      <c r="O340" s="65"/>
      <c r="P340" s="65"/>
      <c r="Q340" s="65"/>
      <c r="R340" s="65"/>
      <c r="S340" s="65" t="s">
        <v>843</v>
      </c>
      <c r="T340" s="65" t="s">
        <v>505</v>
      </c>
      <c r="V340" s="65"/>
      <c r="W340" s="65"/>
    </row>
    <row r="341" spans="1:24" ht="15" x14ac:dyDescent="0.25">
      <c r="A341" s="65" t="str">
        <f t="shared" ref="A341:B343" si="25">A94</f>
        <v>Wind</v>
      </c>
      <c r="B341" s="368">
        <f t="shared" si="25"/>
        <v>0.14583333333333334</v>
      </c>
      <c r="C341" s="368">
        <f t="shared" ref="C341:E341" si="26">C94</f>
        <v>7.2420146543764566E-2</v>
      </c>
      <c r="D341" s="368">
        <f t="shared" si="26"/>
        <v>0.11796478652359577</v>
      </c>
      <c r="E341" s="368">
        <f t="shared" si="26"/>
        <v>0.19215220495334404</v>
      </c>
      <c r="F341" s="368">
        <f t="shared" ref="F341:H343" si="27">W94</f>
        <v>7.3614875370854482E-2</v>
      </c>
      <c r="G341" s="368">
        <f t="shared" si="27"/>
        <v>0.11991087465914151</v>
      </c>
      <c r="H341" s="368">
        <f t="shared" si="27"/>
        <v>0.19532217913833524</v>
      </c>
      <c r="I341" s="65">
        <f t="shared" si="7"/>
        <v>2.0475477362758305E-3</v>
      </c>
      <c r="J341" s="65">
        <f t="shared" si="8"/>
        <v>1.0285173775052908E-3</v>
      </c>
      <c r="K341" s="65">
        <f t="shared" si="9"/>
        <v>1.7962144322949218E-3</v>
      </c>
      <c r="L341" s="65">
        <f t="shared" si="10"/>
        <v>2.8928458022003611E-3</v>
      </c>
      <c r="M341" s="65">
        <f t="shared" si="11"/>
        <v>9.9342274527649318E-4</v>
      </c>
      <c r="N341" s="65">
        <f t="shared" si="12"/>
        <v>1.6008923299807964E-3</v>
      </c>
      <c r="O341" s="65">
        <f t="shared" si="13"/>
        <v>2.4352196654943456E-3</v>
      </c>
      <c r="P341" s="65"/>
      <c r="Q341" s="65"/>
      <c r="R341" s="65"/>
      <c r="S341" s="65" t="s">
        <v>1243</v>
      </c>
      <c r="T341" s="65" t="s">
        <v>431</v>
      </c>
      <c r="V341" s="65"/>
      <c r="W341" s="65"/>
    </row>
    <row r="342" spans="1:24" ht="15" x14ac:dyDescent="0.25">
      <c r="A342" s="65" t="str">
        <f t="shared" si="25"/>
        <v>Deep geothermal</v>
      </c>
      <c r="B342" s="368">
        <f t="shared" si="25"/>
        <v>0</v>
      </c>
      <c r="C342" s="368">
        <f t="shared" ref="C342:E342" si="28">C95</f>
        <v>0</v>
      </c>
      <c r="D342" s="368">
        <f t="shared" si="28"/>
        <v>3.5919940318833035E-6</v>
      </c>
      <c r="E342" s="368">
        <f t="shared" si="28"/>
        <v>3.6377835409518382E-6</v>
      </c>
      <c r="F342" s="368">
        <f t="shared" si="27"/>
        <v>0</v>
      </c>
      <c r="G342" s="368">
        <f t="shared" si="27"/>
        <v>2.9881122526412786E-7</v>
      </c>
      <c r="H342" s="368">
        <f t="shared" si="27"/>
        <v>3.012634307172822E-7</v>
      </c>
      <c r="I342" s="65">
        <f t="shared" si="7"/>
        <v>0</v>
      </c>
      <c r="J342" s="65">
        <f t="shared" si="8"/>
        <v>0</v>
      </c>
      <c r="K342" s="65">
        <f t="shared" si="9"/>
        <v>5.4694216053156369E-8</v>
      </c>
      <c r="L342" s="65">
        <f t="shared" si="10"/>
        <v>5.4766724369940404E-8</v>
      </c>
      <c r="M342" s="65">
        <f t="shared" si="11"/>
        <v>0</v>
      </c>
      <c r="N342" s="65">
        <f t="shared" si="12"/>
        <v>3.9893345786802479E-9</v>
      </c>
      <c r="O342" s="65">
        <f t="shared" si="13"/>
        <v>3.7560641306250375E-9</v>
      </c>
      <c r="P342" s="65"/>
      <c r="Q342" s="65"/>
      <c r="R342" s="65"/>
      <c r="S342" s="65"/>
      <c r="T342" s="65"/>
      <c r="U342" s="65"/>
      <c r="V342" s="65"/>
      <c r="W342" s="65"/>
    </row>
    <row r="343" spans="1:24" ht="15" x14ac:dyDescent="0.25">
      <c r="A343" s="65" t="str">
        <f t="shared" si="25"/>
        <v>Hydrogen</v>
      </c>
      <c r="B343" s="368">
        <f t="shared" si="25"/>
        <v>0</v>
      </c>
      <c r="C343" s="368">
        <f t="shared" ref="C343:E343" si="29">C96</f>
        <v>9.583019304675359E-6</v>
      </c>
      <c r="D343" s="368">
        <f t="shared" si="29"/>
        <v>2.5412083562816172E-5</v>
      </c>
      <c r="E343" s="368">
        <f t="shared" si="29"/>
        <v>2.6610835814008219E-5</v>
      </c>
      <c r="F343" s="368">
        <f t="shared" si="27"/>
        <v>0.84408809701885135</v>
      </c>
      <c r="G343" s="368">
        <f t="shared" si="27"/>
        <v>1.0502925038099009</v>
      </c>
      <c r="H343" s="368">
        <f t="shared" si="27"/>
        <v>1.9450167759087635</v>
      </c>
      <c r="I343" s="65">
        <f t="shared" si="7"/>
        <v>0</v>
      </c>
      <c r="J343" s="65">
        <f t="shared" si="8"/>
        <v>1.3609889449575977E-7</v>
      </c>
      <c r="K343" s="65">
        <f t="shared" si="9"/>
        <v>3.8694217652048878E-7</v>
      </c>
      <c r="L343" s="65">
        <f t="shared" si="10"/>
        <v>4.0062535163876086E-7</v>
      </c>
      <c r="M343" s="65">
        <f t="shared" si="11"/>
        <v>1.1390854231177175E-2</v>
      </c>
      <c r="N343" s="65">
        <f t="shared" si="12"/>
        <v>1.4022124501761471E-2</v>
      </c>
      <c r="O343" s="65">
        <f t="shared" si="13"/>
        <v>2.4249898927529445E-2</v>
      </c>
      <c r="P343" s="65"/>
      <c r="Q343" s="65"/>
      <c r="S343" s="65" t="s">
        <v>1187</v>
      </c>
      <c r="T343" s="65" t="s">
        <v>431</v>
      </c>
      <c r="U343" s="65" t="s">
        <v>1188</v>
      </c>
      <c r="V343" s="65" t="s">
        <v>433</v>
      </c>
      <c r="W343" s="65"/>
      <c r="X343" s="65"/>
    </row>
    <row r="344" spans="1:24" ht="15" x14ac:dyDescent="0.25">
      <c r="A344" s="15" t="str">
        <f>A98</f>
        <v>Pump storage production6</v>
      </c>
      <c r="B344" s="369">
        <f>B98</f>
        <v>3.3120809771098436</v>
      </c>
      <c r="C344" s="369">
        <f t="shared" ref="C344:E344" si="30">C98</f>
        <v>3.4265630149130306</v>
      </c>
      <c r="D344" s="369">
        <f t="shared" si="30"/>
        <v>3.4604977393545648</v>
      </c>
      <c r="E344" s="369">
        <f t="shared" si="30"/>
        <v>3.5121368162688977</v>
      </c>
      <c r="F344" s="369">
        <f t="shared" ref="F344:H345" si="31">W98</f>
        <v>3.4627814155751766</v>
      </c>
      <c r="G344" s="369">
        <f t="shared" si="31"/>
        <v>3.5500818982051223</v>
      </c>
      <c r="H344" s="369">
        <f t="shared" si="31"/>
        <v>3.6548675885660664</v>
      </c>
      <c r="I344" s="65">
        <f t="shared" si="7"/>
        <v>4.6502701076869719E-2</v>
      </c>
      <c r="J344" s="65">
        <f t="shared" si="8"/>
        <v>4.8664353417528623E-2</v>
      </c>
      <c r="K344" s="65">
        <f t="shared" si="9"/>
        <v>5.2691961436384348E-2</v>
      </c>
      <c r="L344" s="65">
        <f t="shared" si="10"/>
        <v>5.2875116619992786E-2</v>
      </c>
      <c r="M344" s="65">
        <f t="shared" si="11"/>
        <v>4.672976491263716E-2</v>
      </c>
      <c r="N344" s="65">
        <f t="shared" si="12"/>
        <v>4.7396025571455336E-2</v>
      </c>
      <c r="O344" s="65">
        <f t="shared" si="13"/>
        <v>4.5567817570529696E-2</v>
      </c>
      <c r="P344" s="65"/>
      <c r="Q344" s="65"/>
      <c r="S344" s="65" t="s">
        <v>1229</v>
      </c>
      <c r="T344" s="65" t="s">
        <v>431</v>
      </c>
      <c r="U344" s="65"/>
      <c r="V344" s="65"/>
      <c r="W344" s="65"/>
    </row>
    <row r="345" spans="1:24" ht="15" x14ac:dyDescent="0.25">
      <c r="A345" s="15" t="str">
        <f>A99</f>
        <v>Stationary Batteries and CAES</v>
      </c>
      <c r="B345" s="369">
        <f>B99</f>
        <v>5.1630487533704198E-3</v>
      </c>
      <c r="C345" s="369">
        <f t="shared" ref="C345:E345" si="32">C99</f>
        <v>1.7020458148880597E-3</v>
      </c>
      <c r="D345" s="369">
        <f t="shared" si="32"/>
        <v>1.5869408792298968E-2</v>
      </c>
      <c r="E345" s="369">
        <f t="shared" si="32"/>
        <v>0.15432808611749682</v>
      </c>
      <c r="F345" s="369">
        <f t="shared" si="31"/>
        <v>1.3463847555545066E-2</v>
      </c>
      <c r="G345" s="369">
        <f t="shared" si="31"/>
        <v>0.39429347351877042</v>
      </c>
      <c r="H345" s="369">
        <f t="shared" si="31"/>
        <v>2.0896812936442295</v>
      </c>
      <c r="I345" s="65">
        <f t="shared" si="7"/>
        <v>7.2490894541110977E-5</v>
      </c>
      <c r="J345" s="65">
        <f t="shared" si="8"/>
        <v>2.417260640123973E-5</v>
      </c>
      <c r="K345" s="65">
        <f t="shared" si="9"/>
        <v>2.4163872918986449E-4</v>
      </c>
      <c r="L345" s="65">
        <f t="shared" si="10"/>
        <v>2.3234048039938817E-3</v>
      </c>
      <c r="M345" s="65">
        <f t="shared" si="11"/>
        <v>1.8169279419726235E-4</v>
      </c>
      <c r="N345" s="65">
        <f t="shared" si="12"/>
        <v>5.2640880096321112E-3</v>
      </c>
      <c r="O345" s="65">
        <f t="shared" si="13"/>
        <v>2.6053533722322289E-2</v>
      </c>
      <c r="P345" s="65"/>
      <c r="Q345" s="65"/>
      <c r="R345" s="65"/>
      <c r="S345" s="65" t="s">
        <v>1251</v>
      </c>
      <c r="T345" s="65" t="s">
        <v>480</v>
      </c>
      <c r="U345" s="133" t="s">
        <v>1190</v>
      </c>
      <c r="V345" s="65" t="s">
        <v>433</v>
      </c>
      <c r="W345" s="65"/>
    </row>
    <row r="346" spans="1:24" ht="15" x14ac:dyDescent="0.25">
      <c r="A346" s="15" t="s">
        <v>1176</v>
      </c>
      <c r="B346" s="369">
        <f t="shared" ref="B346:H346" si="33">SUM(B328:B343)/B327</f>
        <v>0.99953759722361979</v>
      </c>
      <c r="C346" s="369">
        <f t="shared" si="33"/>
        <v>0.99999994360882538</v>
      </c>
      <c r="D346" s="369">
        <f t="shared" si="33"/>
        <v>0.99999994397505576</v>
      </c>
      <c r="E346" s="369">
        <f t="shared" si="33"/>
        <v>0.99999995413646192</v>
      </c>
      <c r="F346" s="369">
        <f t="shared" si="33"/>
        <v>1</v>
      </c>
      <c r="G346" s="369">
        <f t="shared" si="33"/>
        <v>1</v>
      </c>
      <c r="H346" s="369">
        <f t="shared" si="33"/>
        <v>1</v>
      </c>
      <c r="I346" s="65"/>
      <c r="J346" s="65"/>
      <c r="K346" s="65"/>
      <c r="L346" s="65"/>
      <c r="M346" s="65"/>
      <c r="N346" s="65"/>
      <c r="O346" s="65"/>
      <c r="P346" s="65"/>
      <c r="Q346" s="65"/>
      <c r="R346" s="65"/>
      <c r="S346" s="65"/>
      <c r="T346" s="65"/>
      <c r="U346" s="65"/>
      <c r="V346" s="65"/>
      <c r="W346" s="65"/>
    </row>
    <row r="347" spans="1:24" ht="15" x14ac:dyDescent="0.25">
      <c r="A347" s="65" t="s">
        <v>1250</v>
      </c>
      <c r="B347" s="368">
        <f>B327+B344+B345</f>
        <v>71.223410692529882</v>
      </c>
      <c r="C347" s="368">
        <f t="shared" ref="C347:H347" si="34">C327+C344+C345</f>
        <v>70.41217594147264</v>
      </c>
      <c r="D347" s="368">
        <f t="shared" si="34"/>
        <v>65.674111287970675</v>
      </c>
      <c r="E347" s="368">
        <f t="shared" si="34"/>
        <v>66.423244822516608</v>
      </c>
      <c r="F347" s="368">
        <f t="shared" si="34"/>
        <v>74.102264842311129</v>
      </c>
      <c r="G347" s="368">
        <f t="shared" si="34"/>
        <v>74.902523057612441</v>
      </c>
      <c r="H347" s="368">
        <f t="shared" si="34"/>
        <v>80.207211655661936</v>
      </c>
      <c r="I347" s="65">
        <f t="shared" si="7"/>
        <v>1</v>
      </c>
      <c r="J347" s="65">
        <f t="shared" si="8"/>
        <v>1</v>
      </c>
      <c r="K347" s="65">
        <f t="shared" si="9"/>
        <v>1</v>
      </c>
      <c r="L347" s="65">
        <f t="shared" si="10"/>
        <v>1</v>
      </c>
      <c r="M347" s="65">
        <f t="shared" si="11"/>
        <v>1</v>
      </c>
      <c r="N347" s="65">
        <f t="shared" si="12"/>
        <v>1</v>
      </c>
      <c r="O347" s="65">
        <f t="shared" si="13"/>
        <v>1</v>
      </c>
      <c r="P347" s="65"/>
      <c r="Q347" s="65"/>
      <c r="R347" s="65"/>
      <c r="S347" s="65"/>
      <c r="T347" s="65"/>
      <c r="U347" s="65"/>
      <c r="V347" s="65"/>
      <c r="W347" s="65"/>
    </row>
    <row r="348" spans="1:24" ht="15" x14ac:dyDescent="0.25">
      <c r="A348" s="65"/>
      <c r="B348" s="65"/>
      <c r="C348" s="65"/>
      <c r="D348" s="65"/>
      <c r="E348" s="65"/>
      <c r="F348" s="65"/>
      <c r="G348" s="65"/>
      <c r="H348" s="65"/>
      <c r="I348" s="65" t="s">
        <v>1255</v>
      </c>
      <c r="J348" s="65" t="s">
        <v>1192</v>
      </c>
      <c r="K348" s="65" t="s">
        <v>1259</v>
      </c>
      <c r="L348" s="65" t="s">
        <v>1260</v>
      </c>
      <c r="M348" s="65" t="s">
        <v>1261</v>
      </c>
      <c r="N348" s="65" t="s">
        <v>1262</v>
      </c>
      <c r="O348" s="65" t="s">
        <v>1263</v>
      </c>
      <c r="P348" s="65"/>
      <c r="Q348" s="65"/>
      <c r="R348" s="65"/>
      <c r="S348" s="65"/>
      <c r="T348" s="65"/>
      <c r="U348" s="65"/>
      <c r="V348" s="65"/>
      <c r="W348" s="65"/>
    </row>
    <row r="349" spans="1:24" ht="15"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row>
    <row r="350" spans="1:24" ht="15" x14ac:dyDescent="0.25">
      <c r="A350" s="65" t="s">
        <v>1177</v>
      </c>
      <c r="B350" s="65"/>
      <c r="C350" s="65"/>
      <c r="D350" s="65"/>
      <c r="E350" s="65"/>
      <c r="F350" s="65"/>
      <c r="G350" s="65"/>
      <c r="H350" s="65"/>
      <c r="I350" s="65"/>
      <c r="J350" s="65"/>
      <c r="K350" s="65"/>
      <c r="L350" s="65"/>
      <c r="M350" s="65"/>
      <c r="N350" s="65"/>
      <c r="O350" s="65"/>
      <c r="P350" s="65"/>
      <c r="Q350" s="65"/>
      <c r="R350" s="65"/>
      <c r="S350" s="65"/>
      <c r="T350" s="65"/>
      <c r="U350" s="65"/>
      <c r="V350" s="65"/>
      <c r="W350" s="65"/>
    </row>
    <row r="351" spans="1:24" ht="15" x14ac:dyDescent="0.25">
      <c r="A351" s="65" t="s">
        <v>1178</v>
      </c>
      <c r="B351" s="65"/>
      <c r="C351" s="65"/>
      <c r="D351" s="65"/>
      <c r="E351" s="65"/>
      <c r="F351" s="65"/>
      <c r="G351" s="65"/>
      <c r="H351" s="65"/>
      <c r="I351" s="65"/>
      <c r="J351" s="65"/>
      <c r="K351" s="65"/>
      <c r="L351" s="65"/>
      <c r="M351" s="65"/>
      <c r="N351" s="65"/>
      <c r="O351" s="65"/>
      <c r="P351" s="65"/>
      <c r="Q351" s="65"/>
      <c r="R351" s="65"/>
      <c r="S351" s="65"/>
      <c r="T351" s="65"/>
      <c r="U351" s="65"/>
      <c r="V351" s="65"/>
      <c r="W351" s="65"/>
    </row>
    <row r="352" spans="1:24" ht="15"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row>
    <row r="353" spans="1:27" ht="15" x14ac:dyDescent="0.25">
      <c r="A353" s="65"/>
      <c r="B353" s="65"/>
      <c r="C353" s="65"/>
      <c r="D353" s="9" t="s">
        <v>1245</v>
      </c>
      <c r="E353" s="65"/>
      <c r="F353" s="65"/>
      <c r="G353" s="65"/>
      <c r="H353" s="65"/>
      <c r="I353" s="65"/>
      <c r="J353" s="65"/>
      <c r="K353" s="65"/>
      <c r="L353" s="65"/>
      <c r="M353" s="65"/>
      <c r="N353" s="65"/>
      <c r="O353" s="65"/>
      <c r="P353" s="65"/>
      <c r="Q353" s="65"/>
      <c r="R353" s="65"/>
      <c r="S353" s="65"/>
      <c r="T353" s="65"/>
      <c r="U353" s="65"/>
      <c r="V353" s="65"/>
      <c r="W353" s="65"/>
    </row>
    <row r="354" spans="1:27" x14ac:dyDescent="0.15">
      <c r="C354" s="133" t="s">
        <v>1246</v>
      </c>
      <c r="D354" s="133" t="s">
        <v>1247</v>
      </c>
    </row>
    <row r="355" spans="1:27" x14ac:dyDescent="0.15">
      <c r="D355" s="133" t="s">
        <v>1248</v>
      </c>
      <c r="E355" s="133">
        <v>0.1</v>
      </c>
    </row>
    <row r="356" spans="1:27" x14ac:dyDescent="0.15">
      <c r="D356" s="133" t="s">
        <v>1249</v>
      </c>
      <c r="E356" s="133">
        <v>0.9</v>
      </c>
    </row>
    <row r="362" spans="1:27" x14ac:dyDescent="0.15">
      <c r="F362" s="133" t="s">
        <v>1222</v>
      </c>
    </row>
    <row r="363" spans="1:27" x14ac:dyDescent="0.15">
      <c r="D363" s="133" t="s">
        <v>1219</v>
      </c>
      <c r="E363" s="133" t="s">
        <v>1220</v>
      </c>
      <c r="F363" s="386">
        <f>E432+I432</f>
        <v>5672</v>
      </c>
      <c r="I363" s="133" t="s">
        <v>1220</v>
      </c>
      <c r="J363" s="387">
        <f>SUM(F363:F364)/SUM($F$363:$F$365)</f>
        <v>0.58506899802862777</v>
      </c>
    </row>
    <row r="364" spans="1:27" x14ac:dyDescent="0.15">
      <c r="D364" s="133" t="s">
        <v>1203</v>
      </c>
      <c r="E364" s="133" t="s">
        <v>1220</v>
      </c>
      <c r="F364" s="386">
        <f>Q432</f>
        <v>7980</v>
      </c>
      <c r="I364" s="133" t="s">
        <v>1221</v>
      </c>
      <c r="J364" s="387">
        <f>F365/SUM(F363:F365)</f>
        <v>0.41493100197137223</v>
      </c>
    </row>
    <row r="365" spans="1:27" x14ac:dyDescent="0.15">
      <c r="D365" s="133" t="s">
        <v>1204</v>
      </c>
      <c r="E365" s="133" t="s">
        <v>1221</v>
      </c>
      <c r="F365" s="386">
        <f>U432</f>
        <v>9682</v>
      </c>
    </row>
    <row r="367" spans="1:27" x14ac:dyDescent="0.15">
      <c r="D367" s="133" t="s">
        <v>1218</v>
      </c>
    </row>
    <row r="368" spans="1:27" ht="15.75" x14ac:dyDescent="0.25">
      <c r="D368" s="370" t="s">
        <v>1196</v>
      </c>
      <c r="E368"/>
      <c r="F368"/>
      <c r="G368"/>
      <c r="H368"/>
      <c r="I368"/>
      <c r="J368"/>
      <c r="K368"/>
      <c r="L368"/>
      <c r="M368"/>
      <c r="N368"/>
      <c r="O368"/>
      <c r="P368"/>
      <c r="Q368"/>
      <c r="R368"/>
      <c r="S368"/>
      <c r="T368"/>
      <c r="U368"/>
      <c r="V368"/>
      <c r="W368"/>
      <c r="X368"/>
      <c r="Y368"/>
      <c r="Z368"/>
      <c r="AA368" s="371"/>
    </row>
    <row r="369" spans="4:27" ht="15.75" x14ac:dyDescent="0.25">
      <c r="D369" s="370" t="s">
        <v>1197</v>
      </c>
      <c r="E369"/>
      <c r="F369"/>
      <c r="G369"/>
      <c r="H369"/>
      <c r="I369"/>
      <c r="J369"/>
      <c r="K369"/>
      <c r="L369"/>
      <c r="M369"/>
      <c r="N369"/>
      <c r="O369"/>
      <c r="P369"/>
      <c r="Q369"/>
      <c r="R369"/>
      <c r="S369"/>
      <c r="T369"/>
      <c r="U369"/>
      <c r="V369"/>
      <c r="W369"/>
      <c r="X369"/>
      <c r="Y369"/>
      <c r="Z369"/>
      <c r="AA369" s="371"/>
    </row>
    <row r="370" spans="4:27" ht="15.75" x14ac:dyDescent="0.25">
      <c r="D370" s="370"/>
      <c r="E370"/>
      <c r="F370"/>
      <c r="G370"/>
      <c r="H370"/>
      <c r="I370"/>
      <c r="J370"/>
      <c r="K370"/>
      <c r="L370"/>
      <c r="M370"/>
      <c r="N370"/>
      <c r="O370"/>
      <c r="P370"/>
      <c r="Q370"/>
      <c r="R370"/>
      <c r="S370"/>
      <c r="T370"/>
      <c r="U370"/>
      <c r="V370"/>
      <c r="W370"/>
      <c r="X370"/>
      <c r="Y370"/>
      <c r="Z370"/>
      <c r="AA370" s="371"/>
    </row>
    <row r="371" spans="4:27" ht="15" x14ac:dyDescent="0.25">
      <c r="D371" s="372" t="s">
        <v>1198</v>
      </c>
      <c r="E371"/>
      <c r="F371"/>
      <c r="G371"/>
      <c r="H371"/>
      <c r="I371"/>
      <c r="J371"/>
      <c r="K371"/>
      <c r="L371"/>
      <c r="M371"/>
      <c r="N371"/>
      <c r="O371"/>
      <c r="P371"/>
      <c r="Q371"/>
      <c r="R371"/>
      <c r="S371"/>
      <c r="T371"/>
      <c r="U371"/>
      <c r="V371"/>
      <c r="W371"/>
      <c r="X371"/>
      <c r="Y371"/>
      <c r="Z371"/>
      <c r="AA371" s="371"/>
    </row>
    <row r="372" spans="4:27" ht="15" x14ac:dyDescent="0.25">
      <c r="D372" s="372" t="s">
        <v>1199</v>
      </c>
      <c r="E372"/>
      <c r="F372"/>
      <c r="G372"/>
      <c r="H372"/>
      <c r="I372"/>
      <c r="J372"/>
      <c r="K372"/>
      <c r="L372"/>
      <c r="M372"/>
      <c r="N372"/>
      <c r="O372"/>
      <c r="P372"/>
      <c r="Q372"/>
      <c r="R372"/>
      <c r="S372"/>
      <c r="T372"/>
      <c r="U372"/>
      <c r="V372"/>
      <c r="W372"/>
      <c r="X372"/>
      <c r="Y372"/>
      <c r="Z372"/>
      <c r="AA372" s="371"/>
    </row>
    <row r="373" spans="4:27" ht="15.75" x14ac:dyDescent="0.25">
      <c r="D373" s="370"/>
      <c r="E373"/>
      <c r="F373"/>
      <c r="G373"/>
      <c r="H373"/>
      <c r="I373"/>
      <c r="J373"/>
      <c r="K373"/>
      <c r="L373"/>
      <c r="M373"/>
      <c r="N373"/>
      <c r="O373"/>
      <c r="P373"/>
      <c r="Q373"/>
      <c r="R373"/>
      <c r="S373"/>
      <c r="T373"/>
      <c r="U373"/>
      <c r="V373"/>
      <c r="W373"/>
      <c r="X373"/>
      <c r="Y373"/>
      <c r="Z373"/>
      <c r="AA373" s="371"/>
    </row>
    <row r="374" spans="4:27" ht="15.75" x14ac:dyDescent="0.25">
      <c r="D374" s="373"/>
      <c r="E374" s="374"/>
      <c r="F374" s="375" t="s">
        <v>1200</v>
      </c>
      <c r="G374"/>
      <c r="H374"/>
      <c r="I374" s="374"/>
      <c r="J374" s="375" t="s">
        <v>1201</v>
      </c>
      <c r="K374"/>
      <c r="L374"/>
      <c r="M374" s="374"/>
      <c r="N374" s="375" t="s">
        <v>1202</v>
      </c>
      <c r="O374"/>
      <c r="P374"/>
      <c r="Q374" s="374"/>
      <c r="R374" s="375" t="s">
        <v>1203</v>
      </c>
      <c r="S374"/>
      <c r="T374"/>
      <c r="U374" s="374"/>
      <c r="V374" s="375" t="s">
        <v>1204</v>
      </c>
      <c r="W374"/>
      <c r="X374"/>
      <c r="Y374" s="374"/>
      <c r="Z374" s="375" t="s">
        <v>1205</v>
      </c>
      <c r="AA374"/>
    </row>
    <row r="375" spans="4:27" ht="11.25" x14ac:dyDescent="0.2">
      <c r="D375" s="376" t="s">
        <v>1206</v>
      </c>
      <c r="E375" s="377" t="s">
        <v>1207</v>
      </c>
      <c r="F375" s="377" t="s">
        <v>1208</v>
      </c>
      <c r="G375" s="376" t="s">
        <v>1209</v>
      </c>
      <c r="H375" s="376"/>
      <c r="I375" s="377" t="s">
        <v>1207</v>
      </c>
      <c r="J375" s="377" t="s">
        <v>1208</v>
      </c>
      <c r="K375" s="376" t="s">
        <v>1209</v>
      </c>
      <c r="L375" s="376"/>
      <c r="M375" s="377" t="s">
        <v>1207</v>
      </c>
      <c r="N375" s="377" t="s">
        <v>1208</v>
      </c>
      <c r="O375" s="376" t="s">
        <v>1209</v>
      </c>
      <c r="P375" s="376"/>
      <c r="Q375" s="377" t="s">
        <v>1207</v>
      </c>
      <c r="R375" s="377" t="s">
        <v>1208</v>
      </c>
      <c r="S375" s="376" t="s">
        <v>1209</v>
      </c>
      <c r="T375" s="376"/>
      <c r="U375" s="377" t="s">
        <v>1207</v>
      </c>
      <c r="V375" s="377" t="s">
        <v>1208</v>
      </c>
      <c r="W375" s="376" t="s">
        <v>1209</v>
      </c>
      <c r="X375" s="376"/>
      <c r="Y375" s="377" t="s">
        <v>1207</v>
      </c>
      <c r="Z375" s="377" t="s">
        <v>1208</v>
      </c>
      <c r="AA375" s="376" t="s">
        <v>1209</v>
      </c>
    </row>
    <row r="376" spans="4:27" ht="11.25" x14ac:dyDescent="0.2">
      <c r="D376" s="376" t="s">
        <v>1210</v>
      </c>
      <c r="E376" s="377" t="s">
        <v>1211</v>
      </c>
      <c r="F376" s="377" t="s">
        <v>1212</v>
      </c>
      <c r="G376" s="376" t="s">
        <v>1213</v>
      </c>
      <c r="H376" s="376"/>
      <c r="I376" s="377" t="s">
        <v>1211</v>
      </c>
      <c r="J376" s="377" t="s">
        <v>1212</v>
      </c>
      <c r="K376" s="376" t="s">
        <v>1213</v>
      </c>
      <c r="L376" s="376"/>
      <c r="M376" s="377" t="s">
        <v>1211</v>
      </c>
      <c r="N376" s="377" t="s">
        <v>1212</v>
      </c>
      <c r="O376" s="376" t="s">
        <v>1213</v>
      </c>
      <c r="P376" s="376"/>
      <c r="Q376" s="377" t="s">
        <v>1211</v>
      </c>
      <c r="R376" s="377" t="s">
        <v>1212</v>
      </c>
      <c r="S376" s="376" t="s">
        <v>1213</v>
      </c>
      <c r="T376" s="376"/>
      <c r="U376" s="377" t="s">
        <v>1211</v>
      </c>
      <c r="V376" s="377" t="s">
        <v>1212</v>
      </c>
      <c r="W376" s="376" t="s">
        <v>1213</v>
      </c>
      <c r="X376" s="376"/>
      <c r="Y376" s="377" t="s">
        <v>1211</v>
      </c>
      <c r="Z376" s="377" t="s">
        <v>1212</v>
      </c>
      <c r="AA376" s="376" t="s">
        <v>1213</v>
      </c>
    </row>
    <row r="377" spans="4:27" ht="11.25" x14ac:dyDescent="0.2">
      <c r="D377" s="376" t="s">
        <v>672</v>
      </c>
      <c r="E377" s="377" t="s">
        <v>1214</v>
      </c>
      <c r="F377" s="377" t="s">
        <v>1215</v>
      </c>
      <c r="G377" s="376" t="s">
        <v>1216</v>
      </c>
      <c r="H377" s="376"/>
      <c r="I377" s="377" t="s">
        <v>1214</v>
      </c>
      <c r="J377" s="377" t="s">
        <v>1215</v>
      </c>
      <c r="K377" s="376" t="s">
        <v>1216</v>
      </c>
      <c r="L377" s="376"/>
      <c r="M377" s="377" t="s">
        <v>1214</v>
      </c>
      <c r="N377" s="377" t="s">
        <v>1215</v>
      </c>
      <c r="O377" s="376" t="s">
        <v>1216</v>
      </c>
      <c r="P377" s="376"/>
      <c r="Q377" s="377" t="s">
        <v>1214</v>
      </c>
      <c r="R377" s="377" t="s">
        <v>1215</v>
      </c>
      <c r="S377" s="376" t="s">
        <v>1216</v>
      </c>
      <c r="T377" s="376"/>
      <c r="U377" s="377" t="s">
        <v>1214</v>
      </c>
      <c r="V377" s="377" t="s">
        <v>1215</v>
      </c>
      <c r="W377" s="376" t="s">
        <v>1216</v>
      </c>
      <c r="X377" s="376"/>
      <c r="Y377" s="377" t="s">
        <v>1214</v>
      </c>
      <c r="Z377" s="377" t="s">
        <v>1215</v>
      </c>
      <c r="AA377" s="376" t="s">
        <v>1216</v>
      </c>
    </row>
    <row r="378" spans="4:27" ht="15" x14ac:dyDescent="0.25">
      <c r="D378" s="378">
        <v>1969</v>
      </c>
      <c r="E378" s="379">
        <v>563</v>
      </c>
      <c r="F378" s="379">
        <v>350</v>
      </c>
      <c r="G378" s="376" t="s">
        <v>672</v>
      </c>
      <c r="H378" s="376"/>
      <c r="I378" s="379">
        <v>0</v>
      </c>
      <c r="J378" s="379">
        <v>0</v>
      </c>
      <c r="K378" s="376" t="s">
        <v>672</v>
      </c>
      <c r="L378" s="376"/>
      <c r="M378" s="379">
        <v>0</v>
      </c>
      <c r="N378" s="379">
        <v>0</v>
      </c>
      <c r="O378" s="376" t="s">
        <v>672</v>
      </c>
      <c r="P378" s="376"/>
      <c r="Q378" s="379">
        <v>0</v>
      </c>
      <c r="R378" s="379">
        <v>0</v>
      </c>
      <c r="S378" s="376" t="s">
        <v>672</v>
      </c>
      <c r="T378" s="376"/>
      <c r="U378" s="379">
        <v>0</v>
      </c>
      <c r="V378" s="379">
        <v>0</v>
      </c>
      <c r="W378" s="376" t="s">
        <v>672</v>
      </c>
      <c r="X378" s="378"/>
      <c r="Y378" s="379">
        <f>+E378+I378+M378+Q378+U378</f>
        <v>563</v>
      </c>
      <c r="Z378" s="379">
        <f>+F378+J378+N378+R378+V378</f>
        <v>350</v>
      </c>
      <c r="AA378" s="376" t="s">
        <v>672</v>
      </c>
    </row>
    <row r="379" spans="4:27" ht="15" x14ac:dyDescent="0.25">
      <c r="D379" s="378">
        <f>1+D378</f>
        <v>1970</v>
      </c>
      <c r="E379" s="379">
        <v>1850</v>
      </c>
      <c r="F379" s="379">
        <v>350</v>
      </c>
      <c r="G379" s="378">
        <v>60.3</v>
      </c>
      <c r="H379" s="378"/>
      <c r="I379" s="379">
        <v>0</v>
      </c>
      <c r="J379" s="379">
        <v>0</v>
      </c>
      <c r="K379" s="376" t="s">
        <v>672</v>
      </c>
      <c r="L379" s="378"/>
      <c r="M379" s="379">
        <v>0</v>
      </c>
      <c r="N379" s="379">
        <v>0</v>
      </c>
      <c r="O379" s="376" t="s">
        <v>672</v>
      </c>
      <c r="P379" s="378"/>
      <c r="Q379" s="379">
        <v>0</v>
      </c>
      <c r="R379" s="379">
        <v>0</v>
      </c>
      <c r="S379" s="376" t="s">
        <v>672</v>
      </c>
      <c r="T379" s="378"/>
      <c r="U379" s="379">
        <v>0</v>
      </c>
      <c r="V379" s="379">
        <v>0</v>
      </c>
      <c r="W379" s="376" t="s">
        <v>672</v>
      </c>
      <c r="X379" s="378"/>
      <c r="Y379" s="379">
        <f t="shared" ref="Y379:Z417" si="35">+E379+I379+M379+Q379+U379</f>
        <v>1850</v>
      </c>
      <c r="Z379" s="379">
        <f t="shared" si="35"/>
        <v>350</v>
      </c>
      <c r="AA379" s="376" t="s">
        <v>672</v>
      </c>
    </row>
    <row r="380" spans="4:27" ht="15" x14ac:dyDescent="0.25">
      <c r="D380" s="378">
        <f>1+D379</f>
        <v>1971</v>
      </c>
      <c r="E380" s="379">
        <v>1622</v>
      </c>
      <c r="F380" s="379">
        <v>350</v>
      </c>
      <c r="G380" s="378">
        <v>52.9</v>
      </c>
      <c r="H380" s="378"/>
      <c r="I380" s="379">
        <v>198</v>
      </c>
      <c r="J380" s="379">
        <v>350</v>
      </c>
      <c r="K380" s="378">
        <v>6.5</v>
      </c>
      <c r="L380" s="378"/>
      <c r="M380" s="379">
        <v>23</v>
      </c>
      <c r="N380" s="379">
        <v>320</v>
      </c>
      <c r="O380" s="378">
        <v>0.8</v>
      </c>
      <c r="P380" s="378"/>
      <c r="Q380" s="379">
        <v>0</v>
      </c>
      <c r="R380" s="379">
        <v>0</v>
      </c>
      <c r="S380" s="376" t="s">
        <v>672</v>
      </c>
      <c r="T380" s="378"/>
      <c r="U380" s="379">
        <v>0</v>
      </c>
      <c r="V380" s="379">
        <v>0</v>
      </c>
      <c r="W380" s="376" t="s">
        <v>672</v>
      </c>
      <c r="X380" s="378"/>
      <c r="Y380" s="379">
        <f t="shared" si="35"/>
        <v>1843</v>
      </c>
      <c r="Z380" s="379">
        <f t="shared" si="35"/>
        <v>1020</v>
      </c>
      <c r="AA380" s="376" t="s">
        <v>672</v>
      </c>
    </row>
    <row r="381" spans="4:27" ht="15" x14ac:dyDescent="0.25">
      <c r="D381" s="378">
        <f t="shared" ref="D381:D418" si="36">1+D380</f>
        <v>1972</v>
      </c>
      <c r="E381" s="379">
        <v>1320</v>
      </c>
      <c r="F381" s="379">
        <v>350</v>
      </c>
      <c r="G381" s="378">
        <v>43.1</v>
      </c>
      <c r="H381" s="378"/>
      <c r="I381" s="379">
        <v>2508</v>
      </c>
      <c r="J381" s="379">
        <v>350</v>
      </c>
      <c r="K381" s="378">
        <v>81.8</v>
      </c>
      <c r="L381" s="378"/>
      <c r="M381" s="379">
        <v>822</v>
      </c>
      <c r="N381" s="379">
        <v>320</v>
      </c>
      <c r="O381" s="378">
        <v>29.3</v>
      </c>
      <c r="P381" s="378"/>
      <c r="Q381" s="379">
        <v>0</v>
      </c>
      <c r="R381" s="379">
        <v>0</v>
      </c>
      <c r="S381" s="376" t="s">
        <v>672</v>
      </c>
      <c r="T381" s="378"/>
      <c r="U381" s="379">
        <v>0</v>
      </c>
      <c r="V381" s="379">
        <v>0</v>
      </c>
      <c r="W381" s="376" t="s">
        <v>672</v>
      </c>
      <c r="X381" s="378"/>
      <c r="Y381" s="379">
        <f t="shared" si="35"/>
        <v>4650</v>
      </c>
      <c r="Z381" s="379">
        <f t="shared" si="35"/>
        <v>1020</v>
      </c>
      <c r="AA381" s="376" t="s">
        <v>672</v>
      </c>
    </row>
    <row r="382" spans="4:27" ht="15" x14ac:dyDescent="0.25">
      <c r="D382" s="378">
        <f t="shared" si="36"/>
        <v>1973</v>
      </c>
      <c r="E382" s="379">
        <v>1653</v>
      </c>
      <c r="F382" s="379">
        <v>350</v>
      </c>
      <c r="G382" s="378">
        <v>53.9</v>
      </c>
      <c r="H382" s="378"/>
      <c r="I382" s="379">
        <v>2223</v>
      </c>
      <c r="J382" s="379">
        <v>350</v>
      </c>
      <c r="K382" s="378">
        <v>72.5</v>
      </c>
      <c r="L382" s="378"/>
      <c r="M382" s="379">
        <v>2020</v>
      </c>
      <c r="N382" s="379">
        <v>320</v>
      </c>
      <c r="O382" s="378">
        <v>72.099999999999994</v>
      </c>
      <c r="P382" s="378"/>
      <c r="Q382" s="379">
        <v>0</v>
      </c>
      <c r="R382" s="379">
        <v>0</v>
      </c>
      <c r="S382" s="376" t="s">
        <v>672</v>
      </c>
      <c r="T382" s="378"/>
      <c r="U382" s="379">
        <v>0</v>
      </c>
      <c r="V382" s="379">
        <v>0</v>
      </c>
      <c r="W382" s="376" t="s">
        <v>672</v>
      </c>
      <c r="X382" s="378"/>
      <c r="Y382" s="379">
        <f t="shared" si="35"/>
        <v>5896</v>
      </c>
      <c r="Z382" s="379">
        <f t="shared" si="35"/>
        <v>1020</v>
      </c>
      <c r="AA382" s="376" t="s">
        <v>672</v>
      </c>
    </row>
    <row r="383" spans="4:27" ht="15" x14ac:dyDescent="0.25">
      <c r="D383" s="378">
        <f t="shared" si="36"/>
        <v>1974</v>
      </c>
      <c r="E383" s="379">
        <v>2346</v>
      </c>
      <c r="F383" s="379">
        <v>350</v>
      </c>
      <c r="G383" s="378">
        <v>76.5</v>
      </c>
      <c r="H383" s="378"/>
      <c r="I383" s="379">
        <v>2528</v>
      </c>
      <c r="J383" s="379">
        <v>350</v>
      </c>
      <c r="K383" s="378">
        <v>82.5</v>
      </c>
      <c r="L383" s="378"/>
      <c r="M383" s="379">
        <v>1856</v>
      </c>
      <c r="N383" s="379">
        <v>320</v>
      </c>
      <c r="O383" s="378">
        <v>66.2</v>
      </c>
      <c r="P383" s="378"/>
      <c r="Q383" s="379">
        <v>0</v>
      </c>
      <c r="R383" s="379">
        <v>0</v>
      </c>
      <c r="S383" s="376" t="s">
        <v>672</v>
      </c>
      <c r="T383" s="378"/>
      <c r="U383" s="379">
        <v>0</v>
      </c>
      <c r="V383" s="379">
        <v>0</v>
      </c>
      <c r="W383" s="376" t="s">
        <v>672</v>
      </c>
      <c r="X383" s="378"/>
      <c r="Y383" s="379">
        <f t="shared" si="35"/>
        <v>6730</v>
      </c>
      <c r="Z383" s="379">
        <f t="shared" si="35"/>
        <v>1020</v>
      </c>
      <c r="AA383" s="376" t="s">
        <v>672</v>
      </c>
    </row>
    <row r="384" spans="4:27" ht="15" x14ac:dyDescent="0.25">
      <c r="D384" s="378">
        <f t="shared" si="36"/>
        <v>1975</v>
      </c>
      <c r="E384" s="379">
        <v>2489</v>
      </c>
      <c r="F384" s="379">
        <v>350</v>
      </c>
      <c r="G384" s="378">
        <v>81.2</v>
      </c>
      <c r="H384" s="378"/>
      <c r="I384" s="379">
        <v>2547</v>
      </c>
      <c r="J384" s="379">
        <v>350</v>
      </c>
      <c r="K384" s="378">
        <v>83.1</v>
      </c>
      <c r="L384" s="378"/>
      <c r="M384" s="379">
        <v>2355</v>
      </c>
      <c r="N384" s="379">
        <v>320</v>
      </c>
      <c r="O384" s="380">
        <v>84</v>
      </c>
      <c r="P384" s="378"/>
      <c r="Q384" s="379">
        <v>0</v>
      </c>
      <c r="R384" s="379">
        <v>0</v>
      </c>
      <c r="S384" s="376" t="s">
        <v>672</v>
      </c>
      <c r="T384" s="378"/>
      <c r="U384" s="379">
        <v>0</v>
      </c>
      <c r="V384" s="379">
        <v>0</v>
      </c>
      <c r="W384" s="376" t="s">
        <v>672</v>
      </c>
      <c r="X384" s="378"/>
      <c r="Y384" s="379">
        <f t="shared" si="35"/>
        <v>7391</v>
      </c>
      <c r="Z384" s="379">
        <f t="shared" si="35"/>
        <v>1020</v>
      </c>
      <c r="AA384" s="376" t="s">
        <v>672</v>
      </c>
    </row>
    <row r="385" spans="4:27" ht="15" x14ac:dyDescent="0.25">
      <c r="D385" s="378">
        <f t="shared" si="36"/>
        <v>1976</v>
      </c>
      <c r="E385" s="379">
        <v>2547</v>
      </c>
      <c r="F385" s="379">
        <v>350</v>
      </c>
      <c r="G385" s="378">
        <v>83.1</v>
      </c>
      <c r="H385" s="378"/>
      <c r="I385" s="379">
        <v>2650</v>
      </c>
      <c r="J385" s="379">
        <v>350</v>
      </c>
      <c r="K385" s="378">
        <v>86.4</v>
      </c>
      <c r="L385" s="378"/>
      <c r="M385" s="379">
        <v>2364</v>
      </c>
      <c r="N385" s="379">
        <v>320</v>
      </c>
      <c r="O385" s="378">
        <v>84.3</v>
      </c>
      <c r="P385" s="378"/>
      <c r="Q385" s="379">
        <v>0</v>
      </c>
      <c r="R385" s="379">
        <v>0</v>
      </c>
      <c r="S385" s="376" t="s">
        <v>672</v>
      </c>
      <c r="T385" s="378"/>
      <c r="U385" s="379">
        <v>0</v>
      </c>
      <c r="V385" s="379">
        <v>0</v>
      </c>
      <c r="W385" s="376" t="s">
        <v>672</v>
      </c>
      <c r="X385" s="378"/>
      <c r="Y385" s="379">
        <f t="shared" si="35"/>
        <v>7561</v>
      </c>
      <c r="Z385" s="379">
        <f t="shared" si="35"/>
        <v>1020</v>
      </c>
      <c r="AA385" s="381">
        <v>84.6</v>
      </c>
    </row>
    <row r="386" spans="4:27" ht="15" x14ac:dyDescent="0.25">
      <c r="D386" s="378">
        <f t="shared" si="36"/>
        <v>1977</v>
      </c>
      <c r="E386" s="379">
        <v>2596</v>
      </c>
      <c r="F386" s="379">
        <v>350</v>
      </c>
      <c r="G386" s="378">
        <v>84.7</v>
      </c>
      <c r="H386" s="378"/>
      <c r="I386" s="379">
        <v>2691</v>
      </c>
      <c r="J386" s="379">
        <v>350</v>
      </c>
      <c r="K386" s="378">
        <v>87.8</v>
      </c>
      <c r="L386" s="378"/>
      <c r="M386" s="379">
        <v>2441</v>
      </c>
      <c r="N386" s="379">
        <v>320</v>
      </c>
      <c r="O386" s="378">
        <v>87.1</v>
      </c>
      <c r="P386" s="378"/>
      <c r="Q386" s="379">
        <v>0</v>
      </c>
      <c r="R386" s="379">
        <v>0</v>
      </c>
      <c r="S386" s="376" t="s">
        <v>672</v>
      </c>
      <c r="T386" s="378"/>
      <c r="U386" s="379">
        <v>0</v>
      </c>
      <c r="V386" s="379">
        <v>0</v>
      </c>
      <c r="W386" s="376" t="s">
        <v>672</v>
      </c>
      <c r="X386" s="378"/>
      <c r="Y386" s="379">
        <f t="shared" si="35"/>
        <v>7728</v>
      </c>
      <c r="Z386" s="379">
        <f t="shared" si="35"/>
        <v>1020</v>
      </c>
      <c r="AA386" s="381">
        <v>86.5</v>
      </c>
    </row>
    <row r="387" spans="4:27" ht="15" x14ac:dyDescent="0.25">
      <c r="D387" s="378">
        <f t="shared" si="36"/>
        <v>1978</v>
      </c>
      <c r="E387" s="379">
        <v>2762</v>
      </c>
      <c r="F387" s="379">
        <v>350</v>
      </c>
      <c r="G387" s="378">
        <v>90.1</v>
      </c>
      <c r="H387" s="378"/>
      <c r="I387" s="379">
        <v>2754</v>
      </c>
      <c r="J387" s="379">
        <v>350</v>
      </c>
      <c r="K387" s="378">
        <v>89.8</v>
      </c>
      <c r="L387" s="378"/>
      <c r="M387" s="379">
        <v>2479</v>
      </c>
      <c r="N387" s="379">
        <v>320</v>
      </c>
      <c r="O387" s="378">
        <v>88.4</v>
      </c>
      <c r="P387" s="378"/>
      <c r="Q387" s="379">
        <v>0</v>
      </c>
      <c r="R387" s="379">
        <v>0</v>
      </c>
      <c r="S387" s="376" t="s">
        <v>672</v>
      </c>
      <c r="T387" s="378"/>
      <c r="U387" s="379">
        <v>0</v>
      </c>
      <c r="V387" s="379">
        <v>0</v>
      </c>
      <c r="W387" s="376" t="s">
        <v>672</v>
      </c>
      <c r="X387" s="378"/>
      <c r="Y387" s="379">
        <f t="shared" si="35"/>
        <v>7995</v>
      </c>
      <c r="Z387" s="379">
        <f t="shared" si="35"/>
        <v>1020</v>
      </c>
      <c r="AA387" s="381">
        <v>89.5</v>
      </c>
    </row>
    <row r="388" spans="4:27" ht="15" x14ac:dyDescent="0.25">
      <c r="D388" s="378">
        <f t="shared" si="36"/>
        <v>1979</v>
      </c>
      <c r="E388" s="379">
        <v>2655</v>
      </c>
      <c r="F388" s="379">
        <v>350</v>
      </c>
      <c r="G388" s="378">
        <v>86.6</v>
      </c>
      <c r="H388" s="378"/>
      <c r="I388" s="379">
        <v>2703</v>
      </c>
      <c r="J388" s="379">
        <v>350</v>
      </c>
      <c r="K388" s="378">
        <v>88.2</v>
      </c>
      <c r="L388" s="378"/>
      <c r="M388" s="379">
        <v>2483</v>
      </c>
      <c r="N388" s="379">
        <v>320</v>
      </c>
      <c r="O388" s="378">
        <v>88.6</v>
      </c>
      <c r="P388" s="378"/>
      <c r="Q388" s="379">
        <v>3402</v>
      </c>
      <c r="R388" s="379">
        <v>920</v>
      </c>
      <c r="S388" s="378">
        <v>42.2</v>
      </c>
      <c r="T388" s="378"/>
      <c r="U388" s="379">
        <v>0</v>
      </c>
      <c r="V388" s="379">
        <v>0</v>
      </c>
      <c r="W388" s="376" t="s">
        <v>672</v>
      </c>
      <c r="X388" s="378"/>
      <c r="Y388" s="379">
        <f t="shared" si="35"/>
        <v>11243</v>
      </c>
      <c r="Z388" s="379">
        <f t="shared" si="35"/>
        <v>1940</v>
      </c>
      <c r="AA388" s="376" t="s">
        <v>672</v>
      </c>
    </row>
    <row r="389" spans="4:27" ht="15" x14ac:dyDescent="0.25">
      <c r="D389" s="378">
        <f t="shared" si="36"/>
        <v>1980</v>
      </c>
      <c r="E389" s="379">
        <v>2652</v>
      </c>
      <c r="F389" s="379">
        <v>350</v>
      </c>
      <c r="G389" s="378">
        <v>86.3</v>
      </c>
      <c r="H389" s="378"/>
      <c r="I389" s="379">
        <v>2558</v>
      </c>
      <c r="J389" s="379">
        <v>350</v>
      </c>
      <c r="K389" s="378">
        <v>83.2</v>
      </c>
      <c r="L389" s="378"/>
      <c r="M389" s="379">
        <v>2493</v>
      </c>
      <c r="N389" s="379">
        <v>320</v>
      </c>
      <c r="O389" s="378">
        <v>88.7</v>
      </c>
      <c r="P389" s="378"/>
      <c r="Q389" s="379">
        <v>5960</v>
      </c>
      <c r="R389" s="379">
        <v>920</v>
      </c>
      <c r="S389" s="380">
        <v>73.8</v>
      </c>
      <c r="T389" s="378"/>
      <c r="U389" s="379">
        <v>0</v>
      </c>
      <c r="V389" s="379">
        <v>0</v>
      </c>
      <c r="W389" s="376" t="s">
        <v>672</v>
      </c>
      <c r="X389" s="378"/>
      <c r="Y389" s="379">
        <f t="shared" si="35"/>
        <v>13663</v>
      </c>
      <c r="Z389" s="379">
        <f t="shared" si="35"/>
        <v>1940</v>
      </c>
      <c r="AA389" s="376" t="s">
        <v>672</v>
      </c>
    </row>
    <row r="390" spans="4:27" ht="15" x14ac:dyDescent="0.25">
      <c r="D390" s="378">
        <f t="shared" si="36"/>
        <v>1981</v>
      </c>
      <c r="E390" s="379">
        <v>2570</v>
      </c>
      <c r="F390" s="379">
        <v>350</v>
      </c>
      <c r="G390" s="378">
        <v>83.8</v>
      </c>
      <c r="H390" s="378"/>
      <c r="I390" s="379">
        <v>2769</v>
      </c>
      <c r="J390" s="379">
        <v>350</v>
      </c>
      <c r="K390" s="378">
        <v>90.3</v>
      </c>
      <c r="L390" s="378"/>
      <c r="M390" s="379">
        <v>2549</v>
      </c>
      <c r="N390" s="379">
        <v>320</v>
      </c>
      <c r="O390" s="378">
        <v>90.9</v>
      </c>
      <c r="P390" s="378"/>
      <c r="Q390" s="379">
        <v>6574</v>
      </c>
      <c r="R390" s="379">
        <v>920</v>
      </c>
      <c r="S390" s="378">
        <v>81.599999999999994</v>
      </c>
      <c r="T390" s="378"/>
      <c r="U390" s="379">
        <v>0</v>
      </c>
      <c r="V390" s="379">
        <v>0</v>
      </c>
      <c r="W390" s="376" t="s">
        <v>672</v>
      </c>
      <c r="X390" s="378"/>
      <c r="Y390" s="379">
        <f t="shared" si="35"/>
        <v>14462</v>
      </c>
      <c r="Z390" s="379">
        <f t="shared" si="35"/>
        <v>1940</v>
      </c>
      <c r="AA390" s="378">
        <v>85.1</v>
      </c>
    </row>
    <row r="391" spans="4:27" ht="15" x14ac:dyDescent="0.25">
      <c r="D391" s="378">
        <f t="shared" si="36"/>
        <v>1982</v>
      </c>
      <c r="E391" s="379">
        <v>2567</v>
      </c>
      <c r="F391" s="379">
        <v>350</v>
      </c>
      <c r="G391" s="378">
        <v>83.7</v>
      </c>
      <c r="H391" s="378"/>
      <c r="I391" s="379">
        <v>2722</v>
      </c>
      <c r="J391" s="379">
        <v>350</v>
      </c>
      <c r="K391" s="378">
        <v>88.8</v>
      </c>
      <c r="L391" s="378"/>
      <c r="M391" s="379">
        <v>2545</v>
      </c>
      <c r="N391" s="379">
        <v>320</v>
      </c>
      <c r="O391" s="378">
        <v>90.8</v>
      </c>
      <c r="P391" s="378"/>
      <c r="Q391" s="379">
        <v>6442</v>
      </c>
      <c r="R391" s="379">
        <v>920</v>
      </c>
      <c r="S391" s="378">
        <v>79.7</v>
      </c>
      <c r="T391" s="378"/>
      <c r="U391" s="379">
        <v>0</v>
      </c>
      <c r="V391" s="379">
        <v>0</v>
      </c>
      <c r="W391" s="376" t="s">
        <v>672</v>
      </c>
      <c r="X391" s="378"/>
      <c r="Y391" s="379">
        <f t="shared" si="35"/>
        <v>14276</v>
      </c>
      <c r="Z391" s="379">
        <f t="shared" si="35"/>
        <v>1940</v>
      </c>
      <c r="AA391" s="380">
        <v>84</v>
      </c>
    </row>
    <row r="392" spans="4:27" ht="15" x14ac:dyDescent="0.25">
      <c r="D392" s="378">
        <f t="shared" si="36"/>
        <v>1983</v>
      </c>
      <c r="E392" s="379">
        <v>2551</v>
      </c>
      <c r="F392" s="379">
        <v>350</v>
      </c>
      <c r="G392" s="378">
        <v>83.2</v>
      </c>
      <c r="H392" s="378"/>
      <c r="I392" s="379">
        <v>2790</v>
      </c>
      <c r="J392" s="379">
        <v>350</v>
      </c>
      <c r="K392" s="380">
        <v>91</v>
      </c>
      <c r="L392" s="378"/>
      <c r="M392" s="379">
        <v>2584</v>
      </c>
      <c r="N392" s="379">
        <v>320</v>
      </c>
      <c r="O392" s="378">
        <v>92.2</v>
      </c>
      <c r="P392" s="378"/>
      <c r="Q392" s="379">
        <v>6896</v>
      </c>
      <c r="R392" s="379">
        <v>920</v>
      </c>
      <c r="S392" s="378">
        <v>85.6</v>
      </c>
      <c r="T392" s="378"/>
      <c r="U392" s="379">
        <v>0</v>
      </c>
      <c r="V392" s="379">
        <v>0</v>
      </c>
      <c r="W392" s="376" t="s">
        <v>672</v>
      </c>
      <c r="X392" s="378"/>
      <c r="Y392" s="379">
        <f t="shared" si="35"/>
        <v>14821</v>
      </c>
      <c r="Z392" s="379">
        <f t="shared" si="35"/>
        <v>1940</v>
      </c>
      <c r="AA392" s="378">
        <v>87.2</v>
      </c>
    </row>
    <row r="393" spans="4:27" ht="15" x14ac:dyDescent="0.25">
      <c r="D393" s="378">
        <f t="shared" si="36"/>
        <v>1984</v>
      </c>
      <c r="E393" s="379">
        <v>2733</v>
      </c>
      <c r="F393" s="379">
        <v>350</v>
      </c>
      <c r="G393" s="378">
        <v>88.9</v>
      </c>
      <c r="H393" s="378"/>
      <c r="I393" s="379">
        <v>2723</v>
      </c>
      <c r="J393" s="379">
        <v>350</v>
      </c>
      <c r="K393" s="378">
        <v>88.6</v>
      </c>
      <c r="L393" s="378"/>
      <c r="M393" s="379">
        <v>2537</v>
      </c>
      <c r="N393" s="379">
        <v>320</v>
      </c>
      <c r="O393" s="378">
        <v>90.3</v>
      </c>
      <c r="P393" s="378"/>
      <c r="Q393" s="379">
        <v>7140</v>
      </c>
      <c r="R393" s="379">
        <v>920</v>
      </c>
      <c r="S393" s="378">
        <v>88.4</v>
      </c>
      <c r="T393" s="378"/>
      <c r="U393" s="379">
        <v>2263</v>
      </c>
      <c r="V393" s="379">
        <v>950</v>
      </c>
      <c r="W393" s="378">
        <v>27.3</v>
      </c>
      <c r="X393" s="378"/>
      <c r="Y393" s="379">
        <f t="shared" si="35"/>
        <v>17396</v>
      </c>
      <c r="Z393" s="379">
        <f t="shared" si="35"/>
        <v>2890</v>
      </c>
      <c r="AA393" s="376" t="s">
        <v>672</v>
      </c>
    </row>
    <row r="394" spans="4:27" ht="15" x14ac:dyDescent="0.25">
      <c r="D394" s="378">
        <f t="shared" si="36"/>
        <v>1985</v>
      </c>
      <c r="E394" s="379">
        <v>2623</v>
      </c>
      <c r="F394" s="379">
        <v>350</v>
      </c>
      <c r="G394" s="378">
        <v>85.6</v>
      </c>
      <c r="H394" s="378"/>
      <c r="I394" s="379">
        <v>2623</v>
      </c>
      <c r="J394" s="379">
        <v>350</v>
      </c>
      <c r="K394" s="378">
        <v>85.6</v>
      </c>
      <c r="L394" s="378"/>
      <c r="M394" s="379">
        <v>2510</v>
      </c>
      <c r="N394" s="379">
        <v>320</v>
      </c>
      <c r="O394" s="378">
        <v>89.5</v>
      </c>
      <c r="P394" s="378"/>
      <c r="Q394" s="379">
        <v>6753</v>
      </c>
      <c r="R394" s="379">
        <v>920</v>
      </c>
      <c r="S394" s="378">
        <v>83.7</v>
      </c>
      <c r="T394" s="378"/>
      <c r="U394" s="379">
        <v>6772</v>
      </c>
      <c r="V394" s="379">
        <v>950</v>
      </c>
      <c r="W394" s="378">
        <v>81.400000000000006</v>
      </c>
      <c r="X394" s="378"/>
      <c r="Y394" s="379">
        <f t="shared" si="35"/>
        <v>21281</v>
      </c>
      <c r="Z394" s="379">
        <f t="shared" si="35"/>
        <v>2890</v>
      </c>
      <c r="AA394" s="376" t="s">
        <v>672</v>
      </c>
    </row>
    <row r="395" spans="4:27" ht="15" x14ac:dyDescent="0.25">
      <c r="D395" s="378">
        <f t="shared" si="36"/>
        <v>1986</v>
      </c>
      <c r="E395" s="379">
        <v>2479</v>
      </c>
      <c r="F395" s="379">
        <v>350</v>
      </c>
      <c r="G395" s="378">
        <v>81.099999999999994</v>
      </c>
      <c r="H395" s="378"/>
      <c r="I395" s="379">
        <v>2767</v>
      </c>
      <c r="J395" s="379">
        <v>350</v>
      </c>
      <c r="K395" s="378">
        <v>90.4</v>
      </c>
      <c r="L395" s="378"/>
      <c r="M395" s="379">
        <v>2127</v>
      </c>
      <c r="N395" s="379">
        <v>320</v>
      </c>
      <c r="O395" s="378">
        <v>75.900000000000006</v>
      </c>
      <c r="P395" s="378"/>
      <c r="Q395" s="379">
        <v>6703</v>
      </c>
      <c r="R395" s="379">
        <v>940</v>
      </c>
      <c r="S395" s="378">
        <v>82.1</v>
      </c>
      <c r="T395" s="378"/>
      <c r="U395" s="379">
        <v>7227</v>
      </c>
      <c r="V395" s="379">
        <v>990</v>
      </c>
      <c r="W395" s="378">
        <v>83.3</v>
      </c>
      <c r="X395" s="378"/>
      <c r="Y395" s="379">
        <f t="shared" si="35"/>
        <v>21303</v>
      </c>
      <c r="Z395" s="379">
        <f t="shared" si="35"/>
        <v>2950</v>
      </c>
      <c r="AA395" s="378">
        <v>82.7</v>
      </c>
    </row>
    <row r="396" spans="4:27" ht="15" x14ac:dyDescent="0.25">
      <c r="D396" s="378">
        <f t="shared" si="36"/>
        <v>1987</v>
      </c>
      <c r="E396" s="379">
        <v>2464</v>
      </c>
      <c r="F396" s="379">
        <v>350</v>
      </c>
      <c r="G396" s="378">
        <v>80.8</v>
      </c>
      <c r="H396" s="378"/>
      <c r="I396" s="379">
        <v>2525</v>
      </c>
      <c r="J396" s="379">
        <v>350</v>
      </c>
      <c r="K396" s="378">
        <v>82.4</v>
      </c>
      <c r="L396" s="378"/>
      <c r="M396" s="379">
        <v>2474</v>
      </c>
      <c r="N396" s="379">
        <v>320</v>
      </c>
      <c r="O396" s="378">
        <v>88.3</v>
      </c>
      <c r="P396" s="378"/>
      <c r="Q396" s="379">
        <v>6862</v>
      </c>
      <c r="R396" s="379">
        <v>940</v>
      </c>
      <c r="S396" s="380">
        <v>84</v>
      </c>
      <c r="T396" s="378"/>
      <c r="U396" s="379">
        <v>7376</v>
      </c>
      <c r="V396" s="379">
        <v>990</v>
      </c>
      <c r="W396" s="378">
        <v>85.1</v>
      </c>
      <c r="X396" s="378"/>
      <c r="Y396" s="379">
        <f t="shared" si="35"/>
        <v>21701</v>
      </c>
      <c r="Z396" s="379">
        <f t="shared" si="35"/>
        <v>2950</v>
      </c>
      <c r="AA396" s="378">
        <v>84.2</v>
      </c>
    </row>
    <row r="397" spans="4:27" ht="15" x14ac:dyDescent="0.25">
      <c r="D397" s="378">
        <f t="shared" si="36"/>
        <v>1988</v>
      </c>
      <c r="E397" s="379">
        <v>2792</v>
      </c>
      <c r="F397" s="379">
        <v>350</v>
      </c>
      <c r="G397" s="378">
        <v>90.8</v>
      </c>
      <c r="H397" s="378"/>
      <c r="I397" s="379">
        <v>2368</v>
      </c>
      <c r="J397" s="379">
        <v>350</v>
      </c>
      <c r="K397" s="380">
        <v>77</v>
      </c>
      <c r="L397" s="378"/>
      <c r="M397" s="379">
        <v>2516</v>
      </c>
      <c r="N397" s="379">
        <v>320</v>
      </c>
      <c r="O397" s="378">
        <v>89.5</v>
      </c>
      <c r="P397" s="378"/>
      <c r="Q397" s="379">
        <v>6815</v>
      </c>
      <c r="R397" s="379">
        <v>940</v>
      </c>
      <c r="S397" s="378">
        <v>83.2</v>
      </c>
      <c r="T397" s="378"/>
      <c r="U397" s="379">
        <v>7011</v>
      </c>
      <c r="V397" s="379">
        <v>990</v>
      </c>
      <c r="W397" s="378">
        <v>80.599999999999994</v>
      </c>
      <c r="X397" s="378"/>
      <c r="Y397" s="379">
        <f t="shared" si="35"/>
        <v>21502</v>
      </c>
      <c r="Z397" s="379">
        <f t="shared" si="35"/>
        <v>2950</v>
      </c>
      <c r="AA397" s="378">
        <v>83.2</v>
      </c>
    </row>
    <row r="398" spans="4:27" ht="15" x14ac:dyDescent="0.25">
      <c r="D398" s="378">
        <f t="shared" si="36"/>
        <v>1989</v>
      </c>
      <c r="E398" s="379">
        <v>2406</v>
      </c>
      <c r="F398" s="379">
        <v>350</v>
      </c>
      <c r="G398" s="380">
        <v>79</v>
      </c>
      <c r="H398" s="378"/>
      <c r="I398" s="379">
        <v>2629</v>
      </c>
      <c r="J398" s="379">
        <v>350</v>
      </c>
      <c r="K398" s="378">
        <v>85.7</v>
      </c>
      <c r="L398" s="378"/>
      <c r="M398" s="379">
        <v>2307</v>
      </c>
      <c r="N398" s="379">
        <v>320</v>
      </c>
      <c r="O398" s="378">
        <v>82.3</v>
      </c>
      <c r="P398" s="378"/>
      <c r="Q398" s="379">
        <v>6832</v>
      </c>
      <c r="R398" s="379">
        <v>940</v>
      </c>
      <c r="S398" s="378">
        <v>83.7</v>
      </c>
      <c r="T398" s="378"/>
      <c r="U398" s="379">
        <v>7369</v>
      </c>
      <c r="V398" s="379">
        <v>990</v>
      </c>
      <c r="W398" s="380">
        <v>85</v>
      </c>
      <c r="X398" s="378"/>
      <c r="Y398" s="379">
        <f t="shared" si="35"/>
        <v>21543</v>
      </c>
      <c r="Z398" s="379">
        <f t="shared" si="35"/>
        <v>2950</v>
      </c>
      <c r="AA398" s="378">
        <v>83.6</v>
      </c>
    </row>
    <row r="399" spans="4:27" ht="15" x14ac:dyDescent="0.25">
      <c r="D399" s="378">
        <f t="shared" si="36"/>
        <v>1990</v>
      </c>
      <c r="E399" s="379">
        <v>2540</v>
      </c>
      <c r="F399" s="379">
        <v>350</v>
      </c>
      <c r="G399" s="378">
        <v>83.3</v>
      </c>
      <c r="H399" s="378"/>
      <c r="I399" s="379">
        <v>2617</v>
      </c>
      <c r="J399" s="379">
        <v>350</v>
      </c>
      <c r="K399" s="378">
        <v>85.5</v>
      </c>
      <c r="L399" s="378"/>
      <c r="M399" s="379">
        <v>2489</v>
      </c>
      <c r="N399" s="379">
        <v>320</v>
      </c>
      <c r="O399" s="378">
        <v>88.8</v>
      </c>
      <c r="P399" s="378"/>
      <c r="Q399" s="379">
        <v>7080</v>
      </c>
      <c r="R399" s="379">
        <v>940</v>
      </c>
      <c r="S399" s="378">
        <v>86.7</v>
      </c>
      <c r="T399" s="378"/>
      <c r="U399" s="379">
        <v>7572</v>
      </c>
      <c r="V399" s="379">
        <v>990</v>
      </c>
      <c r="W399" s="378">
        <v>87.3</v>
      </c>
      <c r="X399" s="378"/>
      <c r="Y399" s="379">
        <f t="shared" si="35"/>
        <v>22298</v>
      </c>
      <c r="Z399" s="379">
        <f t="shared" si="35"/>
        <v>2950</v>
      </c>
      <c r="AA399" s="378">
        <v>86.6</v>
      </c>
    </row>
    <row r="400" spans="4:27" ht="15" x14ac:dyDescent="0.25">
      <c r="D400" s="378">
        <f t="shared" si="36"/>
        <v>1991</v>
      </c>
      <c r="E400" s="379">
        <v>2474</v>
      </c>
      <c r="F400" s="379">
        <v>350</v>
      </c>
      <c r="G400" s="378">
        <v>81.2</v>
      </c>
      <c r="H400" s="378"/>
      <c r="I400" s="379">
        <v>2601</v>
      </c>
      <c r="J400" s="379">
        <v>350</v>
      </c>
      <c r="K400" s="378">
        <v>84.9</v>
      </c>
      <c r="L400" s="378"/>
      <c r="M400" s="379">
        <v>2423</v>
      </c>
      <c r="N400" s="379">
        <v>320</v>
      </c>
      <c r="O400" s="378">
        <v>86.4</v>
      </c>
      <c r="P400" s="378"/>
      <c r="Q400" s="379">
        <v>7096</v>
      </c>
      <c r="R400" s="379">
        <v>940</v>
      </c>
      <c r="S400" s="378">
        <v>86.9</v>
      </c>
      <c r="T400" s="378"/>
      <c r="U400" s="379">
        <v>7060</v>
      </c>
      <c r="V400" s="379">
        <v>990</v>
      </c>
      <c r="W400" s="378">
        <v>81.400000000000006</v>
      </c>
      <c r="X400" s="378"/>
      <c r="Y400" s="379">
        <f t="shared" si="35"/>
        <v>21654</v>
      </c>
      <c r="Z400" s="379">
        <f t="shared" si="35"/>
        <v>2950</v>
      </c>
      <c r="AA400" s="378">
        <v>83.8</v>
      </c>
    </row>
    <row r="401" spans="4:27" ht="15" x14ac:dyDescent="0.25">
      <c r="D401" s="378">
        <f t="shared" si="36"/>
        <v>1992</v>
      </c>
      <c r="E401" s="379">
        <v>2456</v>
      </c>
      <c r="F401" s="379">
        <v>350</v>
      </c>
      <c r="G401" s="378">
        <v>80.3</v>
      </c>
      <c r="H401" s="378"/>
      <c r="I401" s="379">
        <v>2354</v>
      </c>
      <c r="J401" s="379">
        <v>350</v>
      </c>
      <c r="K401" s="378">
        <v>76.599999999999994</v>
      </c>
      <c r="L401" s="378"/>
      <c r="M401" s="379">
        <v>2421</v>
      </c>
      <c r="N401" s="379">
        <v>320</v>
      </c>
      <c r="O401" s="378">
        <v>86.1</v>
      </c>
      <c r="P401" s="378"/>
      <c r="Q401" s="379">
        <v>7352</v>
      </c>
      <c r="R401" s="379">
        <v>940</v>
      </c>
      <c r="S401" s="378">
        <v>89.8</v>
      </c>
      <c r="T401" s="378"/>
      <c r="U401" s="379">
        <v>7538</v>
      </c>
      <c r="V401" s="379">
        <v>990</v>
      </c>
      <c r="W401" s="378">
        <v>86.7</v>
      </c>
      <c r="X401" s="378"/>
      <c r="Y401" s="379">
        <f t="shared" si="35"/>
        <v>22121</v>
      </c>
      <c r="Z401" s="379">
        <f t="shared" si="35"/>
        <v>2950</v>
      </c>
      <c r="AA401" s="378">
        <v>85.6</v>
      </c>
    </row>
    <row r="402" spans="4:27" ht="15" x14ac:dyDescent="0.25">
      <c r="D402" s="378">
        <f t="shared" si="36"/>
        <v>1993</v>
      </c>
      <c r="E402" s="379">
        <v>2145</v>
      </c>
      <c r="F402" s="379">
        <v>350</v>
      </c>
      <c r="G402" s="378">
        <v>70.3</v>
      </c>
      <c r="H402" s="378"/>
      <c r="I402" s="379">
        <v>2617</v>
      </c>
      <c r="J402" s="379">
        <v>350</v>
      </c>
      <c r="K402" s="378">
        <v>85.5</v>
      </c>
      <c r="L402" s="378"/>
      <c r="M402" s="379">
        <v>2580</v>
      </c>
      <c r="N402" s="379">
        <v>355</v>
      </c>
      <c r="O402" s="378">
        <v>87.9</v>
      </c>
      <c r="P402" s="378"/>
      <c r="Q402" s="379">
        <v>7349</v>
      </c>
      <c r="R402" s="379">
        <v>940</v>
      </c>
      <c r="S402" s="380">
        <v>90</v>
      </c>
      <c r="T402" s="378"/>
      <c r="U402" s="379">
        <v>7338</v>
      </c>
      <c r="V402" s="379">
        <v>990</v>
      </c>
      <c r="W402" s="378">
        <v>84.6</v>
      </c>
      <c r="X402" s="378"/>
      <c r="Y402" s="379">
        <f t="shared" si="35"/>
        <v>22029</v>
      </c>
      <c r="Z402" s="379">
        <f t="shared" si="35"/>
        <v>2985</v>
      </c>
      <c r="AA402" s="378">
        <v>85.1</v>
      </c>
    </row>
    <row r="403" spans="4:27" ht="15" x14ac:dyDescent="0.25">
      <c r="D403" s="378">
        <f t="shared" si="36"/>
        <v>1994</v>
      </c>
      <c r="E403" s="379">
        <v>2668</v>
      </c>
      <c r="F403" s="379">
        <v>350</v>
      </c>
      <c r="G403" s="378">
        <v>87.5</v>
      </c>
      <c r="H403" s="378"/>
      <c r="I403" s="379">
        <v>3052</v>
      </c>
      <c r="J403" s="379">
        <v>350</v>
      </c>
      <c r="K403" s="378">
        <v>99.6</v>
      </c>
      <c r="L403" s="378"/>
      <c r="M403" s="379">
        <v>2654</v>
      </c>
      <c r="N403" s="379">
        <v>355</v>
      </c>
      <c r="O403" s="378">
        <v>85.3</v>
      </c>
      <c r="P403" s="378"/>
      <c r="Q403" s="379">
        <v>7614</v>
      </c>
      <c r="R403" s="379">
        <v>940</v>
      </c>
      <c r="S403" s="378">
        <v>93.2</v>
      </c>
      <c r="T403" s="378"/>
      <c r="U403" s="379">
        <v>6996</v>
      </c>
      <c r="V403" s="379">
        <v>990</v>
      </c>
      <c r="W403" s="378">
        <v>80.7</v>
      </c>
      <c r="X403" s="378"/>
      <c r="Y403" s="379">
        <f t="shared" si="35"/>
        <v>22984</v>
      </c>
      <c r="Z403" s="379">
        <f t="shared" si="35"/>
        <v>2985</v>
      </c>
      <c r="AA403" s="378">
        <v>88.2</v>
      </c>
    </row>
    <row r="404" spans="4:27" ht="15" x14ac:dyDescent="0.25">
      <c r="D404" s="378">
        <f t="shared" si="36"/>
        <v>1995</v>
      </c>
      <c r="E404" s="379">
        <v>2823</v>
      </c>
      <c r="F404" s="379">
        <v>350</v>
      </c>
      <c r="G404" s="378">
        <v>92.6</v>
      </c>
      <c r="H404" s="378"/>
      <c r="I404" s="379">
        <v>2553</v>
      </c>
      <c r="J404" s="379">
        <v>350</v>
      </c>
      <c r="K404" s="378">
        <v>83.3</v>
      </c>
      <c r="L404" s="378"/>
      <c r="M404" s="379">
        <v>2668</v>
      </c>
      <c r="N404" s="379">
        <v>355</v>
      </c>
      <c r="O404" s="378">
        <v>85.8</v>
      </c>
      <c r="P404" s="378"/>
      <c r="Q404" s="379">
        <v>7765</v>
      </c>
      <c r="R404" s="379">
        <v>970</v>
      </c>
      <c r="S404" s="378">
        <v>92.5</v>
      </c>
      <c r="T404" s="378"/>
      <c r="U404" s="379">
        <v>7677</v>
      </c>
      <c r="V404" s="379">
        <v>1030</v>
      </c>
      <c r="W404" s="378">
        <v>85.1</v>
      </c>
      <c r="X404" s="378"/>
      <c r="Y404" s="379">
        <f t="shared" si="35"/>
        <v>23486</v>
      </c>
      <c r="Z404" s="379">
        <f t="shared" si="35"/>
        <v>3055</v>
      </c>
      <c r="AA404" s="378">
        <v>88.2</v>
      </c>
    </row>
    <row r="405" spans="4:27" ht="15" x14ac:dyDescent="0.25">
      <c r="D405" s="378">
        <f t="shared" si="36"/>
        <v>1996</v>
      </c>
      <c r="E405" s="379">
        <v>2728</v>
      </c>
      <c r="F405" s="379">
        <v>365</v>
      </c>
      <c r="G405" s="378">
        <v>88.3</v>
      </c>
      <c r="H405" s="378"/>
      <c r="I405" s="379">
        <v>2747</v>
      </c>
      <c r="J405" s="379">
        <v>357</v>
      </c>
      <c r="K405" s="378">
        <v>88.9</v>
      </c>
      <c r="L405" s="378"/>
      <c r="M405" s="379">
        <v>2659</v>
      </c>
      <c r="N405" s="379">
        <v>355</v>
      </c>
      <c r="O405" s="378">
        <v>85.3</v>
      </c>
      <c r="P405" s="378"/>
      <c r="Q405" s="379">
        <v>7872</v>
      </c>
      <c r="R405" s="379">
        <v>970</v>
      </c>
      <c r="S405" s="380">
        <v>93</v>
      </c>
      <c r="T405" s="378"/>
      <c r="U405" s="379">
        <v>7713</v>
      </c>
      <c r="V405" s="379">
        <v>1030</v>
      </c>
      <c r="W405" s="378">
        <v>85.2</v>
      </c>
      <c r="X405" s="378"/>
      <c r="Y405" s="379">
        <f t="shared" si="35"/>
        <v>23719</v>
      </c>
      <c r="Z405" s="379">
        <f t="shared" si="35"/>
        <v>3077</v>
      </c>
      <c r="AA405" s="378">
        <v>88.5</v>
      </c>
    </row>
    <row r="406" spans="4:27" ht="15" x14ac:dyDescent="0.25">
      <c r="D406" s="378">
        <f t="shared" si="36"/>
        <v>1997</v>
      </c>
      <c r="E406" s="379">
        <v>2688</v>
      </c>
      <c r="F406" s="379">
        <v>365</v>
      </c>
      <c r="G406" s="378">
        <v>84.5</v>
      </c>
      <c r="H406" s="378"/>
      <c r="I406" s="379">
        <v>3083</v>
      </c>
      <c r="J406" s="379">
        <v>357</v>
      </c>
      <c r="K406" s="378">
        <v>98.7</v>
      </c>
      <c r="L406" s="378"/>
      <c r="M406" s="379">
        <v>2561</v>
      </c>
      <c r="N406" s="379">
        <v>355</v>
      </c>
      <c r="O406" s="378">
        <v>82.4</v>
      </c>
      <c r="P406" s="378"/>
      <c r="Q406" s="379">
        <v>7850</v>
      </c>
      <c r="R406" s="379">
        <v>970</v>
      </c>
      <c r="S406" s="380">
        <v>93</v>
      </c>
      <c r="T406" s="378"/>
      <c r="U406" s="379">
        <v>7789</v>
      </c>
      <c r="V406" s="379">
        <v>1030</v>
      </c>
      <c r="W406" s="378">
        <v>86.3</v>
      </c>
      <c r="X406" s="378"/>
      <c r="Y406" s="379">
        <f t="shared" si="35"/>
        <v>23971</v>
      </c>
      <c r="Z406" s="379">
        <f t="shared" si="35"/>
        <v>3077</v>
      </c>
      <c r="AA406" s="378">
        <v>89.2</v>
      </c>
    </row>
    <row r="407" spans="4:27" ht="15" x14ac:dyDescent="0.25">
      <c r="D407" s="378">
        <f t="shared" si="36"/>
        <v>1998</v>
      </c>
      <c r="E407" s="382">
        <v>3157</v>
      </c>
      <c r="F407" s="379">
        <v>365</v>
      </c>
      <c r="G407" s="381">
        <v>99.3</v>
      </c>
      <c r="H407" s="378"/>
      <c r="I407" s="379">
        <v>2711</v>
      </c>
      <c r="J407" s="379">
        <v>357</v>
      </c>
      <c r="K407" s="378">
        <v>86.7</v>
      </c>
      <c r="L407" s="378"/>
      <c r="M407" s="379">
        <v>2670</v>
      </c>
      <c r="N407" s="379">
        <v>355</v>
      </c>
      <c r="O407" s="378">
        <v>85.9</v>
      </c>
      <c r="P407" s="378"/>
      <c r="Q407" s="379">
        <v>7783</v>
      </c>
      <c r="R407" s="379">
        <v>970</v>
      </c>
      <c r="S407" s="378">
        <v>92.3</v>
      </c>
      <c r="T407" s="378"/>
      <c r="U407" s="379">
        <v>8047</v>
      </c>
      <c r="V407" s="379">
        <v>1080</v>
      </c>
      <c r="W407" s="378">
        <v>85.1</v>
      </c>
      <c r="X407" s="378"/>
      <c r="Y407" s="379">
        <f t="shared" si="35"/>
        <v>24368</v>
      </c>
      <c r="Z407" s="379">
        <f t="shared" si="35"/>
        <v>3127</v>
      </c>
      <c r="AA407" s="378">
        <v>90.4</v>
      </c>
    </row>
    <row r="408" spans="4:27" ht="15" x14ac:dyDescent="0.25">
      <c r="D408" s="378">
        <f>1+D407</f>
        <v>1999</v>
      </c>
      <c r="E408" s="379">
        <v>2810</v>
      </c>
      <c r="F408" s="379">
        <v>365</v>
      </c>
      <c r="G408" s="378">
        <v>88.4</v>
      </c>
      <c r="H408" s="378"/>
      <c r="I408" s="379">
        <v>2210</v>
      </c>
      <c r="J408" s="379">
        <v>357</v>
      </c>
      <c r="K408" s="378">
        <v>70.7</v>
      </c>
      <c r="L408" s="378"/>
      <c r="M408" s="379">
        <v>2712</v>
      </c>
      <c r="N408" s="379">
        <v>355</v>
      </c>
      <c r="O408" s="378">
        <v>87.2</v>
      </c>
      <c r="P408" s="378"/>
      <c r="Q408" s="379">
        <v>7468</v>
      </c>
      <c r="R408" s="379">
        <v>970</v>
      </c>
      <c r="S408" s="378">
        <v>88.6</v>
      </c>
      <c r="T408" s="378"/>
      <c r="U408" s="379">
        <v>8323</v>
      </c>
      <c r="V408" s="379">
        <v>1115</v>
      </c>
      <c r="W408" s="380">
        <v>88</v>
      </c>
      <c r="X408" s="378"/>
      <c r="Y408" s="379">
        <f t="shared" si="35"/>
        <v>23523</v>
      </c>
      <c r="Z408" s="379">
        <f t="shared" si="35"/>
        <v>3162</v>
      </c>
      <c r="AA408" s="378">
        <v>86.2</v>
      </c>
    </row>
    <row r="409" spans="4:27" ht="15" x14ac:dyDescent="0.25">
      <c r="D409" s="378">
        <f t="shared" si="36"/>
        <v>2000</v>
      </c>
      <c r="E409" s="379">
        <v>2503</v>
      </c>
      <c r="F409" s="379">
        <v>365</v>
      </c>
      <c r="G409" s="378">
        <v>78.5</v>
      </c>
      <c r="H409" s="378"/>
      <c r="I409" s="379">
        <v>3048</v>
      </c>
      <c r="J409" s="379">
        <v>365</v>
      </c>
      <c r="K409" s="378">
        <v>95.1</v>
      </c>
      <c r="L409" s="378"/>
      <c r="M409" s="379">
        <v>2829</v>
      </c>
      <c r="N409" s="379">
        <v>355</v>
      </c>
      <c r="O409" s="378">
        <v>90.7</v>
      </c>
      <c r="P409" s="378"/>
      <c r="Q409" s="379">
        <v>7744</v>
      </c>
      <c r="R409" s="379">
        <v>970</v>
      </c>
      <c r="S409" s="378">
        <v>91.7</v>
      </c>
      <c r="T409" s="378"/>
      <c r="U409" s="379">
        <v>8825</v>
      </c>
      <c r="V409" s="379">
        <v>1145</v>
      </c>
      <c r="W409" s="378">
        <v>87.7</v>
      </c>
      <c r="X409" s="378"/>
      <c r="Y409" s="379">
        <f t="shared" si="35"/>
        <v>24949</v>
      </c>
      <c r="Z409" s="383">
        <f t="shared" si="35"/>
        <v>3200</v>
      </c>
      <c r="AA409" s="378">
        <v>89.1</v>
      </c>
    </row>
    <row r="410" spans="4:27" ht="15" x14ac:dyDescent="0.25">
      <c r="D410" s="378">
        <f t="shared" si="36"/>
        <v>2001</v>
      </c>
      <c r="E410" s="379">
        <v>3062</v>
      </c>
      <c r="F410" s="379">
        <v>365</v>
      </c>
      <c r="G410" s="378">
        <v>96.1</v>
      </c>
      <c r="H410" s="378"/>
      <c r="I410" s="379">
        <v>2559</v>
      </c>
      <c r="J410" s="379">
        <v>365</v>
      </c>
      <c r="K410" s="378">
        <v>79.8</v>
      </c>
      <c r="L410" s="378"/>
      <c r="M410" s="379">
        <v>2778</v>
      </c>
      <c r="N410" s="379">
        <v>355</v>
      </c>
      <c r="O410" s="378">
        <v>89.1</v>
      </c>
      <c r="P410" s="378"/>
      <c r="Q410" s="379">
        <v>7804</v>
      </c>
      <c r="R410" s="379">
        <v>970</v>
      </c>
      <c r="S410" s="378">
        <v>92.4</v>
      </c>
      <c r="T410" s="378"/>
      <c r="U410" s="379">
        <v>9090</v>
      </c>
      <c r="V410" s="379">
        <v>1145</v>
      </c>
      <c r="W410" s="378">
        <v>90.4</v>
      </c>
      <c r="X410" s="378"/>
      <c r="Y410" s="379">
        <f t="shared" si="35"/>
        <v>25293</v>
      </c>
      <c r="Z410" s="379">
        <f t="shared" si="35"/>
        <v>3200</v>
      </c>
      <c r="AA410" s="378">
        <v>90.3</v>
      </c>
    </row>
    <row r="411" spans="4:27" ht="15" x14ac:dyDescent="0.25">
      <c r="D411" s="378">
        <f t="shared" si="36"/>
        <v>2002</v>
      </c>
      <c r="E411" s="379">
        <v>2884</v>
      </c>
      <c r="F411" s="379">
        <v>365</v>
      </c>
      <c r="G411" s="378">
        <v>90.7</v>
      </c>
      <c r="H411" s="378"/>
      <c r="I411" s="379">
        <v>3001</v>
      </c>
      <c r="J411" s="379">
        <v>365</v>
      </c>
      <c r="K411" s="378">
        <v>93.9</v>
      </c>
      <c r="L411" s="378"/>
      <c r="M411" s="379">
        <v>2839</v>
      </c>
      <c r="N411" s="379">
        <v>355</v>
      </c>
      <c r="O411" s="378">
        <v>91.3</v>
      </c>
      <c r="P411" s="378"/>
      <c r="Q411" s="379">
        <v>7795</v>
      </c>
      <c r="R411" s="379">
        <v>970</v>
      </c>
      <c r="S411" s="378">
        <v>92.5</v>
      </c>
      <c r="T411" s="378"/>
      <c r="U411" s="379">
        <v>9173</v>
      </c>
      <c r="V411" s="379">
        <v>1165</v>
      </c>
      <c r="W411" s="378">
        <v>90.9</v>
      </c>
      <c r="X411" s="378"/>
      <c r="Y411" s="379">
        <f t="shared" si="35"/>
        <v>25692</v>
      </c>
      <c r="Z411" s="379">
        <f t="shared" si="35"/>
        <v>3220</v>
      </c>
      <c r="AA411" s="378">
        <v>91.7</v>
      </c>
    </row>
    <row r="412" spans="4:27" ht="15" x14ac:dyDescent="0.25">
      <c r="D412" s="378">
        <f t="shared" si="36"/>
        <v>2003</v>
      </c>
      <c r="E412" s="379">
        <v>3038</v>
      </c>
      <c r="F412" s="379">
        <v>365</v>
      </c>
      <c r="G412" s="378">
        <v>95.6</v>
      </c>
      <c r="H412" s="378"/>
      <c r="I412" s="379">
        <v>2912</v>
      </c>
      <c r="J412" s="379">
        <v>365</v>
      </c>
      <c r="K412" s="378">
        <v>91.1</v>
      </c>
      <c r="L412" s="378"/>
      <c r="M412" s="379">
        <v>2748</v>
      </c>
      <c r="N412" s="379">
        <v>355</v>
      </c>
      <c r="O412" s="378">
        <v>88.4</v>
      </c>
      <c r="P412" s="378"/>
      <c r="Q412" s="379">
        <v>7924</v>
      </c>
      <c r="R412" s="379">
        <v>970</v>
      </c>
      <c r="S412" s="380">
        <v>94</v>
      </c>
      <c r="T412" s="378"/>
      <c r="U412" s="379">
        <v>9309</v>
      </c>
      <c r="V412" s="379">
        <v>1165</v>
      </c>
      <c r="W412" s="378">
        <v>91.2</v>
      </c>
      <c r="X412" s="378"/>
      <c r="Y412" s="379">
        <f t="shared" si="35"/>
        <v>25931</v>
      </c>
      <c r="Z412" s="379">
        <f t="shared" si="35"/>
        <v>3220</v>
      </c>
      <c r="AA412" s="378">
        <v>92.2</v>
      </c>
    </row>
    <row r="413" spans="4:27" ht="15" x14ac:dyDescent="0.25">
      <c r="D413" s="378">
        <f t="shared" si="36"/>
        <v>2004</v>
      </c>
      <c r="E413" s="379">
        <v>2775</v>
      </c>
      <c r="F413" s="379">
        <v>365</v>
      </c>
      <c r="G413" s="378">
        <v>87.2</v>
      </c>
      <c r="H413" s="378"/>
      <c r="I413" s="382">
        <v>3091</v>
      </c>
      <c r="J413" s="379">
        <v>365</v>
      </c>
      <c r="K413" s="378">
        <v>96.5</v>
      </c>
      <c r="L413" s="378"/>
      <c r="M413" s="379">
        <v>2920</v>
      </c>
      <c r="N413" s="379">
        <v>355</v>
      </c>
      <c r="O413" s="378">
        <v>93.6</v>
      </c>
      <c r="P413" s="378"/>
      <c r="Q413" s="379">
        <v>7954</v>
      </c>
      <c r="R413" s="379">
        <v>970</v>
      </c>
      <c r="S413" s="378">
        <v>94.1</v>
      </c>
      <c r="T413" s="378"/>
      <c r="U413" s="379">
        <v>8692</v>
      </c>
      <c r="V413" s="379">
        <v>1165</v>
      </c>
      <c r="W413" s="378">
        <v>84.9</v>
      </c>
      <c r="X413" s="378"/>
      <c r="Y413" s="379">
        <f t="shared" si="35"/>
        <v>25432</v>
      </c>
      <c r="Z413" s="379">
        <f t="shared" si="35"/>
        <v>3220</v>
      </c>
      <c r="AA413" s="378">
        <v>90.2</v>
      </c>
    </row>
    <row r="414" spans="4:27" ht="15" x14ac:dyDescent="0.25">
      <c r="D414" s="378">
        <f t="shared" si="36"/>
        <v>2005</v>
      </c>
      <c r="E414" s="379">
        <v>3069</v>
      </c>
      <c r="F414" s="379">
        <v>365</v>
      </c>
      <c r="G414" s="378">
        <v>96.6</v>
      </c>
      <c r="H414" s="378"/>
      <c r="I414" s="379">
        <v>2796</v>
      </c>
      <c r="J414" s="379">
        <v>365</v>
      </c>
      <c r="K414" s="378">
        <v>87.5</v>
      </c>
      <c r="L414" s="378"/>
      <c r="M414" s="379">
        <v>2857</v>
      </c>
      <c r="N414" s="379">
        <v>355</v>
      </c>
      <c r="O414" s="378">
        <v>91.9</v>
      </c>
      <c r="P414" s="378"/>
      <c r="Q414" s="379">
        <v>7530</v>
      </c>
      <c r="R414" s="379">
        <v>970</v>
      </c>
      <c r="S414" s="378">
        <v>89.3</v>
      </c>
      <c r="T414" s="378"/>
      <c r="U414" s="379">
        <v>5768</v>
      </c>
      <c r="V414" s="379">
        <v>1165</v>
      </c>
      <c r="W414" s="378">
        <v>56.5</v>
      </c>
      <c r="X414" s="378"/>
      <c r="Y414" s="379">
        <f t="shared" si="35"/>
        <v>22020</v>
      </c>
      <c r="Z414" s="379">
        <f t="shared" si="35"/>
        <v>3220</v>
      </c>
      <c r="AA414" s="378">
        <v>78.3</v>
      </c>
    </row>
    <row r="415" spans="4:27" ht="15" x14ac:dyDescent="0.25">
      <c r="D415" s="378">
        <f t="shared" si="36"/>
        <v>2006</v>
      </c>
      <c r="E415" s="379">
        <v>2920</v>
      </c>
      <c r="F415" s="379">
        <v>365</v>
      </c>
      <c r="G415" s="378">
        <v>91.9</v>
      </c>
      <c r="H415" s="378"/>
      <c r="I415" s="379">
        <v>3058</v>
      </c>
      <c r="J415" s="379">
        <v>365</v>
      </c>
      <c r="K415" s="378">
        <v>95.7</v>
      </c>
      <c r="L415" s="378"/>
      <c r="M415" s="379">
        <v>2867</v>
      </c>
      <c r="N415" s="379">
        <v>355</v>
      </c>
      <c r="O415" s="378">
        <v>92.2</v>
      </c>
      <c r="P415" s="378"/>
      <c r="Q415" s="379">
        <v>8032</v>
      </c>
      <c r="R415" s="379">
        <v>970</v>
      </c>
      <c r="S415" s="378">
        <v>95.4</v>
      </c>
      <c r="T415" s="378"/>
      <c r="U415" s="379">
        <v>9367</v>
      </c>
      <c r="V415" s="379">
        <v>1165</v>
      </c>
      <c r="W415" s="378">
        <v>91.8</v>
      </c>
      <c r="X415" s="378"/>
      <c r="Y415" s="379">
        <f t="shared" si="35"/>
        <v>26244</v>
      </c>
      <c r="Z415" s="379">
        <f t="shared" si="35"/>
        <v>3220</v>
      </c>
      <c r="AA415" s="378">
        <v>93.4</v>
      </c>
    </row>
    <row r="416" spans="4:27" ht="15" x14ac:dyDescent="0.25">
      <c r="D416" s="378">
        <f t="shared" si="36"/>
        <v>2007</v>
      </c>
      <c r="E416" s="379">
        <v>3045</v>
      </c>
      <c r="F416" s="379">
        <v>365</v>
      </c>
      <c r="G416" s="378">
        <v>95.8</v>
      </c>
      <c r="H416" s="378"/>
      <c r="I416" s="379">
        <v>2894</v>
      </c>
      <c r="J416" s="379">
        <v>365</v>
      </c>
      <c r="K416" s="378">
        <v>90.5</v>
      </c>
      <c r="L416" s="378"/>
      <c r="M416" s="379">
        <v>2881</v>
      </c>
      <c r="N416" s="379">
        <v>355</v>
      </c>
      <c r="O416" s="378">
        <v>92.6</v>
      </c>
      <c r="P416" s="378"/>
      <c r="Q416" s="383">
        <v>8087</v>
      </c>
      <c r="R416" s="379">
        <v>970</v>
      </c>
      <c r="S416" s="378">
        <v>96.1</v>
      </c>
      <c r="T416" s="378"/>
      <c r="U416" s="383">
        <v>9437</v>
      </c>
      <c r="V416" s="379">
        <v>1165</v>
      </c>
      <c r="W416" s="378">
        <v>92.5</v>
      </c>
      <c r="X416" s="378"/>
      <c r="Y416" s="383">
        <f t="shared" si="35"/>
        <v>26344</v>
      </c>
      <c r="Z416" s="379">
        <f t="shared" si="35"/>
        <v>3220</v>
      </c>
      <c r="AA416" s="378">
        <v>93.7</v>
      </c>
    </row>
    <row r="417" spans="4:27" ht="15" x14ac:dyDescent="0.25">
      <c r="D417" s="378">
        <f t="shared" si="36"/>
        <v>2008</v>
      </c>
      <c r="E417" s="379">
        <v>2918</v>
      </c>
      <c r="F417" s="379">
        <v>365</v>
      </c>
      <c r="G417" s="378">
        <v>91.7</v>
      </c>
      <c r="H417" s="378"/>
      <c r="I417" s="379">
        <v>3052</v>
      </c>
      <c r="J417" s="379">
        <v>365</v>
      </c>
      <c r="K417" s="378">
        <v>95.2</v>
      </c>
      <c r="L417" s="378"/>
      <c r="M417" s="383">
        <v>2956</v>
      </c>
      <c r="N417" s="379">
        <v>355</v>
      </c>
      <c r="O417" s="378">
        <v>94.8</v>
      </c>
      <c r="P417" s="378"/>
      <c r="Q417" s="379">
        <v>7898</v>
      </c>
      <c r="R417" s="379">
        <v>970</v>
      </c>
      <c r="S417" s="378">
        <v>93.5</v>
      </c>
      <c r="T417" s="378"/>
      <c r="U417" s="379">
        <v>9308</v>
      </c>
      <c r="V417" s="379">
        <v>1165</v>
      </c>
      <c r="W417" s="380">
        <v>91</v>
      </c>
      <c r="X417" s="378"/>
      <c r="Y417" s="379">
        <f t="shared" si="35"/>
        <v>26132</v>
      </c>
      <c r="Z417" s="379">
        <f t="shared" si="35"/>
        <v>3220</v>
      </c>
      <c r="AA417" s="378">
        <v>92.7</v>
      </c>
    </row>
    <row r="418" spans="4:27" ht="15" x14ac:dyDescent="0.25">
      <c r="D418" s="378">
        <f t="shared" si="36"/>
        <v>2009</v>
      </c>
      <c r="E418" s="379">
        <v>3025</v>
      </c>
      <c r="F418" s="379">
        <v>365</v>
      </c>
      <c r="G418" s="378">
        <v>95.3</v>
      </c>
      <c r="H418" s="378"/>
      <c r="I418" s="379">
        <v>2742</v>
      </c>
      <c r="J418" s="379">
        <v>365</v>
      </c>
      <c r="K418" s="378">
        <v>85.8</v>
      </c>
      <c r="L418" s="378"/>
      <c r="M418" s="379">
        <v>2954</v>
      </c>
      <c r="N418" s="379">
        <v>373</v>
      </c>
      <c r="O418" s="378">
        <v>90.4</v>
      </c>
      <c r="P418" s="378"/>
      <c r="Q418" s="379">
        <v>8013</v>
      </c>
      <c r="R418" s="379">
        <v>970</v>
      </c>
      <c r="S418" s="378">
        <v>95.1</v>
      </c>
      <c r="T418" s="378"/>
      <c r="U418" s="379">
        <v>9385</v>
      </c>
      <c r="V418" s="379">
        <v>1165</v>
      </c>
      <c r="W418" s="380">
        <v>92</v>
      </c>
      <c r="X418"/>
      <c r="Y418" s="379">
        <f t="shared" ref="Y418:Z428" si="37">+E418+I418+M418+Q418+U418</f>
        <v>26119</v>
      </c>
      <c r="Z418" s="379">
        <f t="shared" si="37"/>
        <v>3238</v>
      </c>
      <c r="AA418" s="378">
        <v>92.4</v>
      </c>
    </row>
    <row r="419" spans="4:27" ht="15" x14ac:dyDescent="0.25">
      <c r="D419" s="378">
        <v>2010</v>
      </c>
      <c r="E419" s="379">
        <v>2634</v>
      </c>
      <c r="F419" s="379">
        <v>365</v>
      </c>
      <c r="G419" s="378">
        <v>83.1</v>
      </c>
      <c r="H419" s="378"/>
      <c r="I419" s="379">
        <v>2832</v>
      </c>
      <c r="J419" s="379">
        <v>365</v>
      </c>
      <c r="K419" s="378">
        <v>88.6</v>
      </c>
      <c r="L419" s="378"/>
      <c r="M419" s="383">
        <v>2976</v>
      </c>
      <c r="N419" s="379">
        <v>373</v>
      </c>
      <c r="O419" s="378">
        <v>91.1</v>
      </c>
      <c r="P419" s="378"/>
      <c r="Q419" s="379">
        <v>7979</v>
      </c>
      <c r="R419" s="379">
        <v>985</v>
      </c>
      <c r="S419" s="378">
        <v>93.1</v>
      </c>
      <c r="T419" s="378"/>
      <c r="U419" s="379">
        <v>8784</v>
      </c>
      <c r="V419" s="379">
        <v>1165</v>
      </c>
      <c r="W419" s="378">
        <v>86.1</v>
      </c>
      <c r="X419"/>
      <c r="Y419" s="379">
        <f t="shared" si="37"/>
        <v>25205</v>
      </c>
      <c r="Z419" s="379">
        <f t="shared" si="37"/>
        <v>3253</v>
      </c>
      <c r="AA419" s="378">
        <v>88.7</v>
      </c>
    </row>
    <row r="420" spans="4:27" ht="15" x14ac:dyDescent="0.25">
      <c r="D420" s="378">
        <v>2011</v>
      </c>
      <c r="E420" s="379">
        <v>3022</v>
      </c>
      <c r="F420" s="379">
        <v>365</v>
      </c>
      <c r="G420" s="378">
        <v>95.2</v>
      </c>
      <c r="H420" s="378"/>
      <c r="I420" s="379">
        <v>2715</v>
      </c>
      <c r="J420" s="379">
        <v>365</v>
      </c>
      <c r="K420" s="378">
        <v>84.9</v>
      </c>
      <c r="L420" s="378"/>
      <c r="M420" s="383">
        <v>2482</v>
      </c>
      <c r="N420" s="379">
        <v>373</v>
      </c>
      <c r="O420" s="380">
        <v>76</v>
      </c>
      <c r="P420" s="378"/>
      <c r="Q420" s="379">
        <v>7859</v>
      </c>
      <c r="R420" s="379">
        <v>985</v>
      </c>
      <c r="S420" s="378">
        <v>91.7</v>
      </c>
      <c r="T420" s="378"/>
      <c r="U420" s="383">
        <v>9482</v>
      </c>
      <c r="V420" s="379">
        <v>1190</v>
      </c>
      <c r="W420" s="380">
        <v>91</v>
      </c>
      <c r="X420"/>
      <c r="Y420" s="379">
        <f t="shared" si="37"/>
        <v>25560</v>
      </c>
      <c r="Z420" s="379">
        <f t="shared" si="37"/>
        <v>3278</v>
      </c>
      <c r="AA420" s="378">
        <v>89.3</v>
      </c>
    </row>
    <row r="421" spans="4:27" ht="15" x14ac:dyDescent="0.25">
      <c r="D421" s="378">
        <v>2012</v>
      </c>
      <c r="E421" s="379">
        <v>2683</v>
      </c>
      <c r="F421" s="379">
        <v>365</v>
      </c>
      <c r="G421" s="378">
        <v>84.4</v>
      </c>
      <c r="H421" s="378"/>
      <c r="I421" s="379">
        <v>2770</v>
      </c>
      <c r="J421" s="379">
        <v>365</v>
      </c>
      <c r="K421" s="378">
        <v>86.5</v>
      </c>
      <c r="L421" s="378"/>
      <c r="M421" s="383">
        <v>2993</v>
      </c>
      <c r="N421" s="379">
        <v>373</v>
      </c>
      <c r="O421" s="380">
        <v>91.3</v>
      </c>
      <c r="P421" s="378"/>
      <c r="Q421" s="379">
        <v>8015</v>
      </c>
      <c r="R421" s="379">
        <v>985</v>
      </c>
      <c r="S421" s="378">
        <v>93.4</v>
      </c>
      <c r="T421" s="378"/>
      <c r="U421" s="383">
        <v>7884</v>
      </c>
      <c r="V421" s="379">
        <v>1190</v>
      </c>
      <c r="W421" s="380">
        <v>75.400000000000006</v>
      </c>
      <c r="X421"/>
      <c r="Y421" s="379">
        <f t="shared" si="37"/>
        <v>24345</v>
      </c>
      <c r="Z421" s="379">
        <f t="shared" si="37"/>
        <v>3278</v>
      </c>
      <c r="AA421" s="378">
        <v>84.9</v>
      </c>
    </row>
    <row r="422" spans="4:27" ht="15" x14ac:dyDescent="0.25">
      <c r="D422" s="378">
        <v>2013</v>
      </c>
      <c r="E422" s="379">
        <v>3012</v>
      </c>
      <c r="F422" s="379">
        <v>365</v>
      </c>
      <c r="G422" s="380">
        <v>95</v>
      </c>
      <c r="H422" s="378"/>
      <c r="I422" s="379">
        <v>2846</v>
      </c>
      <c r="J422" s="379">
        <v>365</v>
      </c>
      <c r="K422" s="378">
        <v>89.1</v>
      </c>
      <c r="L422" s="378"/>
      <c r="M422" s="383">
        <v>2940</v>
      </c>
      <c r="N422" s="379">
        <v>373</v>
      </c>
      <c r="O422" s="380">
        <v>90</v>
      </c>
      <c r="P422" s="378"/>
      <c r="Q422" s="379">
        <v>6382</v>
      </c>
      <c r="R422" s="379">
        <v>985</v>
      </c>
      <c r="S422" s="378">
        <v>74.5</v>
      </c>
      <c r="T422" s="378"/>
      <c r="U422" s="383">
        <v>9691</v>
      </c>
      <c r="V422" s="379">
        <v>1220</v>
      </c>
      <c r="W422" s="380">
        <v>90.7</v>
      </c>
      <c r="X422"/>
      <c r="Y422" s="379">
        <f t="shared" si="37"/>
        <v>24871</v>
      </c>
      <c r="Z422" s="379">
        <f t="shared" si="37"/>
        <v>3308</v>
      </c>
      <c r="AA422" s="378">
        <v>86.1</v>
      </c>
    </row>
    <row r="423" spans="4:27" ht="15" x14ac:dyDescent="0.25">
      <c r="D423" s="378">
        <v>2014</v>
      </c>
      <c r="E423" s="379">
        <v>2884</v>
      </c>
      <c r="F423" s="379">
        <v>365</v>
      </c>
      <c r="G423" s="380">
        <v>90.8</v>
      </c>
      <c r="H423" s="378"/>
      <c r="I423" s="379">
        <v>3029</v>
      </c>
      <c r="J423" s="379">
        <v>365</v>
      </c>
      <c r="K423" s="378">
        <v>94.8</v>
      </c>
      <c r="L423" s="378"/>
      <c r="M423" s="383">
        <v>3027</v>
      </c>
      <c r="N423" s="379">
        <v>373</v>
      </c>
      <c r="O423" s="380">
        <v>92.6</v>
      </c>
      <c r="P423" s="378"/>
      <c r="Q423" s="379">
        <v>7972</v>
      </c>
      <c r="R423" s="379">
        <v>1010</v>
      </c>
      <c r="S423" s="378">
        <v>91.9</v>
      </c>
      <c r="T423" s="378"/>
      <c r="U423" s="383">
        <v>9458</v>
      </c>
      <c r="V423" s="379">
        <v>1220</v>
      </c>
      <c r="W423" s="380">
        <v>88.5</v>
      </c>
      <c r="X423"/>
      <c r="Y423" s="382">
        <f t="shared" si="37"/>
        <v>26370</v>
      </c>
      <c r="Z423" s="379">
        <f t="shared" si="37"/>
        <v>3333</v>
      </c>
      <c r="AA423" s="378">
        <v>90.9</v>
      </c>
    </row>
    <row r="424" spans="4:27" ht="15" x14ac:dyDescent="0.25">
      <c r="D424" s="378">
        <v>2015</v>
      </c>
      <c r="E424" s="379">
        <v>615</v>
      </c>
      <c r="F424" s="379">
        <v>365</v>
      </c>
      <c r="G424" s="380">
        <v>19.5</v>
      </c>
      <c r="H424" s="378"/>
      <c r="I424" s="379">
        <v>1996</v>
      </c>
      <c r="J424" s="379">
        <v>365</v>
      </c>
      <c r="K424" s="378">
        <v>62.7</v>
      </c>
      <c r="L424" s="378"/>
      <c r="M424" s="383">
        <v>2969</v>
      </c>
      <c r="N424" s="379">
        <v>373</v>
      </c>
      <c r="O424" s="380">
        <v>90.9</v>
      </c>
      <c r="P424" s="378"/>
      <c r="Q424" s="379">
        <v>7917</v>
      </c>
      <c r="R424" s="379">
        <v>1010</v>
      </c>
      <c r="S424" s="378">
        <v>90.2</v>
      </c>
      <c r="T424" s="378"/>
      <c r="U424" s="383">
        <v>8598</v>
      </c>
      <c r="V424" s="379">
        <v>1220</v>
      </c>
      <c r="W424" s="380">
        <v>80.5</v>
      </c>
      <c r="X424"/>
      <c r="Y424" s="383">
        <f t="shared" si="37"/>
        <v>22095</v>
      </c>
      <c r="Z424" s="379">
        <f t="shared" si="37"/>
        <v>3333</v>
      </c>
      <c r="AA424" s="380">
        <v>76</v>
      </c>
    </row>
    <row r="425" spans="4:27" ht="15" x14ac:dyDescent="0.25">
      <c r="D425" s="378">
        <v>2016</v>
      </c>
      <c r="E425" s="379">
        <v>0</v>
      </c>
      <c r="F425" s="379">
        <v>365</v>
      </c>
      <c r="G425" s="380">
        <v>0</v>
      </c>
      <c r="H425" s="378"/>
      <c r="I425" s="379">
        <v>2994</v>
      </c>
      <c r="J425" s="379">
        <v>365</v>
      </c>
      <c r="K425" s="378">
        <v>94.3</v>
      </c>
      <c r="L425" s="378"/>
      <c r="M425" s="383">
        <v>2959</v>
      </c>
      <c r="N425" s="379">
        <v>373</v>
      </c>
      <c r="O425" s="380">
        <v>90.3</v>
      </c>
      <c r="P425" s="378"/>
      <c r="Q425" s="383">
        <v>8174</v>
      </c>
      <c r="R425" s="379">
        <v>1010</v>
      </c>
      <c r="S425" s="378">
        <v>92.9</v>
      </c>
      <c r="T425" s="378"/>
      <c r="U425" s="383">
        <v>6108</v>
      </c>
      <c r="V425" s="379">
        <v>1220</v>
      </c>
      <c r="W425" s="380">
        <v>57</v>
      </c>
      <c r="X425"/>
      <c r="Y425" s="383">
        <f t="shared" si="37"/>
        <v>20235</v>
      </c>
      <c r="Z425" s="379">
        <f t="shared" si="37"/>
        <v>3333</v>
      </c>
      <c r="AA425" s="380">
        <v>69.400000000000006</v>
      </c>
    </row>
    <row r="426" spans="4:27" ht="15" x14ac:dyDescent="0.25">
      <c r="D426" s="378">
        <v>2017</v>
      </c>
      <c r="E426" s="379">
        <v>0</v>
      </c>
      <c r="F426" s="379">
        <v>365</v>
      </c>
      <c r="G426" s="380">
        <v>0</v>
      </c>
      <c r="H426" s="378"/>
      <c r="I426" s="379">
        <v>2768</v>
      </c>
      <c r="J426" s="379">
        <v>365</v>
      </c>
      <c r="K426" s="378">
        <v>87.4</v>
      </c>
      <c r="L426" s="378"/>
      <c r="M426" s="383">
        <v>2991</v>
      </c>
      <c r="N426" s="379">
        <v>373</v>
      </c>
      <c r="O426" s="380">
        <v>91.5</v>
      </c>
      <c r="P426" s="378"/>
      <c r="Q426" s="383">
        <v>8091</v>
      </c>
      <c r="R426" s="379">
        <v>1010</v>
      </c>
      <c r="S426" s="378">
        <v>92.2</v>
      </c>
      <c r="T426" s="378"/>
      <c r="U426" s="383">
        <v>5649</v>
      </c>
      <c r="V426" s="379">
        <v>1220</v>
      </c>
      <c r="W426" s="380">
        <v>52.9</v>
      </c>
      <c r="X426"/>
      <c r="Y426" s="383">
        <f t="shared" si="37"/>
        <v>19499</v>
      </c>
      <c r="Z426" s="379">
        <f t="shared" si="37"/>
        <v>3333</v>
      </c>
      <c r="AA426" s="380">
        <v>67.099999999999994</v>
      </c>
    </row>
    <row r="427" spans="4:27" ht="15" x14ac:dyDescent="0.25">
      <c r="D427" s="378">
        <v>2018</v>
      </c>
      <c r="E427" s="379">
        <v>2452</v>
      </c>
      <c r="F427" s="379">
        <v>365</v>
      </c>
      <c r="G427" s="380">
        <v>77</v>
      </c>
      <c r="H427" s="378"/>
      <c r="I427" s="379">
        <v>3022</v>
      </c>
      <c r="J427" s="379">
        <v>365</v>
      </c>
      <c r="K427" s="378">
        <v>94.9</v>
      </c>
      <c r="L427" s="378"/>
      <c r="M427" s="383">
        <v>2949</v>
      </c>
      <c r="N427" s="379">
        <v>373</v>
      </c>
      <c r="O427" s="380">
        <v>90.3</v>
      </c>
      <c r="P427" s="378"/>
      <c r="Q427" s="383">
        <v>8178</v>
      </c>
      <c r="R427" s="379">
        <v>1010</v>
      </c>
      <c r="S427" s="378">
        <v>93.3</v>
      </c>
      <c r="T427" s="378"/>
      <c r="U427" s="383">
        <v>7813</v>
      </c>
      <c r="V427" s="379">
        <v>1220</v>
      </c>
      <c r="W427" s="380">
        <v>73.099999999999994</v>
      </c>
      <c r="X427"/>
      <c r="Y427" s="383">
        <f t="shared" si="37"/>
        <v>24414</v>
      </c>
      <c r="Z427" s="379">
        <f t="shared" si="37"/>
        <v>3333</v>
      </c>
      <c r="AA427" s="380">
        <v>83.9</v>
      </c>
    </row>
    <row r="428" spans="4:27" ht="15" x14ac:dyDescent="0.25">
      <c r="D428" s="378">
        <v>2019</v>
      </c>
      <c r="E428" s="379">
        <v>2815</v>
      </c>
      <c r="F428" s="379">
        <v>365</v>
      </c>
      <c r="G428" s="380">
        <v>88.6</v>
      </c>
      <c r="H428" s="378"/>
      <c r="I428" s="379">
        <v>2803</v>
      </c>
      <c r="J428" s="379">
        <v>365</v>
      </c>
      <c r="K428" s="378">
        <v>87.7</v>
      </c>
      <c r="L428" s="378"/>
      <c r="M428" s="382">
        <v>3085</v>
      </c>
      <c r="N428" s="379">
        <v>373</v>
      </c>
      <c r="O428" s="380">
        <v>97.3</v>
      </c>
      <c r="P428" s="378"/>
      <c r="Q428" s="383">
        <v>7757</v>
      </c>
      <c r="R428" s="379">
        <v>1010</v>
      </c>
      <c r="S428" s="378">
        <v>88.5</v>
      </c>
      <c r="T428" s="378"/>
      <c r="U428" s="383">
        <v>8820</v>
      </c>
      <c r="V428" s="379">
        <v>1220</v>
      </c>
      <c r="W428" s="380">
        <v>82.5</v>
      </c>
      <c r="X428"/>
      <c r="Y428" s="383">
        <f t="shared" si="37"/>
        <v>25280</v>
      </c>
      <c r="Z428" s="379">
        <f t="shared" si="37"/>
        <v>3333</v>
      </c>
      <c r="AA428" s="380">
        <v>86.9</v>
      </c>
    </row>
    <row r="429" spans="4:27" ht="15" x14ac:dyDescent="0.25">
      <c r="D429" s="378">
        <v>2020</v>
      </c>
      <c r="E429" s="379">
        <v>2747</v>
      </c>
      <c r="F429" s="379">
        <v>365</v>
      </c>
      <c r="G429" s="380">
        <v>86.2</v>
      </c>
      <c r="H429" s="378"/>
      <c r="I429" s="379">
        <v>2930</v>
      </c>
      <c r="J429" s="379">
        <v>365</v>
      </c>
      <c r="K429" s="378">
        <v>91.5</v>
      </c>
      <c r="L429" s="378"/>
      <c r="M429" s="383" t="s">
        <v>672</v>
      </c>
      <c r="N429" s="383" t="s">
        <v>672</v>
      </c>
      <c r="O429" s="384" t="s">
        <v>672</v>
      </c>
      <c r="P429" s="378"/>
      <c r="Q429" s="382">
        <v>8254</v>
      </c>
      <c r="R429" s="379">
        <v>1010</v>
      </c>
      <c r="S429" s="380">
        <v>94</v>
      </c>
      <c r="T429" s="378"/>
      <c r="U429" s="383">
        <v>9059</v>
      </c>
      <c r="V429" s="379">
        <v>1220</v>
      </c>
      <c r="W429" s="380">
        <v>84.5</v>
      </c>
      <c r="X429"/>
      <c r="Y429" s="383">
        <f t="shared" ref="Y429:Z432" si="38">+E429+I429+Q429+U429</f>
        <v>22990</v>
      </c>
      <c r="Z429" s="379">
        <f t="shared" si="38"/>
        <v>2960</v>
      </c>
      <c r="AA429" s="380">
        <v>88.8</v>
      </c>
    </row>
    <row r="430" spans="4:27" ht="15" x14ac:dyDescent="0.25">
      <c r="D430" s="378">
        <v>2021</v>
      </c>
      <c r="E430" s="379">
        <v>3026</v>
      </c>
      <c r="F430" s="379">
        <v>365</v>
      </c>
      <c r="G430" s="380">
        <v>95.3</v>
      </c>
      <c r="H430" s="378"/>
      <c r="I430" s="379">
        <v>2824</v>
      </c>
      <c r="J430" s="379">
        <v>365</v>
      </c>
      <c r="K430" s="378">
        <v>88.4</v>
      </c>
      <c r="L430" s="378"/>
      <c r="M430" s="383" t="s">
        <v>672</v>
      </c>
      <c r="N430" s="383" t="s">
        <v>672</v>
      </c>
      <c r="O430" s="384" t="s">
        <v>672</v>
      </c>
      <c r="P430" s="378"/>
      <c r="Q430" s="383">
        <v>7828</v>
      </c>
      <c r="R430" s="379">
        <v>1010</v>
      </c>
      <c r="S430" s="380">
        <v>89.4</v>
      </c>
      <c r="T430" s="378"/>
      <c r="U430" s="383">
        <v>4852</v>
      </c>
      <c r="V430" s="379">
        <v>1220</v>
      </c>
      <c r="W430" s="380">
        <v>45.4</v>
      </c>
      <c r="X430"/>
      <c r="Y430" s="383">
        <f t="shared" si="38"/>
        <v>18530</v>
      </c>
      <c r="Z430" s="379">
        <f t="shared" si="38"/>
        <v>2960</v>
      </c>
      <c r="AA430" s="380">
        <v>71.900000000000006</v>
      </c>
    </row>
    <row r="431" spans="4:27" ht="15" x14ac:dyDescent="0.25">
      <c r="D431" s="378">
        <v>2022</v>
      </c>
      <c r="E431" s="379">
        <v>2521</v>
      </c>
      <c r="F431" s="379">
        <v>365</v>
      </c>
      <c r="G431" s="380">
        <v>79.400000000000006</v>
      </c>
      <c r="H431" s="378"/>
      <c r="I431" s="379">
        <v>2944</v>
      </c>
      <c r="J431" s="379">
        <v>365</v>
      </c>
      <c r="K431" s="378">
        <v>92.1</v>
      </c>
      <c r="L431" s="378"/>
      <c r="M431" s="383" t="s">
        <v>672</v>
      </c>
      <c r="N431" s="383" t="s">
        <v>672</v>
      </c>
      <c r="O431" s="384" t="s">
        <v>672</v>
      </c>
      <c r="P431" s="378"/>
      <c r="Q431" s="383">
        <v>7895</v>
      </c>
      <c r="R431" s="379">
        <v>1010</v>
      </c>
      <c r="S431" s="380">
        <v>90.1</v>
      </c>
      <c r="T431" s="378"/>
      <c r="U431" s="382">
        <v>9753</v>
      </c>
      <c r="V431" s="379">
        <v>1220</v>
      </c>
      <c r="W431" s="380">
        <v>91.3</v>
      </c>
      <c r="X431"/>
      <c r="Y431" s="383">
        <f t="shared" si="38"/>
        <v>23113</v>
      </c>
      <c r="Z431" s="379">
        <f t="shared" si="38"/>
        <v>2960</v>
      </c>
      <c r="AA431" s="380">
        <v>89.5</v>
      </c>
    </row>
    <row r="432" spans="4:27" ht="15" x14ac:dyDescent="0.25">
      <c r="D432" s="378">
        <v>2023</v>
      </c>
      <c r="E432" s="379">
        <v>2892</v>
      </c>
      <c r="F432" s="379">
        <v>365</v>
      </c>
      <c r="G432" s="380">
        <v>91.1</v>
      </c>
      <c r="H432" s="378"/>
      <c r="I432" s="379">
        <v>2780</v>
      </c>
      <c r="J432" s="379">
        <v>365</v>
      </c>
      <c r="K432" s="380">
        <v>87</v>
      </c>
      <c r="L432" s="378"/>
      <c r="M432" s="383" t="s">
        <v>672</v>
      </c>
      <c r="N432" s="383" t="s">
        <v>672</v>
      </c>
      <c r="O432" s="384" t="s">
        <v>672</v>
      </c>
      <c r="P432" s="378"/>
      <c r="Q432" s="383">
        <v>7980</v>
      </c>
      <c r="R432" s="379">
        <v>1010</v>
      </c>
      <c r="S432" s="380">
        <v>91.1</v>
      </c>
      <c r="T432" s="378"/>
      <c r="U432" s="383">
        <v>9682</v>
      </c>
      <c r="V432" s="383">
        <v>1233</v>
      </c>
      <c r="W432" s="380">
        <v>89.6</v>
      </c>
      <c r="X432"/>
      <c r="Y432" s="383">
        <f t="shared" si="38"/>
        <v>23334</v>
      </c>
      <c r="Z432" s="379">
        <f t="shared" si="38"/>
        <v>2973</v>
      </c>
      <c r="AA432" s="380">
        <v>90</v>
      </c>
    </row>
    <row r="433" spans="4:27" ht="15" x14ac:dyDescent="0.25">
      <c r="D433"/>
      <c r="E433" s="374"/>
      <c r="F433" s="374"/>
      <c r="G433"/>
      <c r="H433"/>
      <c r="I433" s="374"/>
      <c r="J433" s="374"/>
      <c r="K433"/>
      <c r="L433"/>
      <c r="M433" s="374"/>
      <c r="N433" s="374"/>
      <c r="O433"/>
      <c r="P433"/>
      <c r="Q433" s="374"/>
      <c r="R433" s="374"/>
      <c r="S433"/>
      <c r="T433"/>
      <c r="U433" s="374"/>
      <c r="V433" s="374"/>
      <c r="W433"/>
      <c r="X433"/>
      <c r="Y433" s="374"/>
      <c r="Z433" s="374"/>
      <c r="AA433"/>
    </row>
    <row r="434" spans="4:27" ht="15" x14ac:dyDescent="0.25">
      <c r="D434" s="378" t="s">
        <v>1217</v>
      </c>
      <c r="E434" s="379">
        <f>MAX(E378:E433)</f>
        <v>3157</v>
      </c>
      <c r="F434" s="379">
        <f>MAX(F378:F433)</f>
        <v>365</v>
      </c>
      <c r="G434" s="385">
        <f>MAX(G378:G433)</f>
        <v>99.3</v>
      </c>
      <c r="H434"/>
      <c r="I434" s="379">
        <f>MAX(I378:I433)</f>
        <v>3091</v>
      </c>
      <c r="J434" s="379">
        <f>MAX(J378:J433)</f>
        <v>365</v>
      </c>
      <c r="K434" s="385">
        <f>MAX(K378:K433)</f>
        <v>99.6</v>
      </c>
      <c r="L434"/>
      <c r="M434" s="379">
        <f>MAX(M378:M433)</f>
        <v>3085</v>
      </c>
      <c r="N434" s="379">
        <f>MAX(N378:N433)</f>
        <v>373</v>
      </c>
      <c r="O434" s="385">
        <f>MAX(O378:O433)</f>
        <v>97.3</v>
      </c>
      <c r="P434"/>
      <c r="Q434" s="379">
        <f>MAX(Q378:Q433)</f>
        <v>8254</v>
      </c>
      <c r="R434" s="379">
        <f>MAX(R378:R433)</f>
        <v>1010</v>
      </c>
      <c r="S434" s="385">
        <f>MAX(S378:S433)</f>
        <v>96.1</v>
      </c>
      <c r="T434"/>
      <c r="U434" s="379">
        <f>MAX(U378:U433)</f>
        <v>9753</v>
      </c>
      <c r="V434" s="379">
        <f>MAX(V378:V433)</f>
        <v>1233</v>
      </c>
      <c r="W434" s="385">
        <f>MAX(W378:W433)</f>
        <v>92.5</v>
      </c>
      <c r="X434"/>
      <c r="Y434" s="379">
        <f>MAX(Y378:Y433)</f>
        <v>26370</v>
      </c>
      <c r="Z434" s="379">
        <f>MAX(Z378:Z433)</f>
        <v>3333</v>
      </c>
      <c r="AA434" s="385">
        <f>MAX(AA378:AA433)</f>
        <v>93.7</v>
      </c>
    </row>
    <row r="441" spans="4:27" x14ac:dyDescent="0.15">
      <c r="D441" s="133" t="s">
        <v>1242</v>
      </c>
    </row>
    <row r="442" spans="4:27" ht="12.75" x14ac:dyDescent="0.2">
      <c r="D442" s="393" t="s">
        <v>1230</v>
      </c>
      <c r="E442" s="391"/>
      <c r="F442" s="391"/>
      <c r="G442" s="388"/>
      <c r="H442" s="391"/>
    </row>
    <row r="443" spans="4:27" ht="12.75" x14ac:dyDescent="0.2">
      <c r="D443" s="393" t="s">
        <v>1231</v>
      </c>
      <c r="E443" s="391"/>
      <c r="F443" s="391"/>
      <c r="G443" s="388"/>
      <c r="H443" s="391"/>
    </row>
    <row r="444" spans="4:27" ht="12.75" x14ac:dyDescent="0.2">
      <c r="D444" s="393"/>
      <c r="E444" s="391"/>
      <c r="F444" s="391"/>
      <c r="G444" s="388"/>
      <c r="H444" s="391"/>
    </row>
    <row r="445" spans="4:27" ht="12.75" x14ac:dyDescent="0.2">
      <c r="D445" s="389" t="s">
        <v>1232</v>
      </c>
      <c r="E445" s="391"/>
      <c r="F445" s="391"/>
      <c r="G445" s="388"/>
      <c r="H445" s="391"/>
    </row>
    <row r="446" spans="4:27" ht="12.75" x14ac:dyDescent="0.2">
      <c r="D446" s="389" t="s">
        <v>1233</v>
      </c>
      <c r="E446" s="391"/>
      <c r="F446" s="391"/>
      <c r="G446" s="388"/>
      <c r="H446" s="391"/>
    </row>
    <row r="448" spans="4:27" ht="12.75" x14ac:dyDescent="0.2">
      <c r="D448" s="391"/>
      <c r="E448" s="391"/>
      <c r="F448" s="391"/>
      <c r="G448" s="388"/>
      <c r="H448" s="390" t="s">
        <v>1205</v>
      </c>
    </row>
    <row r="449" spans="4:14" ht="12.75" x14ac:dyDescent="0.2">
      <c r="D449" s="390" t="s">
        <v>1234</v>
      </c>
      <c r="E449" s="390" t="s">
        <v>1235</v>
      </c>
      <c r="F449" s="390" t="s">
        <v>1236</v>
      </c>
      <c r="G449" s="390"/>
      <c r="H449" s="392" t="s">
        <v>1237</v>
      </c>
    </row>
    <row r="450" spans="4:14" ht="12.75" x14ac:dyDescent="0.2">
      <c r="D450" s="390" t="s">
        <v>1238</v>
      </c>
      <c r="E450" s="390" t="s">
        <v>1239</v>
      </c>
      <c r="F450" s="390" t="s">
        <v>1240</v>
      </c>
      <c r="G450" s="390"/>
      <c r="H450" s="392" t="s">
        <v>1241</v>
      </c>
    </row>
    <row r="451" spans="4:14" ht="12.75" x14ac:dyDescent="0.2">
      <c r="D451" s="391">
        <v>1982</v>
      </c>
      <c r="E451" s="391">
        <v>15617</v>
      </c>
      <c r="F451" s="391">
        <v>21418</v>
      </c>
      <c r="G451" s="391"/>
      <c r="H451" s="394">
        <v>37035</v>
      </c>
      <c r="M451" s="133" t="s">
        <v>1253</v>
      </c>
      <c r="N451" s="133">
        <f>F492/H492</f>
        <v>0.57108876900441397</v>
      </c>
    </row>
    <row r="452" spans="4:14" ht="12.75" x14ac:dyDescent="0.2">
      <c r="D452" s="391">
        <v>1983</v>
      </c>
      <c r="E452" s="391">
        <v>15234</v>
      </c>
      <c r="F452" s="391">
        <v>20768</v>
      </c>
      <c r="G452" s="391"/>
      <c r="H452" s="394">
        <v>36002</v>
      </c>
      <c r="M452" s="133" t="s">
        <v>1254</v>
      </c>
      <c r="N452" s="133">
        <f>E492/H492</f>
        <v>0.42891123099558609</v>
      </c>
    </row>
    <row r="453" spans="4:14" ht="12.75" x14ac:dyDescent="0.2">
      <c r="D453" s="391">
        <v>1984</v>
      </c>
      <c r="E453" s="391">
        <v>14051</v>
      </c>
      <c r="F453" s="391">
        <v>16821</v>
      </c>
      <c r="G453" s="391"/>
      <c r="H453" s="394">
        <v>30872</v>
      </c>
    </row>
    <row r="454" spans="4:14" ht="12.75" x14ac:dyDescent="0.2">
      <c r="D454" s="391">
        <v>1985</v>
      </c>
      <c r="E454" s="391">
        <v>13765</v>
      </c>
      <c r="F454" s="391">
        <v>18912</v>
      </c>
      <c r="G454" s="391"/>
      <c r="H454" s="394">
        <v>32677</v>
      </c>
    </row>
    <row r="455" spans="4:14" ht="12.75" x14ac:dyDescent="0.2">
      <c r="D455" s="394">
        <v>1986</v>
      </c>
      <c r="E455" s="394">
        <v>14013</v>
      </c>
      <c r="F455" s="394">
        <v>19576</v>
      </c>
      <c r="G455" s="395"/>
      <c r="H455" s="394">
        <v>33589</v>
      </c>
    </row>
    <row r="456" spans="4:14" ht="12.75" x14ac:dyDescent="0.2">
      <c r="D456" s="391">
        <v>1987</v>
      </c>
      <c r="E456" s="391">
        <v>14863</v>
      </c>
      <c r="F456" s="391">
        <v>20549</v>
      </c>
      <c r="G456" s="390"/>
      <c r="H456" s="391">
        <v>35412</v>
      </c>
    </row>
    <row r="457" spans="4:14" ht="12.75" x14ac:dyDescent="0.2">
      <c r="D457" s="391">
        <v>1988</v>
      </c>
      <c r="E457" s="391">
        <v>15437</v>
      </c>
      <c r="F457" s="391">
        <v>21002</v>
      </c>
      <c r="G457" s="390"/>
      <c r="H457" s="391">
        <v>36439</v>
      </c>
    </row>
    <row r="458" spans="4:14" ht="12.75" x14ac:dyDescent="0.2">
      <c r="D458" s="391">
        <v>1989</v>
      </c>
      <c r="E458" s="391">
        <v>13613</v>
      </c>
      <c r="F458" s="391">
        <v>16872</v>
      </c>
      <c r="G458" s="390"/>
      <c r="H458" s="391">
        <v>30485</v>
      </c>
    </row>
    <row r="459" spans="4:14" ht="12.75" x14ac:dyDescent="0.2">
      <c r="D459" s="391">
        <v>1990</v>
      </c>
      <c r="E459" s="391">
        <v>13561</v>
      </c>
      <c r="F459" s="391">
        <v>17114</v>
      </c>
      <c r="G459" s="388"/>
      <c r="H459" s="391">
        <v>30675</v>
      </c>
    </row>
    <row r="460" spans="4:14" ht="12.75" x14ac:dyDescent="0.2">
      <c r="D460" s="391">
        <v>1991</v>
      </c>
      <c r="E460" s="391">
        <v>13898</v>
      </c>
      <c r="F460" s="391">
        <v>19184</v>
      </c>
      <c r="G460" s="388"/>
      <c r="H460" s="391">
        <v>33082</v>
      </c>
    </row>
    <row r="461" spans="4:14" ht="12.75" x14ac:dyDescent="0.2">
      <c r="D461" s="391">
        <v>1992</v>
      </c>
      <c r="E461" s="391">
        <v>15219</v>
      </c>
      <c r="F461" s="391">
        <v>18506</v>
      </c>
      <c r="G461" s="388"/>
      <c r="H461" s="391">
        <v>33725</v>
      </c>
    </row>
    <row r="462" spans="4:14" ht="12.75" x14ac:dyDescent="0.2">
      <c r="D462" s="391">
        <v>1993</v>
      </c>
      <c r="E462" s="391">
        <v>15451</v>
      </c>
      <c r="F462" s="391">
        <v>20802</v>
      </c>
      <c r="G462" s="388"/>
      <c r="H462" s="391">
        <v>36253</v>
      </c>
    </row>
    <row r="463" spans="4:14" ht="12.75" x14ac:dyDescent="0.2">
      <c r="D463" s="391">
        <v>1994</v>
      </c>
      <c r="E463" s="391">
        <v>16590</v>
      </c>
      <c r="F463" s="391">
        <v>22966</v>
      </c>
      <c r="G463" s="388"/>
      <c r="H463" s="391">
        <v>39556</v>
      </c>
    </row>
    <row r="464" spans="4:14" ht="12.75" x14ac:dyDescent="0.2">
      <c r="D464" s="391">
        <v>1995</v>
      </c>
      <c r="E464" s="391">
        <v>16148</v>
      </c>
      <c r="F464" s="391">
        <v>19449</v>
      </c>
      <c r="G464" s="388"/>
      <c r="H464" s="391">
        <v>35597</v>
      </c>
    </row>
    <row r="465" spans="4:8" ht="12.75" x14ac:dyDescent="0.2">
      <c r="D465" s="391">
        <v>1996</v>
      </c>
      <c r="E465" s="391">
        <v>13669</v>
      </c>
      <c r="F465" s="391">
        <v>16029</v>
      </c>
      <c r="G465" s="388"/>
      <c r="H465" s="391">
        <v>29698</v>
      </c>
    </row>
    <row r="466" spans="4:8" ht="12.75" x14ac:dyDescent="0.2">
      <c r="D466" s="391">
        <v>1997</v>
      </c>
      <c r="E466" s="391">
        <v>14695</v>
      </c>
      <c r="F466" s="391">
        <v>20099</v>
      </c>
      <c r="G466" s="388"/>
      <c r="H466" s="391">
        <v>34794</v>
      </c>
    </row>
    <row r="467" spans="4:8" ht="12.75" x14ac:dyDescent="0.2">
      <c r="D467" s="391">
        <v>1998</v>
      </c>
      <c r="E467" s="391">
        <v>14966</v>
      </c>
      <c r="F467" s="391">
        <v>19329</v>
      </c>
      <c r="G467" s="388"/>
      <c r="H467" s="391">
        <v>34295</v>
      </c>
    </row>
    <row r="468" spans="4:8" ht="12.75" x14ac:dyDescent="0.2">
      <c r="D468" s="391">
        <v>1999</v>
      </c>
      <c r="E468" s="391">
        <v>16640</v>
      </c>
      <c r="F468" s="391">
        <v>23976</v>
      </c>
      <c r="G468" s="388"/>
      <c r="H468" s="391">
        <v>40616</v>
      </c>
    </row>
    <row r="469" spans="4:8" ht="12.75" x14ac:dyDescent="0.2">
      <c r="D469" s="391">
        <v>2000</v>
      </c>
      <c r="E469" s="391">
        <v>17566</v>
      </c>
      <c r="F469" s="391">
        <v>20285</v>
      </c>
      <c r="G469" s="388"/>
      <c r="H469" s="391">
        <v>37851</v>
      </c>
    </row>
    <row r="470" spans="4:8" ht="12.75" x14ac:dyDescent="0.2">
      <c r="D470" s="391">
        <v>2001</v>
      </c>
      <c r="E470" s="391">
        <v>17751</v>
      </c>
      <c r="F470" s="391">
        <v>24510</v>
      </c>
      <c r="G470" s="388"/>
      <c r="H470" s="391">
        <v>42261</v>
      </c>
    </row>
    <row r="471" spans="4:8" ht="12.75" x14ac:dyDescent="0.2">
      <c r="D471" s="391">
        <v>2002</v>
      </c>
      <c r="E471" s="391">
        <v>17625</v>
      </c>
      <c r="F471" s="391">
        <v>18888</v>
      </c>
      <c r="G471" s="388"/>
      <c r="H471" s="391">
        <v>36513</v>
      </c>
    </row>
    <row r="472" spans="4:8" ht="12.75" x14ac:dyDescent="0.2">
      <c r="D472" s="391">
        <v>2003</v>
      </c>
      <c r="E472" s="391">
        <v>15398</v>
      </c>
      <c r="F472" s="391">
        <v>21047</v>
      </c>
      <c r="G472" s="388"/>
      <c r="H472" s="391">
        <v>36445</v>
      </c>
    </row>
    <row r="473" spans="4:8" ht="12.75" x14ac:dyDescent="0.2">
      <c r="D473" s="391">
        <v>2004</v>
      </c>
      <c r="E473" s="391">
        <v>16039</v>
      </c>
      <c r="F473" s="391">
        <v>19078</v>
      </c>
      <c r="G473" s="388"/>
      <c r="H473" s="391">
        <v>35117</v>
      </c>
    </row>
    <row r="474" spans="4:8" ht="12.75" x14ac:dyDescent="0.2">
      <c r="D474" s="391">
        <v>2005</v>
      </c>
      <c r="E474" s="391">
        <v>14998</v>
      </c>
      <c r="F474" s="391">
        <v>17761</v>
      </c>
      <c r="G474" s="388"/>
      <c r="H474" s="391">
        <v>32759</v>
      </c>
    </row>
    <row r="475" spans="4:8" ht="12.75" x14ac:dyDescent="0.2">
      <c r="D475" s="391">
        <v>2006</v>
      </c>
      <c r="E475" s="391">
        <v>15819</v>
      </c>
      <c r="F475" s="391">
        <v>16738</v>
      </c>
      <c r="G475" s="388"/>
      <c r="H475" s="391">
        <v>32557</v>
      </c>
    </row>
    <row r="476" spans="4:8" ht="12.75" x14ac:dyDescent="0.2">
      <c r="D476" s="391">
        <v>2007</v>
      </c>
      <c r="E476" s="391">
        <v>16547</v>
      </c>
      <c r="F476" s="391">
        <v>19826</v>
      </c>
      <c r="G476" s="388"/>
      <c r="H476" s="391">
        <v>36373</v>
      </c>
    </row>
    <row r="477" spans="4:8" ht="12.75" x14ac:dyDescent="0.2">
      <c r="D477" s="391">
        <v>2008</v>
      </c>
      <c r="E477" s="391">
        <v>16686</v>
      </c>
      <c r="F477" s="391">
        <v>20873</v>
      </c>
      <c r="G477" s="388"/>
      <c r="H477" s="391">
        <v>37559</v>
      </c>
    </row>
    <row r="478" spans="4:8" ht="12.75" x14ac:dyDescent="0.2">
      <c r="D478" s="391">
        <v>2009</v>
      </c>
      <c r="E478" s="391">
        <v>16110</v>
      </c>
      <c r="F478" s="391">
        <v>21026</v>
      </c>
      <c r="G478" s="388"/>
      <c r="H478" s="391">
        <v>37136</v>
      </c>
    </row>
    <row r="479" spans="4:8" ht="12.75" x14ac:dyDescent="0.2">
      <c r="D479" s="391">
        <v>2010</v>
      </c>
      <c r="E479" s="391">
        <v>16030</v>
      </c>
      <c r="F479" s="391">
        <v>21420</v>
      </c>
      <c r="G479" s="388"/>
      <c r="H479" s="391">
        <v>37450</v>
      </c>
    </row>
    <row r="480" spans="4:8" ht="12.75" x14ac:dyDescent="0.2">
      <c r="D480" s="391">
        <v>2011</v>
      </c>
      <c r="E480" s="391">
        <v>14733</v>
      </c>
      <c r="F480" s="391">
        <v>19062</v>
      </c>
      <c r="G480" s="388"/>
      <c r="H480" s="391">
        <v>33795</v>
      </c>
    </row>
    <row r="481" spans="4:8" ht="12.75" x14ac:dyDescent="0.2">
      <c r="D481" s="391">
        <v>2012</v>
      </c>
      <c r="E481" s="391">
        <v>17832</v>
      </c>
      <c r="F481" s="391">
        <v>22074</v>
      </c>
      <c r="G481" s="388"/>
      <c r="H481" s="391">
        <v>39906</v>
      </c>
    </row>
    <row r="482" spans="4:8" ht="12.75" x14ac:dyDescent="0.2">
      <c r="D482" s="391">
        <v>2013</v>
      </c>
      <c r="E482" s="391">
        <v>17759</v>
      </c>
      <c r="F482" s="391">
        <v>21813</v>
      </c>
      <c r="G482" s="388"/>
      <c r="H482" s="391">
        <v>39572</v>
      </c>
    </row>
    <row r="483" spans="4:8" ht="12.75" x14ac:dyDescent="0.2">
      <c r="D483" s="391">
        <v>2014</v>
      </c>
      <c r="E483" s="391">
        <v>17243</v>
      </c>
      <c r="F483" s="391">
        <v>22065</v>
      </c>
      <c r="G483" s="388"/>
      <c r="H483" s="391">
        <v>39308</v>
      </c>
    </row>
    <row r="484" spans="4:8" ht="12.75" x14ac:dyDescent="0.2">
      <c r="D484" s="391">
        <v>2015</v>
      </c>
      <c r="E484" s="391">
        <v>16595</v>
      </c>
      <c r="F484" s="391">
        <v>22891</v>
      </c>
      <c r="G484" s="388"/>
      <c r="H484" s="391">
        <v>39486</v>
      </c>
    </row>
    <row r="485" spans="4:8" ht="12.75" x14ac:dyDescent="0.2">
      <c r="D485" s="391">
        <v>2016</v>
      </c>
      <c r="E485" s="391">
        <v>16574</v>
      </c>
      <c r="F485" s="391">
        <v>19752</v>
      </c>
      <c r="G485" s="388"/>
      <c r="H485" s="391">
        <v>36326</v>
      </c>
    </row>
    <row r="486" spans="4:8" ht="12.75" x14ac:dyDescent="0.2">
      <c r="D486" s="391">
        <v>2017</v>
      </c>
      <c r="E486" s="391">
        <v>15946</v>
      </c>
      <c r="F486" s="391">
        <v>20720</v>
      </c>
      <c r="G486" s="388"/>
      <c r="H486" s="391">
        <v>36666</v>
      </c>
    </row>
    <row r="487" spans="4:8" ht="12.75" x14ac:dyDescent="0.2">
      <c r="D487" s="391">
        <v>2018</v>
      </c>
      <c r="E487" s="391">
        <v>16908</v>
      </c>
      <c r="F487" s="391">
        <v>20520</v>
      </c>
      <c r="G487" s="388"/>
      <c r="H487" s="391">
        <v>37428</v>
      </c>
    </row>
    <row r="488" spans="4:8" ht="12.75" x14ac:dyDescent="0.2">
      <c r="D488" s="391">
        <v>2019</v>
      </c>
      <c r="E488" s="391">
        <v>17700</v>
      </c>
      <c r="F488" s="391">
        <v>22856</v>
      </c>
      <c r="G488" s="388"/>
      <c r="H488" s="391">
        <v>40556</v>
      </c>
    </row>
    <row r="489" spans="4:8" ht="12.75" x14ac:dyDescent="0.2">
      <c r="D489" s="391">
        <v>2020</v>
      </c>
      <c r="E489" s="391">
        <v>17648</v>
      </c>
      <c r="F489" s="391">
        <v>22968</v>
      </c>
      <c r="G489" s="388"/>
      <c r="H489" s="391">
        <v>40616</v>
      </c>
    </row>
    <row r="490" spans="4:8" ht="12.75" x14ac:dyDescent="0.2">
      <c r="D490" s="391">
        <v>2021</v>
      </c>
      <c r="E490" s="391">
        <v>16962</v>
      </c>
      <c r="F490" s="391">
        <v>22538</v>
      </c>
      <c r="G490" s="388"/>
      <c r="H490" s="391">
        <v>39500</v>
      </c>
    </row>
    <row r="491" spans="4:8" ht="12.75" x14ac:dyDescent="0.2">
      <c r="D491" s="391">
        <v>2022</v>
      </c>
      <c r="E491" s="391">
        <v>15490</v>
      </c>
      <c r="F491" s="391">
        <v>18011</v>
      </c>
      <c r="G491" s="388"/>
      <c r="H491" s="391">
        <v>33501</v>
      </c>
    </row>
    <row r="492" spans="4:8" ht="12.75" x14ac:dyDescent="0.2">
      <c r="D492" s="391">
        <v>2023</v>
      </c>
      <c r="E492" s="391">
        <v>17491</v>
      </c>
      <c r="F492" s="391">
        <v>23289</v>
      </c>
      <c r="G492" s="388"/>
      <c r="H492" s="391">
        <v>40780</v>
      </c>
    </row>
  </sheetData>
  <mergeCells count="26">
    <mergeCell ref="AE236:AH236"/>
    <mergeCell ref="B260:B261"/>
    <mergeCell ref="B268:B269"/>
    <mergeCell ref="B276:B277"/>
    <mergeCell ref="B284:B285"/>
    <mergeCell ref="G236:J236"/>
    <mergeCell ref="K236:N236"/>
    <mergeCell ref="O236:R236"/>
    <mergeCell ref="S236:V236"/>
    <mergeCell ref="W236:Z236"/>
    <mergeCell ref="AA236:AD236"/>
    <mergeCell ref="AA1:AD1"/>
    <mergeCell ref="AE1:AH1"/>
    <mergeCell ref="G235:J235"/>
    <mergeCell ref="K235:N235"/>
    <mergeCell ref="O235:R235"/>
    <mergeCell ref="S235:V235"/>
    <mergeCell ref="W235:Z235"/>
    <mergeCell ref="AA235:AD235"/>
    <mergeCell ref="AE235:AH235"/>
    <mergeCell ref="W1:Z1"/>
    <mergeCell ref="C1:F1"/>
    <mergeCell ref="G1:J1"/>
    <mergeCell ref="K1:N1"/>
    <mergeCell ref="O1:R1"/>
    <mergeCell ref="S1:V1"/>
  </mergeCells>
  <pageMargins left="0.7" right="0.7" top="0.75" bottom="0.75" header="0.3" footer="0.3"/>
  <pageSetup scale="46" fitToHeight="3" orientation="portrait" horizontalDpi="1200" verticalDpi="1200" r:id="rId1"/>
  <rowBreaks count="2" manualBreakCount="2">
    <brk id="96" max="33" man="1"/>
    <brk id="204" max="33" man="1"/>
  </rowBreaks>
  <colBreaks count="1" manualBreakCount="1">
    <brk id="18" max="312"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C3F1A-6874-47F7-9242-CF4C09CF34BB}">
  <sheetPr>
    <tabColor theme="9" tint="0.59999389629810485"/>
  </sheetPr>
  <dimension ref="A1:I196"/>
  <sheetViews>
    <sheetView workbookViewId="0">
      <selection activeCell="F38" sqref="F38"/>
    </sheetView>
  </sheetViews>
  <sheetFormatPr defaultRowHeight="15" x14ac:dyDescent="0.25"/>
  <cols>
    <col min="1" max="1" width="72.42578125" customWidth="1"/>
    <col min="2" max="2" width="46.140625" customWidth="1"/>
    <col min="4" max="4" width="12.5703125" customWidth="1"/>
    <col min="6" max="6" width="19.85546875" bestFit="1" customWidth="1"/>
  </cols>
  <sheetData>
    <row r="1" spans="1:9" x14ac:dyDescent="0.25">
      <c r="A1" s="9" t="s">
        <v>426</v>
      </c>
      <c r="B1" s="9" t="s">
        <v>1171</v>
      </c>
    </row>
    <row r="3" spans="1:9" x14ac:dyDescent="0.25">
      <c r="A3" s="335" t="s">
        <v>413</v>
      </c>
      <c r="B3" s="362" t="str">
        <f>Electricity_mixes!I348</f>
        <v>domestic electricity production, Switzerland, 2019, BAU scenario</v>
      </c>
      <c r="C3" s="362"/>
      <c r="D3" s="362"/>
      <c r="E3" s="362"/>
      <c r="F3" s="362"/>
      <c r="G3" s="362"/>
      <c r="H3" s="362"/>
      <c r="I3" s="362"/>
    </row>
    <row r="4" spans="1:9" x14ac:dyDescent="0.25">
      <c r="A4" s="64" t="s">
        <v>415</v>
      </c>
      <c r="B4" s="63" t="s">
        <v>431</v>
      </c>
      <c r="C4" s="63"/>
      <c r="D4" s="63"/>
      <c r="E4" s="63"/>
      <c r="F4" s="63"/>
      <c r="G4" s="63"/>
      <c r="H4" s="63"/>
      <c r="I4" s="63"/>
    </row>
    <row r="5" spans="1:9" x14ac:dyDescent="0.25">
      <c r="A5" s="64" t="s">
        <v>416</v>
      </c>
      <c r="B5" s="63" t="s">
        <v>433</v>
      </c>
      <c r="C5" s="63"/>
      <c r="D5" s="63"/>
      <c r="E5" s="63"/>
      <c r="F5" s="63"/>
      <c r="G5" s="63"/>
      <c r="H5" s="63"/>
      <c r="I5" s="63"/>
    </row>
    <row r="6" spans="1:9" x14ac:dyDescent="0.25">
      <c r="A6" s="64" t="s">
        <v>414</v>
      </c>
      <c r="B6" s="63">
        <v>1</v>
      </c>
      <c r="C6" s="63"/>
      <c r="D6" s="63"/>
      <c r="E6" s="63"/>
      <c r="F6" s="63"/>
      <c r="G6" s="63"/>
      <c r="H6" s="63"/>
      <c r="I6" s="63"/>
    </row>
    <row r="7" spans="1:9" x14ac:dyDescent="0.25">
      <c r="A7" s="64" t="s">
        <v>418</v>
      </c>
      <c r="B7" s="63" t="s">
        <v>432</v>
      </c>
      <c r="C7" s="63"/>
      <c r="D7" s="63"/>
      <c r="E7" s="63"/>
      <c r="F7" s="63"/>
      <c r="G7" s="63"/>
      <c r="H7" s="63"/>
      <c r="I7" s="63"/>
    </row>
    <row r="8" spans="1:9" x14ac:dyDescent="0.25">
      <c r="A8" s="64" t="s">
        <v>420</v>
      </c>
      <c r="B8" s="398" t="s">
        <v>1258</v>
      </c>
      <c r="C8" s="63"/>
      <c r="D8" s="63"/>
      <c r="E8" s="63"/>
      <c r="F8" s="63"/>
      <c r="G8" s="63"/>
      <c r="H8" s="63"/>
      <c r="I8" s="63"/>
    </row>
    <row r="9" spans="1:9" x14ac:dyDescent="0.25">
      <c r="A9" s="62" t="s">
        <v>421</v>
      </c>
      <c r="B9" s="63"/>
      <c r="C9" s="63"/>
      <c r="D9" s="63"/>
      <c r="E9" s="63"/>
      <c r="F9" s="63"/>
      <c r="G9" s="63"/>
      <c r="H9" s="63"/>
      <c r="I9" s="63"/>
    </row>
    <row r="10" spans="1:9" x14ac:dyDescent="0.25">
      <c r="A10" s="62" t="s">
        <v>422</v>
      </c>
      <c r="B10" s="62" t="s">
        <v>415</v>
      </c>
      <c r="C10" s="62" t="s">
        <v>416</v>
      </c>
      <c r="D10" s="62" t="s">
        <v>423</v>
      </c>
      <c r="E10" s="62" t="s">
        <v>418</v>
      </c>
      <c r="F10" s="62" t="s">
        <v>439</v>
      </c>
      <c r="G10" s="62" t="s">
        <v>425</v>
      </c>
      <c r="H10" s="62" t="s">
        <v>424</v>
      </c>
      <c r="I10" s="62" t="s">
        <v>420</v>
      </c>
    </row>
    <row r="11" spans="1:9" x14ac:dyDescent="0.25">
      <c r="A11" s="348" t="str">
        <f>B3</f>
        <v>domestic electricity production, Switzerland, 2019, BAU scenario</v>
      </c>
      <c r="B11" s="348" t="str">
        <f>B4</f>
        <v>electricity, high voltage</v>
      </c>
      <c r="C11" s="348" t="str">
        <f>B5</f>
        <v>kilowatt hour</v>
      </c>
      <c r="D11" s="63">
        <f>B6</f>
        <v>1</v>
      </c>
      <c r="E11" s="63" t="str">
        <f>B7</f>
        <v>CH</v>
      </c>
      <c r="F11" s="63" t="str">
        <f>$B$1</f>
        <v>CH_electricity</v>
      </c>
      <c r="G11" s="63" t="s">
        <v>427</v>
      </c>
      <c r="H11" s="63"/>
      <c r="I11" s="63"/>
    </row>
    <row r="12" spans="1:9" x14ac:dyDescent="0.25">
      <c r="A12" s="348" t="str">
        <f>Electricity_mixes!S328</f>
        <v>heat and power co-generation, natural gas, combined cycle power plant, 400MW electrical</v>
      </c>
      <c r="B12" s="348" t="str">
        <f>Electricity_mixes!T328</f>
        <v>electricity, high voltage</v>
      </c>
      <c r="C12" s="348" t="s">
        <v>433</v>
      </c>
      <c r="D12" s="396">
        <f>Electricity_mixes!I328</f>
        <v>9.3171612191495345E-3</v>
      </c>
      <c r="E12" s="348" t="s">
        <v>1256</v>
      </c>
      <c r="F12" s="348" t="str">
        <f t="shared" ref="F12:F28" si="0">premise_BAU_2025</f>
        <v>ei_cutoff_3.10_remind_SSP2-Base_2030 2024-12-02</v>
      </c>
      <c r="G12" s="397" t="s">
        <v>429</v>
      </c>
      <c r="H12" s="348"/>
      <c r="I12" s="348"/>
    </row>
    <row r="13" spans="1:9" x14ac:dyDescent="0.25">
      <c r="A13" s="348" t="str">
        <f>Electricity_mixes!S329</f>
        <v>electricity production, at natural gas-fired combined cycle power plant, post, pipeline 200km, storage 1000m</v>
      </c>
      <c r="B13" s="348" t="str">
        <f>Electricity_mixes!T329</f>
        <v>electricity, high voltage</v>
      </c>
      <c r="C13" s="348" t="s">
        <v>433</v>
      </c>
      <c r="D13" s="396">
        <f>Electricity_mixes!I329</f>
        <v>0</v>
      </c>
      <c r="E13" s="348" t="s">
        <v>419</v>
      </c>
      <c r="F13" s="348" t="str">
        <f t="shared" si="0"/>
        <v>ei_cutoff_3.10_remind_SSP2-Base_2030 2024-12-02</v>
      </c>
      <c r="G13" s="397" t="s">
        <v>429</v>
      </c>
    </row>
    <row r="14" spans="1:9" x14ac:dyDescent="0.25">
      <c r="A14" s="348" t="str">
        <f>Electricity_mixes!S330</f>
        <v>electricity production, nuclear, pressure water reactor</v>
      </c>
      <c r="B14" s="348" t="str">
        <f>Electricity_mixes!T330</f>
        <v>electricity, high voltage</v>
      </c>
      <c r="C14" s="348" t="s">
        <v>433</v>
      </c>
      <c r="D14" s="396">
        <f>Electricity_mixes!I330*nuclear_pwr</f>
        <v>0.20766864665254309</v>
      </c>
      <c r="E14" s="348" t="str">
        <f>Electricity_mixes!U331</f>
        <v>CH</v>
      </c>
      <c r="F14" s="348" t="str">
        <f t="shared" si="0"/>
        <v>ei_cutoff_3.10_remind_SSP2-Base_2030 2024-12-02</v>
      </c>
      <c r="G14" s="397" t="s">
        <v>429</v>
      </c>
    </row>
    <row r="15" spans="1:9" x14ac:dyDescent="0.25">
      <c r="A15" s="348" t="str">
        <f>Electricity_mixes!S331</f>
        <v>electricity production, nuclear, boiling water reactor</v>
      </c>
      <c r="B15" s="348" t="str">
        <f>Electricity_mixes!T331</f>
        <v>electricity, high voltage</v>
      </c>
      <c r="C15" s="348" t="s">
        <v>433</v>
      </c>
      <c r="D15" s="396">
        <f>Electricity_mixes!I330*nuclear_bwr</f>
        <v>0.14727862854452989</v>
      </c>
      <c r="E15" s="348" t="str">
        <f>Electricity_mixes!U332</f>
        <v>CH</v>
      </c>
      <c r="F15" s="348" t="str">
        <f t="shared" si="0"/>
        <v>ei_cutoff_3.10_remind_SSP2-Base_2030 2024-12-02</v>
      </c>
      <c r="G15" s="397" t="s">
        <v>429</v>
      </c>
    </row>
    <row r="16" spans="1:9" x14ac:dyDescent="0.25">
      <c r="A16" s="348" t="str">
        <f>Electricity_mixes!S332</f>
        <v>heat and power co-generation, wood chips, 6667 kW, state-of-the-art 2014</v>
      </c>
      <c r="B16" s="348" t="str">
        <f>Electricity_mixes!T332</f>
        <v>electricity, high voltage</v>
      </c>
      <c r="C16" s="348" t="s">
        <v>433</v>
      </c>
      <c r="D16" s="396">
        <f>Electricity_mixes!I332</f>
        <v>4.3915023829458758E-3</v>
      </c>
      <c r="E16" s="348" t="s">
        <v>432</v>
      </c>
      <c r="F16" s="348" t="str">
        <f t="shared" si="0"/>
        <v>ei_cutoff_3.10_remind_SSP2-Base_2030 2024-12-02</v>
      </c>
      <c r="G16" s="397" t="s">
        <v>429</v>
      </c>
    </row>
    <row r="17" spans="1:9" x14ac:dyDescent="0.25">
      <c r="A17" s="348" t="str">
        <f>Electricity_mixes!S333</f>
        <v>electricity production, at co-generation wood-fired power plant, post, pipeline 200km, storage 1000m</v>
      </c>
      <c r="B17" s="348" t="str">
        <f>Electricity_mixes!T333</f>
        <v>electricity, high voltage</v>
      </c>
      <c r="C17" s="348" t="s">
        <v>433</v>
      </c>
      <c r="D17" s="396">
        <f>Electricity_mixes!I333</f>
        <v>0</v>
      </c>
      <c r="E17" s="348" t="str">
        <f>Electricity_mixes!U334</f>
        <v>RER</v>
      </c>
      <c r="F17" s="348" t="str">
        <f t="shared" si="0"/>
        <v>ei_cutoff_3.10_remind_SSP2-Base_2030 2024-12-02</v>
      </c>
      <c r="G17" s="397" t="s">
        <v>429</v>
      </c>
    </row>
    <row r="18" spans="1:9" x14ac:dyDescent="0.25">
      <c r="A18" s="348" t="str">
        <f>Electricity_mixes!S334</f>
        <v>municipal waste incineration, at incineration plant, with wet air pollution control, with flue gas condensation, with electricity and heat recovery, energy allocation</v>
      </c>
      <c r="B18" s="348" t="str">
        <f>Electricity_mixes!T334</f>
        <v>electricity, medium voltage</v>
      </c>
      <c r="C18" s="348" t="s">
        <v>433</v>
      </c>
      <c r="D18" s="396">
        <f>Electricity_mixes!I334</f>
        <v>3.3064970872659978E-2</v>
      </c>
      <c r="E18" s="348" t="str">
        <f>Electricity_mixes!U335</f>
        <v>RER</v>
      </c>
      <c r="F18" s="348" t="str">
        <f t="shared" si="0"/>
        <v>ei_cutoff_3.10_remind_SSP2-Base_2030 2024-12-02</v>
      </c>
      <c r="G18" s="397" t="s">
        <v>429</v>
      </c>
    </row>
    <row r="19" spans="1:9" x14ac:dyDescent="0.25">
      <c r="A19" s="348" t="str">
        <f>Electricity_mixes!S335</f>
        <v>municipal waste incineration, at incineration plant, with wet air pollution control, with flue gas condensation, with electricity and optimized heat recovery, with carbon capture and storage, energy allocation</v>
      </c>
      <c r="B19" s="348" t="str">
        <f>Electricity_mixes!T335</f>
        <v>electricity, medium voltage</v>
      </c>
      <c r="C19" s="348" t="s">
        <v>433</v>
      </c>
      <c r="D19" s="396">
        <f>Electricity_mixes!I335</f>
        <v>0</v>
      </c>
      <c r="E19" s="348" t="s">
        <v>419</v>
      </c>
      <c r="F19" s="348" t="str">
        <f t="shared" si="0"/>
        <v>ei_cutoff_3.10_remind_SSP2-Base_2030 2024-12-02</v>
      </c>
      <c r="G19" s="397" t="s">
        <v>429</v>
      </c>
    </row>
    <row r="20" spans="1:9" x14ac:dyDescent="0.25">
      <c r="A20" s="348" t="str">
        <f>Electricity_mixes!S336</f>
        <v>heat and power co-generation, biogas, gas engine</v>
      </c>
      <c r="B20" s="348" t="str">
        <f>Electricity_mixes!T336</f>
        <v>electricity, high voltage</v>
      </c>
      <c r="C20" s="348" t="s">
        <v>433</v>
      </c>
      <c r="D20" s="396">
        <f>Electricity_mixes!I336</f>
        <v>5.226121841161167E-3</v>
      </c>
      <c r="E20" s="348" t="s">
        <v>432</v>
      </c>
      <c r="F20" s="348" t="str">
        <f t="shared" si="0"/>
        <v>ei_cutoff_3.10_remind_SSP2-Base_2030 2024-12-02</v>
      </c>
      <c r="G20" s="397" t="s">
        <v>429</v>
      </c>
    </row>
    <row r="21" spans="1:9" x14ac:dyDescent="0.25">
      <c r="A21" s="348" t="str">
        <f>Electricity_mixes!S337</f>
        <v>electricity production, hydro, reservoir, alpine region</v>
      </c>
      <c r="B21" s="348" t="str">
        <f>Electricity_mixes!T337</f>
        <v>electricity, high voltage</v>
      </c>
      <c r="C21" s="348" t="s">
        <v>433</v>
      </c>
      <c r="D21" s="396">
        <f>Electricity_mixes!I337*hydro_reservoir</f>
        <v>0.29320419807380377</v>
      </c>
      <c r="E21" s="348" t="s">
        <v>432</v>
      </c>
      <c r="F21" s="348" t="str">
        <f t="shared" si="0"/>
        <v>ei_cutoff_3.10_remind_SSP2-Base_2030 2024-12-02</v>
      </c>
      <c r="G21" s="397" t="s">
        <v>429</v>
      </c>
    </row>
    <row r="22" spans="1:9" x14ac:dyDescent="0.25">
      <c r="A22" s="348" t="str">
        <f>Electricity_mixes!S338</f>
        <v>electricity production, hydro, run-of-river</v>
      </c>
      <c r="B22" s="348" t="str">
        <f>Electricity_mixes!T338</f>
        <v>electricity, high voltage</v>
      </c>
      <c r="C22" s="348" t="s">
        <v>433</v>
      </c>
      <c r="D22" s="396">
        <f>Electricity_mixes!I337*hydro_run</f>
        <v>0.22020845156549881</v>
      </c>
      <c r="E22" s="348" t="s">
        <v>432</v>
      </c>
      <c r="F22" s="348" t="str">
        <f t="shared" si="0"/>
        <v>ei_cutoff_3.10_remind_SSP2-Base_2030 2024-12-02</v>
      </c>
      <c r="G22" s="397" t="s">
        <v>429</v>
      </c>
    </row>
    <row r="23" spans="1:9" x14ac:dyDescent="0.25">
      <c r="A23" s="348" t="str">
        <f>Electricity_mixes!S339</f>
        <v>electricity production, photovoltaic, 3kWp slanted-roof installation, multi-Si, panel, mounted</v>
      </c>
      <c r="B23" s="348" t="str">
        <f>Electricity_mixes!T339</f>
        <v>electricity, low voltage</v>
      </c>
      <c r="C23" s="348" t="s">
        <v>433</v>
      </c>
      <c r="D23" s="396">
        <f>Electricity_mixes!I339*pv_roof</f>
        <v>2.7519041575547156E-2</v>
      </c>
      <c r="E23" s="348" t="s">
        <v>432</v>
      </c>
      <c r="F23" s="348" t="str">
        <f t="shared" si="0"/>
        <v>ei_cutoff_3.10_remind_SSP2-Base_2030 2024-12-02</v>
      </c>
      <c r="G23" s="397" t="s">
        <v>429</v>
      </c>
    </row>
    <row r="24" spans="1:9" x14ac:dyDescent="0.25">
      <c r="A24" s="348" t="str">
        <f>Electricity_mixes!S340</f>
        <v>electricity production, photovoltaic, 570kWp open ground installation, multi-Si</v>
      </c>
      <c r="B24" s="348" t="str">
        <f>Electricity_mixes!T340</f>
        <v>electricity, low voltage</v>
      </c>
      <c r="C24" s="348" t="s">
        <v>433</v>
      </c>
      <c r="D24" s="396">
        <f>Electricity_mixes!I339*pv_open</f>
        <v>3.0576712861719066E-3</v>
      </c>
      <c r="E24" s="348" t="s">
        <v>841</v>
      </c>
      <c r="F24" s="348" t="str">
        <f t="shared" si="0"/>
        <v>ei_cutoff_3.10_remind_SSP2-Base_2030 2024-12-02</v>
      </c>
      <c r="G24" s="397" t="s">
        <v>429</v>
      </c>
    </row>
    <row r="25" spans="1:9" x14ac:dyDescent="0.25">
      <c r="A25" s="348" t="str">
        <f>Electricity_mixes!S341</f>
        <v>electricity production, wind, &gt;3MW turbine, onshore</v>
      </c>
      <c r="B25" s="348" t="str">
        <f>Electricity_mixes!T341</f>
        <v>electricity, high voltage</v>
      </c>
      <c r="C25" s="348" t="s">
        <v>433</v>
      </c>
      <c r="D25" s="396">
        <f>Electricity_mixes!I341</f>
        <v>2.0475477362758305E-3</v>
      </c>
      <c r="E25" s="348" t="s">
        <v>432</v>
      </c>
      <c r="F25" s="348" t="str">
        <f t="shared" si="0"/>
        <v>ei_cutoff_3.10_remind_SSP2-Base_2030 2024-12-02</v>
      </c>
      <c r="G25" s="397" t="s">
        <v>429</v>
      </c>
    </row>
    <row r="26" spans="1:9" x14ac:dyDescent="0.25">
      <c r="A26" s="348" t="str">
        <f>Electricity_mixes!S343</f>
        <v>electricity production, from hydrogen-fired one gigawatt gas turbine</v>
      </c>
      <c r="B26" s="348" t="str">
        <f>Electricity_mixes!T343</f>
        <v>electricity, high voltage</v>
      </c>
      <c r="C26" s="348" t="s">
        <v>433</v>
      </c>
      <c r="D26" s="396">
        <f>Electricity_mixes!I343</f>
        <v>0</v>
      </c>
      <c r="E26" s="348" t="s">
        <v>419</v>
      </c>
      <c r="F26" s="348" t="str">
        <f t="shared" si="0"/>
        <v>ei_cutoff_3.10_remind_SSP2-Base_2030 2024-12-02</v>
      </c>
      <c r="G26" s="397" t="s">
        <v>429</v>
      </c>
    </row>
    <row r="27" spans="1:9" x14ac:dyDescent="0.25">
      <c r="A27" s="348" t="str">
        <f>Electricity_mixes!S344</f>
        <v>electricity production, hydro, pumped storage</v>
      </c>
      <c r="B27" s="348" t="str">
        <f>Electricity_mixes!T344</f>
        <v>electricity, high voltage</v>
      </c>
      <c r="C27" s="348" t="s">
        <v>433</v>
      </c>
      <c r="D27" s="396">
        <f>Electricity_mixes!I344</f>
        <v>4.6502701076869719E-2</v>
      </c>
      <c r="E27" s="348" t="s">
        <v>432</v>
      </c>
      <c r="F27" s="348" t="str">
        <f t="shared" si="0"/>
        <v>ei_cutoff_3.10_remind_SSP2-Base_2030 2024-12-02</v>
      </c>
      <c r="G27" s="397" t="s">
        <v>429</v>
      </c>
    </row>
    <row r="28" spans="1:9" x14ac:dyDescent="0.25">
      <c r="A28" s="348" t="str">
        <f>Electricity_mixes!S345</f>
        <v>market for electricity, medium voltage, for LiS battery</v>
      </c>
      <c r="B28" s="348" t="str">
        <f>Electricity_mixes!T345</f>
        <v>electricity, medium voltage</v>
      </c>
      <c r="C28" s="348" t="s">
        <v>433</v>
      </c>
      <c r="D28" s="396">
        <f>Electricity_mixes!I345</f>
        <v>7.2490894541110977E-5</v>
      </c>
      <c r="E28" s="348" t="s">
        <v>1190</v>
      </c>
      <c r="F28" s="348" t="str">
        <f t="shared" si="0"/>
        <v>ei_cutoff_3.10_remind_SSP2-Base_2030 2024-12-02</v>
      </c>
      <c r="G28" s="397" t="s">
        <v>429</v>
      </c>
    </row>
    <row r="31" spans="1:9" x14ac:dyDescent="0.25">
      <c r="A31" s="335" t="s">
        <v>413</v>
      </c>
      <c r="B31" s="362" t="str">
        <f>Electricity_mixes!J348</f>
        <v>domestic electricity production, Switzerland, 2030, BAU scenario</v>
      </c>
      <c r="C31" s="362"/>
      <c r="D31" s="362"/>
      <c r="E31" s="362"/>
      <c r="F31" s="362"/>
      <c r="G31" s="362"/>
      <c r="H31" s="362"/>
      <c r="I31" s="362"/>
    </row>
    <row r="32" spans="1:9" x14ac:dyDescent="0.25">
      <c r="A32" s="64" t="s">
        <v>415</v>
      </c>
      <c r="B32" s="63" t="s">
        <v>431</v>
      </c>
      <c r="C32" s="63"/>
      <c r="D32" s="63"/>
      <c r="E32" s="63"/>
      <c r="F32" s="63"/>
      <c r="G32" s="63"/>
      <c r="H32" s="63"/>
      <c r="I32" s="63"/>
    </row>
    <row r="33" spans="1:9" x14ac:dyDescent="0.25">
      <c r="A33" s="64" t="s">
        <v>416</v>
      </c>
      <c r="B33" s="63" t="s">
        <v>433</v>
      </c>
      <c r="C33" s="63"/>
      <c r="D33" s="63"/>
      <c r="E33" s="63"/>
      <c r="F33" s="63"/>
      <c r="G33" s="63"/>
      <c r="H33" s="63"/>
      <c r="I33" s="63"/>
    </row>
    <row r="34" spans="1:9" x14ac:dyDescent="0.25">
      <c r="A34" s="64" t="s">
        <v>414</v>
      </c>
      <c r="B34" s="63">
        <v>1</v>
      </c>
      <c r="C34" s="63"/>
      <c r="D34" s="63"/>
      <c r="E34" s="63"/>
      <c r="F34" s="63"/>
      <c r="G34" s="63"/>
      <c r="H34" s="63"/>
      <c r="I34" s="63"/>
    </row>
    <row r="35" spans="1:9" x14ac:dyDescent="0.25">
      <c r="A35" s="64" t="s">
        <v>418</v>
      </c>
      <c r="B35" s="63" t="s">
        <v>432</v>
      </c>
      <c r="C35" s="63"/>
      <c r="D35" s="63"/>
      <c r="E35" s="63"/>
      <c r="F35" s="63"/>
      <c r="G35" s="63"/>
      <c r="H35" s="63"/>
      <c r="I35" s="63"/>
    </row>
    <row r="36" spans="1:9" x14ac:dyDescent="0.25">
      <c r="A36" s="64" t="s">
        <v>420</v>
      </c>
      <c r="B36" s="398" t="s">
        <v>1258</v>
      </c>
      <c r="C36" s="63"/>
      <c r="D36" s="63"/>
      <c r="E36" s="63"/>
      <c r="F36" s="63"/>
      <c r="G36" s="63"/>
      <c r="H36" s="63"/>
      <c r="I36" s="63"/>
    </row>
    <row r="37" spans="1:9" x14ac:dyDescent="0.25">
      <c r="A37" s="62" t="s">
        <v>421</v>
      </c>
      <c r="B37" s="63"/>
      <c r="C37" s="63"/>
      <c r="D37" s="63"/>
      <c r="E37" s="63"/>
      <c r="F37" s="63"/>
      <c r="G37" s="63"/>
      <c r="H37" s="63"/>
      <c r="I37" s="63"/>
    </row>
    <row r="38" spans="1:9" x14ac:dyDescent="0.25">
      <c r="A38" s="62" t="s">
        <v>422</v>
      </c>
      <c r="B38" s="62" t="s">
        <v>415</v>
      </c>
      <c r="C38" s="62" t="s">
        <v>416</v>
      </c>
      <c r="D38" s="62" t="s">
        <v>423</v>
      </c>
      <c r="E38" s="62" t="s">
        <v>418</v>
      </c>
      <c r="F38" s="62" t="s">
        <v>439</v>
      </c>
      <c r="G38" s="62" t="s">
        <v>425</v>
      </c>
      <c r="H38" s="62" t="s">
        <v>424</v>
      </c>
      <c r="I38" s="62" t="s">
        <v>420</v>
      </c>
    </row>
    <row r="39" spans="1:9" x14ac:dyDescent="0.25">
      <c r="A39" s="348" t="str">
        <f>B31</f>
        <v>domestic electricity production, Switzerland, 2030, BAU scenario</v>
      </c>
      <c r="B39" s="348" t="str">
        <f>B32</f>
        <v>electricity, high voltage</v>
      </c>
      <c r="C39" s="348" t="str">
        <f>B33</f>
        <v>kilowatt hour</v>
      </c>
      <c r="D39" s="63">
        <f>B34</f>
        <v>1</v>
      </c>
      <c r="E39" s="63" t="str">
        <f>B35</f>
        <v>CH</v>
      </c>
      <c r="F39" s="63" t="str">
        <f>$B$1</f>
        <v>CH_electricity</v>
      </c>
      <c r="G39" s="63" t="s">
        <v>427</v>
      </c>
      <c r="H39" s="63"/>
      <c r="I39" s="63"/>
    </row>
    <row r="40" spans="1:9" x14ac:dyDescent="0.25">
      <c r="A40" s="348" t="str">
        <f>Electricity_mixes!S328</f>
        <v>heat and power co-generation, natural gas, combined cycle power plant, 400MW electrical</v>
      </c>
      <c r="B40" s="348" t="str">
        <f>Electricity_mixes!T328</f>
        <v>electricity, high voltage</v>
      </c>
      <c r="C40" s="348" t="s">
        <v>433</v>
      </c>
      <c r="D40" s="396">
        <f>Electricity_mixes!J328</f>
        <v>5.5621022669426465E-2</v>
      </c>
      <c r="E40" s="348" t="s">
        <v>1256</v>
      </c>
      <c r="F40" s="348" t="str">
        <f t="shared" ref="F40:F56" si="1">premise_BAU_2035</f>
        <v>ei_cutoff_3.10_remind_SSP2-Base_2040 2024-12-02</v>
      </c>
      <c r="G40" s="397" t="s">
        <v>429</v>
      </c>
      <c r="H40" s="348"/>
      <c r="I40" s="348"/>
    </row>
    <row r="41" spans="1:9" x14ac:dyDescent="0.25">
      <c r="A41" s="348" t="str">
        <f>Electricity_mixes!S329</f>
        <v>electricity production, at natural gas-fired combined cycle power plant, post, pipeline 200km, storage 1000m</v>
      </c>
      <c r="B41" s="348" t="str">
        <f>Electricity_mixes!T329</f>
        <v>electricity, high voltage</v>
      </c>
      <c r="C41" s="348" t="s">
        <v>433</v>
      </c>
      <c r="D41" s="396">
        <f>Electricity_mixes!J329</f>
        <v>0</v>
      </c>
      <c r="E41" s="348" t="s">
        <v>419</v>
      </c>
      <c r="F41" s="348" t="str">
        <f t="shared" si="1"/>
        <v>ei_cutoff_3.10_remind_SSP2-Base_2040 2024-12-02</v>
      </c>
      <c r="G41" s="397" t="s">
        <v>429</v>
      </c>
    </row>
    <row r="42" spans="1:9" x14ac:dyDescent="0.25">
      <c r="A42" s="348" t="str">
        <f>Electricity_mixes!S330</f>
        <v>electricity production, nuclear, pressure water reactor</v>
      </c>
      <c r="B42" s="348" t="str">
        <f>Electricity_mixes!T330</f>
        <v>electricity, high voltage</v>
      </c>
      <c r="C42" s="348" t="s">
        <v>433</v>
      </c>
      <c r="D42" s="396">
        <f>Electricity_mixes!J330*nuclear_pwr</f>
        <v>0.15642905116621802</v>
      </c>
      <c r="E42" s="348" t="str">
        <f>Electricity_mixes!U331</f>
        <v>CH</v>
      </c>
      <c r="F42" s="348" t="str">
        <f t="shared" si="1"/>
        <v>ei_cutoff_3.10_remind_SSP2-Base_2040 2024-12-02</v>
      </c>
      <c r="G42" s="397" t="s">
        <v>429</v>
      </c>
    </row>
    <row r="43" spans="1:9" x14ac:dyDescent="0.25">
      <c r="A43" s="348" t="str">
        <f>Electricity_mixes!S331</f>
        <v>electricity production, nuclear, boiling water reactor</v>
      </c>
      <c r="B43" s="348" t="str">
        <f>Electricity_mixes!T331</f>
        <v>electricity, high voltage</v>
      </c>
      <c r="C43" s="348" t="s">
        <v>433</v>
      </c>
      <c r="D43" s="396">
        <f>Electricity_mixes!J330*nuclear_bwr</f>
        <v>0.11093950142040161</v>
      </c>
      <c r="E43" s="348" t="str">
        <f>Electricity_mixes!U332</f>
        <v>CH</v>
      </c>
      <c r="F43" s="348" t="str">
        <f t="shared" si="1"/>
        <v>ei_cutoff_3.10_remind_SSP2-Base_2040 2024-12-02</v>
      </c>
      <c r="G43" s="397" t="s">
        <v>429</v>
      </c>
    </row>
    <row r="44" spans="1:9" x14ac:dyDescent="0.25">
      <c r="A44" s="348" t="str">
        <f>Electricity_mixes!S332</f>
        <v>heat and power co-generation, wood chips, 6667 kW, state-of-the-art 2014</v>
      </c>
      <c r="B44" s="348" t="str">
        <f>Electricity_mixes!T332</f>
        <v>electricity, high voltage</v>
      </c>
      <c r="C44" s="348" t="s">
        <v>433</v>
      </c>
      <c r="D44" s="396">
        <f>Electricity_mixes!J332</f>
        <v>8.1745271308031799E-3</v>
      </c>
      <c r="E44" s="348" t="s">
        <v>432</v>
      </c>
      <c r="F44" s="348" t="str">
        <f t="shared" si="1"/>
        <v>ei_cutoff_3.10_remind_SSP2-Base_2040 2024-12-02</v>
      </c>
      <c r="G44" s="397" t="s">
        <v>429</v>
      </c>
    </row>
    <row r="45" spans="1:9" x14ac:dyDescent="0.25">
      <c r="A45" s="348" t="str">
        <f>Electricity_mixes!S333</f>
        <v>electricity production, at co-generation wood-fired power plant, post, pipeline 200km, storage 1000m</v>
      </c>
      <c r="B45" s="348" t="str">
        <f>Electricity_mixes!T333</f>
        <v>electricity, high voltage</v>
      </c>
      <c r="C45" s="348" t="s">
        <v>433</v>
      </c>
      <c r="D45" s="396">
        <f>Electricity_mixes!J333</f>
        <v>0</v>
      </c>
      <c r="E45" s="348" t="str">
        <f>Electricity_mixes!U334</f>
        <v>RER</v>
      </c>
      <c r="F45" s="348" t="str">
        <f t="shared" si="1"/>
        <v>ei_cutoff_3.10_remind_SSP2-Base_2040 2024-12-02</v>
      </c>
      <c r="G45" s="397" t="s">
        <v>429</v>
      </c>
    </row>
    <row r="46" spans="1:9" x14ac:dyDescent="0.25">
      <c r="A46" s="348" t="str">
        <f>Electricity_mixes!S334</f>
        <v>municipal waste incineration, at incineration plant, with wet air pollution control, with flue gas condensation, with electricity and heat recovery, energy allocation</v>
      </c>
      <c r="B46" s="348" t="str">
        <f>Electricity_mixes!T334</f>
        <v>electricity, medium voltage</v>
      </c>
      <c r="C46" s="348" t="s">
        <v>433</v>
      </c>
      <c r="D46" s="396">
        <f>Electricity_mixes!J334</f>
        <v>3.5730935800687369E-2</v>
      </c>
      <c r="E46" s="348" t="str">
        <f>Electricity_mixes!U335</f>
        <v>RER</v>
      </c>
      <c r="F46" s="348" t="str">
        <f t="shared" si="1"/>
        <v>ei_cutoff_3.10_remind_SSP2-Base_2040 2024-12-02</v>
      </c>
      <c r="G46" s="397" t="s">
        <v>429</v>
      </c>
    </row>
    <row r="47" spans="1:9" x14ac:dyDescent="0.25">
      <c r="A47" s="348" t="str">
        <f>Electricity_mixes!S335</f>
        <v>municipal waste incineration, at incineration plant, with wet air pollution control, with flue gas condensation, with electricity and optimized heat recovery, with carbon capture and storage, energy allocation</v>
      </c>
      <c r="B47" s="348" t="str">
        <f>Electricity_mixes!T335</f>
        <v>electricity, medium voltage</v>
      </c>
      <c r="C47" s="348" t="s">
        <v>433</v>
      </c>
      <c r="D47" s="396">
        <f>Electricity_mixes!J335</f>
        <v>0</v>
      </c>
      <c r="E47" s="348" t="s">
        <v>419</v>
      </c>
      <c r="F47" s="348" t="str">
        <f t="shared" si="1"/>
        <v>ei_cutoff_3.10_remind_SSP2-Base_2040 2024-12-02</v>
      </c>
      <c r="G47" s="397" t="s">
        <v>429</v>
      </c>
    </row>
    <row r="48" spans="1:9" x14ac:dyDescent="0.25">
      <c r="A48" s="348" t="str">
        <f>Electricity_mixes!S336</f>
        <v>heat and power co-generation, biogas, gas engine</v>
      </c>
      <c r="B48" s="348" t="str">
        <f>Electricity_mixes!T336</f>
        <v>electricity, high voltage</v>
      </c>
      <c r="C48" s="348" t="s">
        <v>433</v>
      </c>
      <c r="D48" s="396">
        <f>Electricity_mixes!J336</f>
        <v>1.7526437758374361E-3</v>
      </c>
      <c r="E48" s="348" t="s">
        <v>432</v>
      </c>
      <c r="F48" s="348" t="str">
        <f t="shared" si="1"/>
        <v>ei_cutoff_3.10_remind_SSP2-Base_2040 2024-12-02</v>
      </c>
      <c r="G48" s="397" t="s">
        <v>429</v>
      </c>
    </row>
    <row r="49" spans="1:9" x14ac:dyDescent="0.25">
      <c r="A49" s="348" t="str">
        <f>Electricity_mixes!S337</f>
        <v>electricity production, hydro, reservoir, alpine region</v>
      </c>
      <c r="B49" s="348" t="str">
        <f>Electricity_mixes!T337</f>
        <v>electricity, high voltage</v>
      </c>
      <c r="C49" s="348" t="s">
        <v>433</v>
      </c>
      <c r="D49" s="396">
        <f>Electricity_mixes!J337*hydro_reservoir</f>
        <v>0.29769825001589389</v>
      </c>
      <c r="E49" s="348" t="s">
        <v>432</v>
      </c>
      <c r="F49" s="348" t="str">
        <f t="shared" si="1"/>
        <v>ei_cutoff_3.10_remind_SSP2-Base_2040 2024-12-02</v>
      </c>
      <c r="G49" s="397" t="s">
        <v>429</v>
      </c>
    </row>
    <row r="50" spans="1:9" x14ac:dyDescent="0.25">
      <c r="A50" s="348" t="str">
        <f>Electricity_mixes!S338</f>
        <v>electricity production, hydro, run-of-river</v>
      </c>
      <c r="B50" s="348" t="str">
        <f>Electricity_mixes!T338</f>
        <v>electricity, high voltage</v>
      </c>
      <c r="C50" s="348" t="s">
        <v>433</v>
      </c>
      <c r="D50" s="396">
        <f>Electricity_mixes!J337*hydro_run</f>
        <v>0.22358367001708959</v>
      </c>
      <c r="E50" s="348" t="s">
        <v>432</v>
      </c>
      <c r="F50" s="348" t="str">
        <f t="shared" si="1"/>
        <v>ei_cutoff_3.10_remind_SSP2-Base_2040 2024-12-02</v>
      </c>
      <c r="G50" s="397" t="s">
        <v>429</v>
      </c>
    </row>
    <row r="51" spans="1:9" x14ac:dyDescent="0.25">
      <c r="A51" s="348" t="str">
        <f>Electricity_mixes!S339</f>
        <v>electricity production, photovoltaic, 3kWp slanted-roof installation, multi-Si, panel, mounted</v>
      </c>
      <c r="B51" s="348" t="str">
        <f>Electricity_mixes!T339</f>
        <v>electricity, low voltage</v>
      </c>
      <c r="C51" s="348" t="s">
        <v>433</v>
      </c>
      <c r="D51" s="396">
        <f>Electricity_mixes!J339*pv_roof</f>
        <v>5.4317848371967119E-2</v>
      </c>
      <c r="E51" s="348" t="s">
        <v>432</v>
      </c>
      <c r="F51" s="348" t="str">
        <f t="shared" si="1"/>
        <v>ei_cutoff_3.10_remind_SSP2-Base_2040 2024-12-02</v>
      </c>
      <c r="G51" s="397" t="s">
        <v>429</v>
      </c>
    </row>
    <row r="52" spans="1:9" x14ac:dyDescent="0.25">
      <c r="A52" s="348" t="str">
        <f>Electricity_mixes!S340</f>
        <v>electricity production, photovoltaic, 570kWp open ground installation, multi-Si</v>
      </c>
      <c r="B52" s="348" t="str">
        <f>Electricity_mixes!T340</f>
        <v>electricity, low voltage</v>
      </c>
      <c r="C52" s="348" t="s">
        <v>433</v>
      </c>
      <c r="D52" s="396">
        <f>Electricity_mixes!J339*pv_open</f>
        <v>6.0353164857741247E-3</v>
      </c>
      <c r="E52" s="348" t="s">
        <v>841</v>
      </c>
      <c r="F52" s="348" t="str">
        <f t="shared" si="1"/>
        <v>ei_cutoff_3.10_remind_SSP2-Base_2040 2024-12-02</v>
      </c>
      <c r="G52" s="397" t="s">
        <v>429</v>
      </c>
    </row>
    <row r="53" spans="1:9" x14ac:dyDescent="0.25">
      <c r="A53" s="348" t="str">
        <f>Electricity_mixes!S341</f>
        <v>electricity production, wind, &gt;3MW turbine, onshore</v>
      </c>
      <c r="B53" s="348" t="str">
        <f>Electricity_mixes!T341</f>
        <v>electricity, high voltage</v>
      </c>
      <c r="C53" s="348" t="s">
        <v>433</v>
      </c>
      <c r="D53" s="396">
        <f>Electricity_mixes!J341</f>
        <v>1.0285173775052908E-3</v>
      </c>
      <c r="E53" s="348" t="s">
        <v>432</v>
      </c>
      <c r="F53" s="348" t="str">
        <f t="shared" si="1"/>
        <v>ei_cutoff_3.10_remind_SSP2-Base_2040 2024-12-02</v>
      </c>
      <c r="G53" s="397" t="s">
        <v>429</v>
      </c>
    </row>
    <row r="54" spans="1:9" x14ac:dyDescent="0.25">
      <c r="A54" s="348" t="str">
        <f>Electricity_mixes!S343</f>
        <v>electricity production, from hydrogen-fired one gigawatt gas turbine</v>
      </c>
      <c r="B54" s="348" t="str">
        <f>Electricity_mixes!T343</f>
        <v>electricity, high voltage</v>
      </c>
      <c r="C54" s="348" t="s">
        <v>433</v>
      </c>
      <c r="D54" s="396">
        <f>Electricity_mixes!J343</f>
        <v>1.3609889449575977E-7</v>
      </c>
      <c r="E54" s="348" t="s">
        <v>419</v>
      </c>
      <c r="F54" s="348" t="str">
        <f t="shared" si="1"/>
        <v>ei_cutoff_3.10_remind_SSP2-Base_2040 2024-12-02</v>
      </c>
      <c r="G54" s="397" t="s">
        <v>429</v>
      </c>
    </row>
    <row r="55" spans="1:9" x14ac:dyDescent="0.25">
      <c r="A55" s="348" t="str">
        <f>Electricity_mixes!S344</f>
        <v>electricity production, hydro, pumped storage</v>
      </c>
      <c r="B55" s="348" t="str">
        <f>Electricity_mixes!T344</f>
        <v>electricity, high voltage</v>
      </c>
      <c r="C55" s="348" t="s">
        <v>433</v>
      </c>
      <c r="D55" s="396">
        <f>Electricity_mixes!J344</f>
        <v>4.8664353417528623E-2</v>
      </c>
      <c r="E55" s="348" t="s">
        <v>432</v>
      </c>
      <c r="F55" s="348" t="str">
        <f t="shared" si="1"/>
        <v>ei_cutoff_3.10_remind_SSP2-Base_2040 2024-12-02</v>
      </c>
      <c r="G55" s="397" t="s">
        <v>429</v>
      </c>
    </row>
    <row r="56" spans="1:9" x14ac:dyDescent="0.25">
      <c r="A56" s="348" t="str">
        <f>Electricity_mixes!S345</f>
        <v>market for electricity, medium voltage, for LiS battery</v>
      </c>
      <c r="B56" s="348" t="str">
        <f>Electricity_mixes!T345</f>
        <v>electricity, medium voltage</v>
      </c>
      <c r="C56" s="348" t="s">
        <v>433</v>
      </c>
      <c r="D56" s="396">
        <f>Electricity_mixes!J345</f>
        <v>2.417260640123973E-5</v>
      </c>
      <c r="E56" s="348" t="s">
        <v>1190</v>
      </c>
      <c r="F56" s="348" t="str">
        <f t="shared" si="1"/>
        <v>ei_cutoff_3.10_remind_SSP2-Base_2040 2024-12-02</v>
      </c>
      <c r="G56" s="397" t="s">
        <v>429</v>
      </c>
    </row>
    <row r="59" spans="1:9" x14ac:dyDescent="0.25">
      <c r="A59" s="335" t="s">
        <v>413</v>
      </c>
      <c r="B59" s="362" t="str">
        <f>Electricity_mixes!K348</f>
        <v>domestic electricity production, Switzerland, 2040, BAU scenario</v>
      </c>
      <c r="C59" s="362"/>
      <c r="D59" s="362"/>
      <c r="E59" s="362"/>
      <c r="F59" s="362"/>
      <c r="G59" s="362"/>
      <c r="H59" s="362"/>
      <c r="I59" s="362"/>
    </row>
    <row r="60" spans="1:9" x14ac:dyDescent="0.25">
      <c r="A60" s="64" t="s">
        <v>415</v>
      </c>
      <c r="B60" s="63" t="s">
        <v>431</v>
      </c>
      <c r="C60" s="63"/>
      <c r="D60" s="63"/>
      <c r="E60" s="63"/>
      <c r="F60" s="63"/>
      <c r="G60" s="63"/>
      <c r="H60" s="63"/>
      <c r="I60" s="63"/>
    </row>
    <row r="61" spans="1:9" x14ac:dyDescent="0.25">
      <c r="A61" s="64" t="s">
        <v>416</v>
      </c>
      <c r="B61" s="63" t="s">
        <v>433</v>
      </c>
      <c r="C61" s="63"/>
      <c r="D61" s="63"/>
      <c r="E61" s="63"/>
      <c r="F61" s="63"/>
      <c r="G61" s="63"/>
      <c r="H61" s="63"/>
      <c r="I61" s="63"/>
    </row>
    <row r="62" spans="1:9" x14ac:dyDescent="0.25">
      <c r="A62" s="64" t="s">
        <v>414</v>
      </c>
      <c r="B62" s="63">
        <v>1</v>
      </c>
      <c r="C62" s="63"/>
      <c r="D62" s="63"/>
      <c r="E62" s="63"/>
      <c r="F62" s="63"/>
      <c r="G62" s="63"/>
      <c r="H62" s="63"/>
      <c r="I62" s="63"/>
    </row>
    <row r="63" spans="1:9" x14ac:dyDescent="0.25">
      <c r="A63" s="64" t="s">
        <v>418</v>
      </c>
      <c r="B63" s="63" t="s">
        <v>432</v>
      </c>
      <c r="C63" s="63"/>
      <c r="D63" s="63"/>
      <c r="E63" s="63"/>
      <c r="F63" s="63"/>
      <c r="G63" s="63"/>
      <c r="H63" s="63"/>
      <c r="I63" s="63"/>
    </row>
    <row r="64" spans="1:9" x14ac:dyDescent="0.25">
      <c r="A64" s="64" t="s">
        <v>420</v>
      </c>
      <c r="B64" s="398" t="s">
        <v>1258</v>
      </c>
      <c r="C64" s="63"/>
      <c r="D64" s="63"/>
      <c r="E64" s="63"/>
      <c r="F64" s="63"/>
      <c r="G64" s="63"/>
      <c r="H64" s="63"/>
      <c r="I64" s="63"/>
    </row>
    <row r="65" spans="1:9" x14ac:dyDescent="0.25">
      <c r="A65" s="62" t="s">
        <v>421</v>
      </c>
      <c r="B65" s="63"/>
      <c r="C65" s="63"/>
      <c r="D65" s="63"/>
      <c r="E65" s="63"/>
      <c r="F65" s="63"/>
      <c r="G65" s="63"/>
      <c r="H65" s="63"/>
      <c r="I65" s="63"/>
    </row>
    <row r="66" spans="1:9" x14ac:dyDescent="0.25">
      <c r="A66" s="62" t="s">
        <v>422</v>
      </c>
      <c r="B66" s="62" t="s">
        <v>415</v>
      </c>
      <c r="C66" s="62" t="s">
        <v>416</v>
      </c>
      <c r="D66" s="62" t="s">
        <v>423</v>
      </c>
      <c r="E66" s="62" t="s">
        <v>418</v>
      </c>
      <c r="F66" s="62" t="s">
        <v>439</v>
      </c>
      <c r="G66" s="62" t="s">
        <v>425</v>
      </c>
      <c r="H66" s="62" t="s">
        <v>424</v>
      </c>
      <c r="I66" s="62" t="s">
        <v>420</v>
      </c>
    </row>
    <row r="67" spans="1:9" x14ac:dyDescent="0.25">
      <c r="A67" s="348" t="str">
        <f>B59</f>
        <v>domestic electricity production, Switzerland, 2040, BAU scenario</v>
      </c>
      <c r="B67" s="348" t="str">
        <f>B60</f>
        <v>electricity, high voltage</v>
      </c>
      <c r="C67" s="348" t="str">
        <f>B61</f>
        <v>kilowatt hour</v>
      </c>
      <c r="D67" s="63">
        <f>B62</f>
        <v>1</v>
      </c>
      <c r="E67" s="63" t="str">
        <f>B63</f>
        <v>CH</v>
      </c>
      <c r="F67" s="63" t="str">
        <f>$B$1</f>
        <v>CH_electricity</v>
      </c>
      <c r="G67" s="63" t="s">
        <v>427</v>
      </c>
      <c r="H67" s="63"/>
      <c r="I67" s="63"/>
    </row>
    <row r="68" spans="1:9" x14ac:dyDescent="0.25">
      <c r="A68" s="348" t="str">
        <f>Electricity_mixes!S328</f>
        <v>heat and power co-generation, natural gas, combined cycle power plant, 400MW electrical</v>
      </c>
      <c r="B68" s="348" t="str">
        <f>Electricity_mixes!T328</f>
        <v>electricity, high voltage</v>
      </c>
      <c r="C68" s="348" t="s">
        <v>433</v>
      </c>
      <c r="D68" s="396">
        <f>Electricity_mixes!K328</f>
        <v>0.10761747364103476</v>
      </c>
      <c r="E68" s="348" t="s">
        <v>1256</v>
      </c>
      <c r="F68" s="348" t="str">
        <f t="shared" ref="F68:F84" si="2">premise_BAU_2035</f>
        <v>ei_cutoff_3.10_remind_SSP2-Base_2040 2024-12-02</v>
      </c>
      <c r="G68" s="397" t="s">
        <v>429</v>
      </c>
      <c r="H68" s="348"/>
      <c r="I68" s="348"/>
    </row>
    <row r="69" spans="1:9" x14ac:dyDescent="0.25">
      <c r="A69" s="348" t="str">
        <f>Electricity_mixes!S329</f>
        <v>electricity production, at natural gas-fired combined cycle power plant, post, pipeline 200km, storage 1000m</v>
      </c>
      <c r="B69" s="348" t="str">
        <f>Electricity_mixes!T329</f>
        <v>electricity, high voltage</v>
      </c>
      <c r="C69" s="348" t="s">
        <v>433</v>
      </c>
      <c r="D69" s="396">
        <f>Electricity_mixes!K329</f>
        <v>0</v>
      </c>
      <c r="E69" s="348" t="s">
        <v>419</v>
      </c>
      <c r="F69" s="348" t="str">
        <f t="shared" si="2"/>
        <v>ei_cutoff_3.10_remind_SSP2-Base_2040 2024-12-02</v>
      </c>
      <c r="G69" s="397" t="s">
        <v>429</v>
      </c>
    </row>
    <row r="70" spans="1:9" x14ac:dyDescent="0.25">
      <c r="A70" s="348" t="str">
        <f>Electricity_mixes!S330</f>
        <v>electricity production, nuclear, pressure water reactor</v>
      </c>
      <c r="B70" s="348" t="str">
        <f>Electricity_mixes!T330</f>
        <v>electricity, high voltage</v>
      </c>
      <c r="C70" s="348" t="s">
        <v>433</v>
      </c>
      <c r="D70" s="396">
        <f>Electricity_mixes!K330*nuclear_pwr</f>
        <v>6.9297786154634097E-2</v>
      </c>
      <c r="E70" s="348" t="str">
        <f>Electricity_mixes!U331</f>
        <v>CH</v>
      </c>
      <c r="F70" s="348" t="str">
        <f t="shared" si="2"/>
        <v>ei_cutoff_3.10_remind_SSP2-Base_2040 2024-12-02</v>
      </c>
      <c r="G70" s="397" t="s">
        <v>429</v>
      </c>
    </row>
    <row r="71" spans="1:9" x14ac:dyDescent="0.25">
      <c r="A71" s="348" t="str">
        <f>Electricity_mixes!S331</f>
        <v>electricity production, nuclear, boiling water reactor</v>
      </c>
      <c r="B71" s="348" t="str">
        <f>Electricity_mixes!T331</f>
        <v>electricity, high voltage</v>
      </c>
      <c r="C71" s="348" t="s">
        <v>433</v>
      </c>
      <c r="D71" s="396">
        <f>Electricity_mixes!K330*nuclear_bwr</f>
        <v>4.9145998062493937E-2</v>
      </c>
      <c r="E71" s="348" t="str">
        <f>Electricity_mixes!U332</f>
        <v>CH</v>
      </c>
      <c r="F71" s="348" t="str">
        <f t="shared" si="2"/>
        <v>ei_cutoff_3.10_remind_SSP2-Base_2040 2024-12-02</v>
      </c>
      <c r="G71" s="397" t="s">
        <v>429</v>
      </c>
    </row>
    <row r="72" spans="1:9" x14ac:dyDescent="0.25">
      <c r="A72" s="348" t="str">
        <f>Electricity_mixes!S332</f>
        <v>heat and power co-generation, wood chips, 6667 kW, state-of-the-art 2014</v>
      </c>
      <c r="B72" s="348" t="str">
        <f>Electricity_mixes!T332</f>
        <v>electricity, high voltage</v>
      </c>
      <c r="C72" s="348" t="s">
        <v>433</v>
      </c>
      <c r="D72" s="396">
        <f>Electricity_mixes!K332</f>
        <v>8.7643022179030045E-3</v>
      </c>
      <c r="E72" s="348" t="s">
        <v>432</v>
      </c>
      <c r="F72" s="348" t="str">
        <f t="shared" si="2"/>
        <v>ei_cutoff_3.10_remind_SSP2-Base_2040 2024-12-02</v>
      </c>
      <c r="G72" s="397" t="s">
        <v>429</v>
      </c>
    </row>
    <row r="73" spans="1:9" x14ac:dyDescent="0.25">
      <c r="A73" s="348" t="str">
        <f>Electricity_mixes!S333</f>
        <v>electricity production, at co-generation wood-fired power plant, post, pipeline 200km, storage 1000m</v>
      </c>
      <c r="B73" s="348" t="str">
        <f>Electricity_mixes!T333</f>
        <v>electricity, high voltage</v>
      </c>
      <c r="C73" s="348" t="s">
        <v>433</v>
      </c>
      <c r="D73" s="396">
        <f>Electricity_mixes!K333</f>
        <v>0</v>
      </c>
      <c r="E73" s="348" t="str">
        <f>Electricity_mixes!U334</f>
        <v>RER</v>
      </c>
      <c r="F73" s="348" t="str">
        <f t="shared" si="2"/>
        <v>ei_cutoff_3.10_remind_SSP2-Base_2040 2024-12-02</v>
      </c>
      <c r="G73" s="397" t="s">
        <v>429</v>
      </c>
    </row>
    <row r="74" spans="1:9" x14ac:dyDescent="0.25">
      <c r="A74" s="348" t="str">
        <f>Electricity_mixes!S334</f>
        <v>municipal waste incineration, at incineration plant, with wet air pollution control, with flue gas condensation, with electricity and heat recovery, energy allocation</v>
      </c>
      <c r="B74" s="348" t="str">
        <f>Electricity_mixes!T334</f>
        <v>electricity, medium voltage</v>
      </c>
      <c r="C74" s="348" t="s">
        <v>433</v>
      </c>
      <c r="D74" s="396">
        <f>Electricity_mixes!K334</f>
        <v>3.8887540953096968E-2</v>
      </c>
      <c r="E74" s="348" t="str">
        <f>Electricity_mixes!U335</f>
        <v>RER</v>
      </c>
      <c r="F74" s="348" t="str">
        <f t="shared" si="2"/>
        <v>ei_cutoff_3.10_remind_SSP2-Base_2040 2024-12-02</v>
      </c>
      <c r="G74" s="397" t="s">
        <v>429</v>
      </c>
    </row>
    <row r="75" spans="1:9" x14ac:dyDescent="0.25">
      <c r="A75" s="348" t="str">
        <f>Electricity_mixes!S335</f>
        <v>municipal waste incineration, at incineration plant, with wet air pollution control, with flue gas condensation, with electricity and optimized heat recovery, with carbon capture and storage, energy allocation</v>
      </c>
      <c r="B75" s="348" t="str">
        <f>Electricity_mixes!T335</f>
        <v>electricity, medium voltage</v>
      </c>
      <c r="C75" s="348" t="s">
        <v>433</v>
      </c>
      <c r="D75" s="396">
        <f>Electricity_mixes!K335</f>
        <v>0</v>
      </c>
      <c r="E75" s="348" t="s">
        <v>419</v>
      </c>
      <c r="F75" s="348" t="str">
        <f t="shared" si="2"/>
        <v>ei_cutoff_3.10_remind_SSP2-Base_2040 2024-12-02</v>
      </c>
      <c r="G75" s="397" t="s">
        <v>429</v>
      </c>
    </row>
    <row r="76" spans="1:9" x14ac:dyDescent="0.25">
      <c r="A76" s="348" t="str">
        <f>Electricity_mixes!S336</f>
        <v>heat and power co-generation, biogas, gas engine</v>
      </c>
      <c r="B76" s="348" t="str">
        <f>Electricity_mixes!T336</f>
        <v>electricity, high voltage</v>
      </c>
      <c r="C76" s="348" t="s">
        <v>433</v>
      </c>
      <c r="D76" s="396">
        <f>Electricity_mixes!K336</f>
        <v>1.8790883052967732E-3</v>
      </c>
      <c r="E76" s="348" t="s">
        <v>432</v>
      </c>
      <c r="F76" s="348" t="str">
        <f t="shared" si="2"/>
        <v>ei_cutoff_3.10_remind_SSP2-Base_2040 2024-12-02</v>
      </c>
      <c r="G76" s="397" t="s">
        <v>429</v>
      </c>
    </row>
    <row r="77" spans="1:9" x14ac:dyDescent="0.25">
      <c r="A77" s="348" t="str">
        <f>Electricity_mixes!S337</f>
        <v>electricity production, hydro, reservoir, alpine region</v>
      </c>
      <c r="B77" s="348" t="str">
        <f>Electricity_mixes!T337</f>
        <v>electricity, high voltage</v>
      </c>
      <c r="C77" s="348" t="s">
        <v>433</v>
      </c>
      <c r="D77" s="396">
        <f>Electricity_mixes!K337*hydro_reservoir</f>
        <v>0.31941436811209495</v>
      </c>
      <c r="E77" s="348" t="s">
        <v>432</v>
      </c>
      <c r="F77" s="348" t="str">
        <f t="shared" si="2"/>
        <v>ei_cutoff_3.10_remind_SSP2-Base_2040 2024-12-02</v>
      </c>
      <c r="G77" s="397" t="s">
        <v>429</v>
      </c>
    </row>
    <row r="78" spans="1:9" x14ac:dyDescent="0.25">
      <c r="A78" s="348" t="str">
        <f>Electricity_mixes!S338</f>
        <v>electricity production, hydro, run-of-river</v>
      </c>
      <c r="B78" s="348" t="str">
        <f>Electricity_mixes!T338</f>
        <v>electricity, high voltage</v>
      </c>
      <c r="C78" s="348" t="s">
        <v>433</v>
      </c>
      <c r="D78" s="396">
        <f>Electricity_mixes!K337*hydro_run</f>
        <v>0.23989337080375511</v>
      </c>
      <c r="E78" s="348" t="s">
        <v>432</v>
      </c>
      <c r="F78" s="348" t="str">
        <f t="shared" si="2"/>
        <v>ei_cutoff_3.10_remind_SSP2-Base_2040 2024-12-02</v>
      </c>
      <c r="G78" s="397" t="s">
        <v>429</v>
      </c>
    </row>
    <row r="79" spans="1:9" x14ac:dyDescent="0.25">
      <c r="A79" s="348" t="str">
        <f>Electricity_mixes!S339</f>
        <v>electricity production, photovoltaic, 3kWp slanted-roof installation, multi-Si, panel, mounted</v>
      </c>
      <c r="B79" s="348" t="str">
        <f>Electricity_mixes!T339</f>
        <v>electricity, low voltage</v>
      </c>
      <c r="C79" s="348" t="s">
        <v>433</v>
      </c>
      <c r="D79" s="396">
        <f>Electricity_mixes!K339*pv_roof</f>
        <v>9.933278621047785E-2</v>
      </c>
      <c r="E79" s="348" t="s">
        <v>432</v>
      </c>
      <c r="F79" s="348" t="str">
        <f t="shared" si="2"/>
        <v>ei_cutoff_3.10_remind_SSP2-Base_2040 2024-12-02</v>
      </c>
      <c r="G79" s="397" t="s">
        <v>429</v>
      </c>
    </row>
    <row r="80" spans="1:9" x14ac:dyDescent="0.25">
      <c r="A80" s="348" t="str">
        <f>Electricity_mixes!S340</f>
        <v>electricity production, photovoltaic, 570kWp open ground installation, multi-Si</v>
      </c>
      <c r="B80" s="348" t="str">
        <f>Electricity_mixes!T340</f>
        <v>electricity, low voltage</v>
      </c>
      <c r="C80" s="348" t="s">
        <v>433</v>
      </c>
      <c r="D80" s="396">
        <f>Electricity_mixes!K339*pv_open</f>
        <v>1.103697624560865E-2</v>
      </c>
      <c r="E80" s="348" t="s">
        <v>841</v>
      </c>
      <c r="F80" s="348" t="str">
        <f t="shared" si="2"/>
        <v>ei_cutoff_3.10_remind_SSP2-Base_2040 2024-12-02</v>
      </c>
      <c r="G80" s="397" t="s">
        <v>429</v>
      </c>
    </row>
    <row r="81" spans="1:9" x14ac:dyDescent="0.25">
      <c r="A81" s="348" t="str">
        <f>Electricity_mixes!S341</f>
        <v>electricity production, wind, &gt;3MW turbine, onshore</v>
      </c>
      <c r="B81" s="348" t="str">
        <f>Electricity_mixes!T341</f>
        <v>electricity, high voltage</v>
      </c>
      <c r="C81" s="348" t="s">
        <v>433</v>
      </c>
      <c r="D81" s="396">
        <f>Electricity_mixes!K341</f>
        <v>1.7962144322949218E-3</v>
      </c>
      <c r="E81" s="348" t="s">
        <v>432</v>
      </c>
      <c r="F81" s="348" t="str">
        <f t="shared" si="2"/>
        <v>ei_cutoff_3.10_remind_SSP2-Base_2040 2024-12-02</v>
      </c>
      <c r="G81" s="397" t="s">
        <v>429</v>
      </c>
    </row>
    <row r="82" spans="1:9" x14ac:dyDescent="0.25">
      <c r="A82" s="348" t="str">
        <f>Electricity_mixes!S343</f>
        <v>electricity production, from hydrogen-fired one gigawatt gas turbine</v>
      </c>
      <c r="B82" s="348" t="str">
        <f>Electricity_mixes!T343</f>
        <v>electricity, high voltage</v>
      </c>
      <c r="C82" s="348" t="s">
        <v>433</v>
      </c>
      <c r="D82" s="396">
        <f>Electricity_mixes!K343</f>
        <v>3.8694217652048878E-7</v>
      </c>
      <c r="E82" s="348" t="s">
        <v>419</v>
      </c>
      <c r="F82" s="348" t="str">
        <f t="shared" si="2"/>
        <v>ei_cutoff_3.10_remind_SSP2-Base_2040 2024-12-02</v>
      </c>
      <c r="G82" s="397" t="s">
        <v>429</v>
      </c>
    </row>
    <row r="83" spans="1:9" x14ac:dyDescent="0.25">
      <c r="A83" s="348" t="str">
        <f>Electricity_mixes!S344</f>
        <v>electricity production, hydro, pumped storage</v>
      </c>
      <c r="B83" s="348" t="str">
        <f>Electricity_mixes!T344</f>
        <v>electricity, high voltage</v>
      </c>
      <c r="C83" s="348" t="s">
        <v>433</v>
      </c>
      <c r="D83" s="396">
        <f>Electricity_mixes!K344</f>
        <v>5.2691961436384348E-2</v>
      </c>
      <c r="E83" s="348" t="s">
        <v>432</v>
      </c>
      <c r="F83" s="348" t="str">
        <f t="shared" si="2"/>
        <v>ei_cutoff_3.10_remind_SSP2-Base_2040 2024-12-02</v>
      </c>
      <c r="G83" s="397" t="s">
        <v>429</v>
      </c>
    </row>
    <row r="84" spans="1:9" x14ac:dyDescent="0.25">
      <c r="A84" s="348" t="str">
        <f>Electricity_mixes!S345</f>
        <v>market for electricity, medium voltage, for LiS battery</v>
      </c>
      <c r="B84" s="348" t="str">
        <f>Electricity_mixes!T345</f>
        <v>electricity, medium voltage</v>
      </c>
      <c r="C84" s="348" t="s">
        <v>433</v>
      </c>
      <c r="D84" s="396">
        <f>Electricity_mixes!K345</f>
        <v>2.4163872918986449E-4</v>
      </c>
      <c r="E84" s="348" t="s">
        <v>1190</v>
      </c>
      <c r="F84" s="348" t="str">
        <f t="shared" si="2"/>
        <v>ei_cutoff_3.10_remind_SSP2-Base_2040 2024-12-02</v>
      </c>
      <c r="G84" s="397" t="s">
        <v>429</v>
      </c>
    </row>
    <row r="87" spans="1:9" x14ac:dyDescent="0.25">
      <c r="A87" s="335" t="s">
        <v>413</v>
      </c>
      <c r="B87" s="362" t="str">
        <f>Electricity_mixes!L348</f>
        <v>domestic electricity production, Switzerland, 2050, BAU scenario</v>
      </c>
      <c r="C87" s="362"/>
      <c r="D87" s="362"/>
      <c r="E87" s="362"/>
      <c r="F87" s="362"/>
      <c r="G87" s="362"/>
      <c r="H87" s="362"/>
      <c r="I87" s="362"/>
    </row>
    <row r="88" spans="1:9" x14ac:dyDescent="0.25">
      <c r="A88" s="64" t="s">
        <v>415</v>
      </c>
      <c r="B88" s="63" t="s">
        <v>431</v>
      </c>
      <c r="C88" s="63"/>
      <c r="D88" s="63"/>
      <c r="E88" s="63"/>
      <c r="F88" s="63"/>
      <c r="G88" s="63"/>
      <c r="H88" s="63"/>
      <c r="I88" s="63"/>
    </row>
    <row r="89" spans="1:9" x14ac:dyDescent="0.25">
      <c r="A89" s="64" t="s">
        <v>416</v>
      </c>
      <c r="B89" s="63" t="s">
        <v>433</v>
      </c>
      <c r="C89" s="63"/>
      <c r="D89" s="63"/>
      <c r="E89" s="63"/>
      <c r="F89" s="63"/>
      <c r="G89" s="63"/>
      <c r="H89" s="63"/>
      <c r="I89" s="63"/>
    </row>
    <row r="90" spans="1:9" x14ac:dyDescent="0.25">
      <c r="A90" s="64" t="s">
        <v>414</v>
      </c>
      <c r="B90" s="63">
        <v>1</v>
      </c>
      <c r="C90" s="63"/>
      <c r="D90" s="63"/>
      <c r="E90" s="63"/>
      <c r="F90" s="63"/>
      <c r="G90" s="63"/>
      <c r="H90" s="63"/>
      <c r="I90" s="63"/>
    </row>
    <row r="91" spans="1:9" x14ac:dyDescent="0.25">
      <c r="A91" s="64" t="s">
        <v>418</v>
      </c>
      <c r="B91" s="63" t="s">
        <v>432</v>
      </c>
      <c r="C91" s="63"/>
      <c r="D91" s="63"/>
      <c r="E91" s="63"/>
      <c r="F91" s="63"/>
      <c r="G91" s="63"/>
      <c r="H91" s="63"/>
      <c r="I91" s="63"/>
    </row>
    <row r="92" spans="1:9" x14ac:dyDescent="0.25">
      <c r="A92" s="64" t="s">
        <v>420</v>
      </c>
      <c r="B92" s="398" t="s">
        <v>1258</v>
      </c>
      <c r="C92" s="63"/>
      <c r="D92" s="63"/>
      <c r="E92" s="63"/>
      <c r="F92" s="63"/>
      <c r="G92" s="63"/>
      <c r="H92" s="63"/>
      <c r="I92" s="63"/>
    </row>
    <row r="93" spans="1:9" x14ac:dyDescent="0.25">
      <c r="A93" s="62" t="s">
        <v>421</v>
      </c>
      <c r="B93" s="63"/>
      <c r="C93" s="63"/>
      <c r="D93" s="63"/>
      <c r="E93" s="63"/>
      <c r="F93" s="63"/>
      <c r="G93" s="63"/>
      <c r="H93" s="63"/>
      <c r="I93" s="63"/>
    </row>
    <row r="94" spans="1:9" x14ac:dyDescent="0.25">
      <c r="A94" s="62" t="s">
        <v>422</v>
      </c>
      <c r="B94" s="62" t="s">
        <v>415</v>
      </c>
      <c r="C94" s="62" t="s">
        <v>416</v>
      </c>
      <c r="D94" s="62" t="s">
        <v>423</v>
      </c>
      <c r="E94" s="62" t="s">
        <v>418</v>
      </c>
      <c r="F94" s="62" t="s">
        <v>439</v>
      </c>
      <c r="G94" s="62" t="s">
        <v>425</v>
      </c>
      <c r="H94" s="62" t="s">
        <v>424</v>
      </c>
      <c r="I94" s="62" t="s">
        <v>420</v>
      </c>
    </row>
    <row r="95" spans="1:9" x14ac:dyDescent="0.25">
      <c r="A95" s="348" t="str">
        <f>B87</f>
        <v>domestic electricity production, Switzerland, 2050, BAU scenario</v>
      </c>
      <c r="B95" s="348" t="str">
        <f>B88</f>
        <v>electricity, high voltage</v>
      </c>
      <c r="C95" s="348" t="str">
        <f>B89</f>
        <v>kilowatt hour</v>
      </c>
      <c r="D95" s="63">
        <f>B90</f>
        <v>1</v>
      </c>
      <c r="E95" s="63" t="str">
        <f>B91</f>
        <v>CH</v>
      </c>
      <c r="F95" s="63" t="str">
        <f>$B$1</f>
        <v>CH_electricity</v>
      </c>
      <c r="G95" s="63" t="s">
        <v>427</v>
      </c>
      <c r="H95" s="63"/>
      <c r="I95" s="63"/>
    </row>
    <row r="96" spans="1:9" x14ac:dyDescent="0.25">
      <c r="A96" s="348" t="str">
        <f>Electricity_mixes!S328</f>
        <v>heat and power co-generation, natural gas, combined cycle power plant, 400MW electrical</v>
      </c>
      <c r="B96" s="348" t="str">
        <f>Electricity_mixes!T328</f>
        <v>electricity, high voltage</v>
      </c>
      <c r="C96" s="348" t="s">
        <v>433</v>
      </c>
      <c r="D96" s="396">
        <f>Electricity_mixes!L328</f>
        <v>0.14861599299379566</v>
      </c>
      <c r="E96" s="348" t="s">
        <v>1256</v>
      </c>
      <c r="F96" s="348" t="str">
        <f t="shared" ref="F96:F112" si="3">premise_BAU_2050</f>
        <v>ei_cutoff_3.10_remind_SSP2-Base_2050 2024-11-21</v>
      </c>
      <c r="G96" s="397" t="s">
        <v>429</v>
      </c>
      <c r="H96" s="348"/>
      <c r="I96" s="348"/>
    </row>
    <row r="97" spans="1:7" x14ac:dyDescent="0.25">
      <c r="A97" s="348" t="str">
        <f>Electricity_mixes!S329</f>
        <v>electricity production, at natural gas-fired combined cycle power plant, post, pipeline 200km, storage 1000m</v>
      </c>
      <c r="B97" s="348" t="str">
        <f>Electricity_mixes!T329</f>
        <v>electricity, high voltage</v>
      </c>
      <c r="C97" s="348" t="s">
        <v>433</v>
      </c>
      <c r="D97" s="396">
        <f>Electricity_mixes!L329</f>
        <v>0</v>
      </c>
      <c r="E97" s="348" t="s">
        <v>419</v>
      </c>
      <c r="F97" s="348" t="str">
        <f t="shared" si="3"/>
        <v>ei_cutoff_3.10_remind_SSP2-Base_2050 2024-11-21</v>
      </c>
      <c r="G97" s="397" t="s">
        <v>429</v>
      </c>
    </row>
    <row r="98" spans="1:7" x14ac:dyDescent="0.25">
      <c r="A98" s="348" t="str">
        <f>Electricity_mixes!S330</f>
        <v>electricity production, nuclear, pressure water reactor</v>
      </c>
      <c r="B98" s="348" t="str">
        <f>Electricity_mixes!T330</f>
        <v>electricity, high voltage</v>
      </c>
      <c r="C98" s="348" t="s">
        <v>433</v>
      </c>
      <c r="D98" s="396">
        <f>Electricity_mixes!L330*nuclear_pwr</f>
        <v>0</v>
      </c>
      <c r="E98" s="348" t="str">
        <f>Electricity_mixes!U331</f>
        <v>CH</v>
      </c>
      <c r="F98" s="348" t="str">
        <f t="shared" si="3"/>
        <v>ei_cutoff_3.10_remind_SSP2-Base_2050 2024-11-21</v>
      </c>
      <c r="G98" s="397" t="s">
        <v>429</v>
      </c>
    </row>
    <row r="99" spans="1:7" x14ac:dyDescent="0.25">
      <c r="A99" s="348" t="str">
        <f>Electricity_mixes!S331</f>
        <v>electricity production, nuclear, boiling water reactor</v>
      </c>
      <c r="B99" s="348" t="str">
        <f>Electricity_mixes!T331</f>
        <v>electricity, high voltage</v>
      </c>
      <c r="C99" s="348" t="s">
        <v>433</v>
      </c>
      <c r="D99" s="396">
        <f>Electricity_mixes!L330*nuclear_bwr</f>
        <v>0</v>
      </c>
      <c r="E99" s="348" t="str">
        <f>Electricity_mixes!U332</f>
        <v>CH</v>
      </c>
      <c r="F99" s="348" t="str">
        <f t="shared" si="3"/>
        <v>ei_cutoff_3.10_remind_SSP2-Base_2050 2024-11-21</v>
      </c>
      <c r="G99" s="397" t="s">
        <v>429</v>
      </c>
    </row>
    <row r="100" spans="1:7" x14ac:dyDescent="0.25">
      <c r="A100" s="348" t="str">
        <f>Electricity_mixes!S332</f>
        <v>heat and power co-generation, wood chips, 6667 kW, state-of-the-art 2014</v>
      </c>
      <c r="B100" s="348" t="str">
        <f>Electricity_mixes!T332</f>
        <v>electricity, high voltage</v>
      </c>
      <c r="C100" s="348" t="s">
        <v>433</v>
      </c>
      <c r="D100" s="396">
        <f>Electricity_mixes!L332</f>
        <v>8.6654770178275411E-3</v>
      </c>
      <c r="E100" s="348" t="s">
        <v>432</v>
      </c>
      <c r="F100" s="348" t="str">
        <f t="shared" si="3"/>
        <v>ei_cutoff_3.10_remind_SSP2-Base_2050 2024-11-21</v>
      </c>
      <c r="G100" s="397" t="s">
        <v>429</v>
      </c>
    </row>
    <row r="101" spans="1:7" x14ac:dyDescent="0.25">
      <c r="A101" s="348" t="str">
        <f>Electricity_mixes!S333</f>
        <v>electricity production, at co-generation wood-fired power plant, post, pipeline 200km, storage 1000m</v>
      </c>
      <c r="B101" s="348" t="str">
        <f>Electricity_mixes!T333</f>
        <v>electricity, high voltage</v>
      </c>
      <c r="C101" s="348" t="s">
        <v>433</v>
      </c>
      <c r="D101" s="396">
        <f>Electricity_mixes!L333</f>
        <v>0</v>
      </c>
      <c r="E101" s="348" t="str">
        <f>Electricity_mixes!U334</f>
        <v>RER</v>
      </c>
      <c r="F101" s="348" t="str">
        <f t="shared" si="3"/>
        <v>ei_cutoff_3.10_remind_SSP2-Base_2050 2024-11-21</v>
      </c>
      <c r="G101" s="397" t="s">
        <v>429</v>
      </c>
    </row>
    <row r="102" spans="1:7" x14ac:dyDescent="0.25">
      <c r="A102" s="348" t="str">
        <f>Electricity_mixes!S334</f>
        <v>municipal waste incineration, at incineration plant, with wet air pollution control, with flue gas condensation, with electricity and heat recovery, energy allocation</v>
      </c>
      <c r="B102" s="348" t="str">
        <f>Electricity_mixes!T334</f>
        <v>electricity, medium voltage</v>
      </c>
      <c r="C102" s="348" t="s">
        <v>433</v>
      </c>
      <c r="D102" s="396">
        <f>Electricity_mixes!L334</f>
        <v>3.9144439852629373E-2</v>
      </c>
      <c r="E102" s="348" t="str">
        <f>Electricity_mixes!U335</f>
        <v>RER</v>
      </c>
      <c r="F102" s="348" t="str">
        <f t="shared" si="3"/>
        <v>ei_cutoff_3.10_remind_SSP2-Base_2050 2024-11-21</v>
      </c>
      <c r="G102" s="397" t="s">
        <v>429</v>
      </c>
    </row>
    <row r="103" spans="1:7" x14ac:dyDescent="0.25">
      <c r="A103" s="348" t="str">
        <f>Electricity_mixes!S335</f>
        <v>municipal waste incineration, at incineration plant, with wet air pollution control, with flue gas condensation, with electricity and optimized heat recovery, with carbon capture and storage, energy allocation</v>
      </c>
      <c r="B103" s="348" t="str">
        <f>Electricity_mixes!T335</f>
        <v>electricity, medium voltage</v>
      </c>
      <c r="C103" s="348" t="s">
        <v>433</v>
      </c>
      <c r="D103" s="396">
        <f>Electricity_mixes!L335</f>
        <v>0</v>
      </c>
      <c r="E103" s="348" t="s">
        <v>419</v>
      </c>
      <c r="F103" s="348" t="str">
        <f t="shared" si="3"/>
        <v>ei_cutoff_3.10_remind_SSP2-Base_2050 2024-11-21</v>
      </c>
      <c r="G103" s="397" t="s">
        <v>429</v>
      </c>
    </row>
    <row r="104" spans="1:7" x14ac:dyDescent="0.25">
      <c r="A104" s="348" t="str">
        <f>Electricity_mixes!S336</f>
        <v>heat and power co-generation, biogas, gas engine</v>
      </c>
      <c r="B104" s="348" t="str">
        <f>Electricity_mixes!T336</f>
        <v>electricity, high voltage</v>
      </c>
      <c r="C104" s="348" t="s">
        <v>433</v>
      </c>
      <c r="D104" s="396">
        <f>Electricity_mixes!L336</f>
        <v>1.8578956170030607E-3</v>
      </c>
      <c r="E104" s="348" t="s">
        <v>432</v>
      </c>
      <c r="F104" s="348" t="str">
        <f t="shared" si="3"/>
        <v>ei_cutoff_3.10_remind_SSP2-Base_2050 2024-11-21</v>
      </c>
      <c r="G104" s="397" t="s">
        <v>429</v>
      </c>
    </row>
    <row r="105" spans="1:7" x14ac:dyDescent="0.25">
      <c r="A105" s="348" t="str">
        <f>Electricity_mixes!S337</f>
        <v>electricity production, hydro, reservoir, alpine region</v>
      </c>
      <c r="B105" s="348" t="str">
        <f>Electricity_mixes!T337</f>
        <v>electricity, high voltage</v>
      </c>
      <c r="C105" s="348" t="s">
        <v>433</v>
      </c>
      <c r="D105" s="396">
        <f>Electricity_mixes!L337*hydro_reservoir</f>
        <v>0.32316267429408035</v>
      </c>
      <c r="E105" s="348" t="s">
        <v>432</v>
      </c>
      <c r="F105" s="348" t="str">
        <f t="shared" si="3"/>
        <v>ei_cutoff_3.10_remind_SSP2-Base_2050 2024-11-21</v>
      </c>
      <c r="G105" s="397" t="s">
        <v>429</v>
      </c>
    </row>
    <row r="106" spans="1:7" x14ac:dyDescent="0.25">
      <c r="A106" s="348" t="str">
        <f>Electricity_mixes!S338</f>
        <v>electricity production, hydro, run-of-river</v>
      </c>
      <c r="B106" s="348" t="str">
        <f>Electricity_mixes!T338</f>
        <v>electricity, high voltage</v>
      </c>
      <c r="C106" s="348" t="s">
        <v>433</v>
      </c>
      <c r="D106" s="396">
        <f>Electricity_mixes!L337*hydro_run</f>
        <v>0.24270850341696765</v>
      </c>
      <c r="E106" s="348" t="s">
        <v>432</v>
      </c>
      <c r="F106" s="348" t="str">
        <f t="shared" si="3"/>
        <v>ei_cutoff_3.10_remind_SSP2-Base_2050 2024-11-21</v>
      </c>
      <c r="G106" s="397" t="s">
        <v>429</v>
      </c>
    </row>
    <row r="107" spans="1:7" x14ac:dyDescent="0.25">
      <c r="A107" s="348" t="str">
        <f>Electricity_mixes!S339</f>
        <v>electricity production, photovoltaic, 3kWp slanted-roof installation, multi-Si, panel, mounted</v>
      </c>
      <c r="B107" s="348" t="str">
        <f>Electricity_mixes!T339</f>
        <v>electricity, low voltage</v>
      </c>
      <c r="C107" s="348" t="s">
        <v>433</v>
      </c>
      <c r="D107" s="396">
        <f>Electricity_mixes!L339*pv_roof</f>
        <v>0.1599778357717451</v>
      </c>
      <c r="E107" s="348" t="s">
        <v>432</v>
      </c>
      <c r="F107" s="348" t="str">
        <f t="shared" si="3"/>
        <v>ei_cutoff_3.10_remind_SSP2-Base_2050 2024-11-21</v>
      </c>
      <c r="G107" s="397" t="s">
        <v>429</v>
      </c>
    </row>
    <row r="108" spans="1:7" x14ac:dyDescent="0.25">
      <c r="A108" s="348" t="str">
        <f>Electricity_mixes!S340</f>
        <v>electricity production, photovoltaic, 570kWp open ground installation, multi-Si</v>
      </c>
      <c r="B108" s="348" t="str">
        <f>Electricity_mixes!T340</f>
        <v>electricity, low voltage</v>
      </c>
      <c r="C108" s="348" t="s">
        <v>433</v>
      </c>
      <c r="D108" s="396">
        <f>Electricity_mixes!L339*pv_open</f>
        <v>1.7775315085749456E-2</v>
      </c>
      <c r="E108" s="348" t="s">
        <v>841</v>
      </c>
      <c r="F108" s="348" t="str">
        <f t="shared" si="3"/>
        <v>ei_cutoff_3.10_remind_SSP2-Base_2050 2024-11-21</v>
      </c>
      <c r="G108" s="397" t="s">
        <v>429</v>
      </c>
    </row>
    <row r="109" spans="1:7" x14ac:dyDescent="0.25">
      <c r="A109" s="348" t="str">
        <f>Electricity_mixes!S341</f>
        <v>electricity production, wind, &gt;3MW turbine, onshore</v>
      </c>
      <c r="B109" s="348" t="str">
        <f>Electricity_mixes!T341</f>
        <v>electricity, high voltage</v>
      </c>
      <c r="C109" s="348" t="s">
        <v>433</v>
      </c>
      <c r="D109" s="396">
        <f>Electricity_mixes!L341</f>
        <v>2.8928458022003611E-3</v>
      </c>
      <c r="E109" s="348" t="s">
        <v>432</v>
      </c>
      <c r="F109" s="348" t="str">
        <f t="shared" si="3"/>
        <v>ei_cutoff_3.10_remind_SSP2-Base_2050 2024-11-21</v>
      </c>
      <c r="G109" s="397" t="s">
        <v>429</v>
      </c>
    </row>
    <row r="110" spans="1:7" x14ac:dyDescent="0.25">
      <c r="A110" s="348" t="str">
        <f>Electricity_mixes!S343</f>
        <v>electricity production, from hydrogen-fired one gigawatt gas turbine</v>
      </c>
      <c r="B110" s="348" t="str">
        <f>Electricity_mixes!T343</f>
        <v>electricity, high voltage</v>
      </c>
      <c r="C110" s="348" t="s">
        <v>433</v>
      </c>
      <c r="D110" s="396">
        <f>Electricity_mixes!L343</f>
        <v>4.0062535163876086E-7</v>
      </c>
      <c r="E110" s="348" t="s">
        <v>419</v>
      </c>
      <c r="F110" s="348" t="str">
        <f t="shared" si="3"/>
        <v>ei_cutoff_3.10_remind_SSP2-Base_2050 2024-11-21</v>
      </c>
      <c r="G110" s="397" t="s">
        <v>429</v>
      </c>
    </row>
    <row r="111" spans="1:7" x14ac:dyDescent="0.25">
      <c r="A111" s="348" t="str">
        <f>Electricity_mixes!S344</f>
        <v>electricity production, hydro, pumped storage</v>
      </c>
      <c r="B111" s="348" t="str">
        <f>Electricity_mixes!T344</f>
        <v>electricity, high voltage</v>
      </c>
      <c r="C111" s="348" t="s">
        <v>433</v>
      </c>
      <c r="D111" s="396">
        <f>Electricity_mixes!L344</f>
        <v>5.2875116619992786E-2</v>
      </c>
      <c r="E111" s="348" t="s">
        <v>432</v>
      </c>
      <c r="F111" s="348" t="str">
        <f t="shared" si="3"/>
        <v>ei_cutoff_3.10_remind_SSP2-Base_2050 2024-11-21</v>
      </c>
      <c r="G111" s="397" t="s">
        <v>429</v>
      </c>
    </row>
    <row r="112" spans="1:7" x14ac:dyDescent="0.25">
      <c r="A112" s="348" t="str">
        <f>Electricity_mixes!S345</f>
        <v>market for electricity, medium voltage, for LiS battery</v>
      </c>
      <c r="B112" s="348" t="str">
        <f>Electricity_mixes!T345</f>
        <v>electricity, medium voltage</v>
      </c>
      <c r="C112" s="348" t="s">
        <v>433</v>
      </c>
      <c r="D112" s="396">
        <f>Electricity_mixes!L345</f>
        <v>2.3234048039938817E-3</v>
      </c>
      <c r="E112" s="348" t="s">
        <v>1190</v>
      </c>
      <c r="F112" s="348" t="str">
        <f t="shared" si="3"/>
        <v>ei_cutoff_3.10_remind_SSP2-Base_2050 2024-11-21</v>
      </c>
      <c r="G112" s="397" t="s">
        <v>429</v>
      </c>
    </row>
    <row r="115" spans="1:9" x14ac:dyDescent="0.25">
      <c r="A115" s="335" t="s">
        <v>413</v>
      </c>
      <c r="B115" s="362" t="str">
        <f>Electricity_mixes!M348</f>
        <v>domestic electricity production, Switzerland, 2030, INNOV scenario</v>
      </c>
      <c r="C115" s="362"/>
      <c r="D115" s="362"/>
      <c r="E115" s="362"/>
      <c r="F115" s="362"/>
      <c r="G115" s="362"/>
      <c r="H115" s="362"/>
      <c r="I115" s="362"/>
    </row>
    <row r="116" spans="1:9" x14ac:dyDescent="0.25">
      <c r="A116" s="64" t="s">
        <v>415</v>
      </c>
      <c r="B116" s="63" t="s">
        <v>431</v>
      </c>
      <c r="C116" s="63"/>
      <c r="D116" s="63"/>
      <c r="E116" s="63"/>
      <c r="F116" s="63"/>
      <c r="G116" s="63"/>
      <c r="H116" s="63"/>
      <c r="I116" s="63"/>
    </row>
    <row r="117" spans="1:9" x14ac:dyDescent="0.25">
      <c r="A117" s="64" t="s">
        <v>416</v>
      </c>
      <c r="B117" s="63" t="s">
        <v>433</v>
      </c>
      <c r="C117" s="63"/>
      <c r="D117" s="63"/>
      <c r="E117" s="63"/>
      <c r="F117" s="63"/>
      <c r="G117" s="63"/>
      <c r="H117" s="63"/>
      <c r="I117" s="63"/>
    </row>
    <row r="118" spans="1:9" x14ac:dyDescent="0.25">
      <c r="A118" s="64" t="s">
        <v>414</v>
      </c>
      <c r="B118" s="63">
        <v>1</v>
      </c>
      <c r="C118" s="63"/>
      <c r="D118" s="63"/>
      <c r="E118" s="63"/>
      <c r="F118" s="63"/>
      <c r="G118" s="63"/>
      <c r="H118" s="63"/>
      <c r="I118" s="63"/>
    </row>
    <row r="119" spans="1:9" x14ac:dyDescent="0.25">
      <c r="A119" s="64" t="s">
        <v>418</v>
      </c>
      <c r="B119" s="63" t="s">
        <v>432</v>
      </c>
      <c r="C119" s="63"/>
      <c r="D119" s="63"/>
      <c r="E119" s="63"/>
      <c r="F119" s="63"/>
      <c r="G119" s="63"/>
      <c r="H119" s="63"/>
      <c r="I119" s="63"/>
    </row>
    <row r="120" spans="1:9" x14ac:dyDescent="0.25">
      <c r="A120" s="64" t="s">
        <v>420</v>
      </c>
      <c r="B120" s="398" t="s">
        <v>1258</v>
      </c>
      <c r="C120" s="63"/>
      <c r="D120" s="63"/>
      <c r="E120" s="63"/>
      <c r="F120" s="63"/>
      <c r="G120" s="63"/>
      <c r="H120" s="63"/>
      <c r="I120" s="63"/>
    </row>
    <row r="121" spans="1:9" x14ac:dyDescent="0.25">
      <c r="A121" s="62" t="s">
        <v>421</v>
      </c>
      <c r="B121" s="63"/>
      <c r="C121" s="63"/>
      <c r="D121" s="63"/>
      <c r="E121" s="63"/>
      <c r="F121" s="63"/>
      <c r="G121" s="63"/>
      <c r="H121" s="63"/>
      <c r="I121" s="63"/>
    </row>
    <row r="122" spans="1:9" x14ac:dyDescent="0.25">
      <c r="A122" s="62" t="s">
        <v>422</v>
      </c>
      <c r="B122" s="62" t="s">
        <v>415</v>
      </c>
      <c r="C122" s="62" t="s">
        <v>416</v>
      </c>
      <c r="D122" s="62" t="s">
        <v>423</v>
      </c>
      <c r="E122" s="62" t="s">
        <v>418</v>
      </c>
      <c r="F122" s="62" t="s">
        <v>439</v>
      </c>
      <c r="G122" s="62" t="s">
        <v>425</v>
      </c>
      <c r="H122" s="62" t="s">
        <v>424</v>
      </c>
      <c r="I122" s="62" t="s">
        <v>420</v>
      </c>
    </row>
    <row r="123" spans="1:9" x14ac:dyDescent="0.25">
      <c r="A123" s="348" t="str">
        <f>B115</f>
        <v>domestic electricity production, Switzerland, 2030, INNOV scenario</v>
      </c>
      <c r="B123" s="348" t="str">
        <f>B116</f>
        <v>electricity, high voltage</v>
      </c>
      <c r="C123" s="348" t="str">
        <f>B117</f>
        <v>kilowatt hour</v>
      </c>
      <c r="D123" s="63">
        <f>B118</f>
        <v>1</v>
      </c>
      <c r="E123" s="63" t="str">
        <f>B119</f>
        <v>CH</v>
      </c>
      <c r="F123" s="63" t="str">
        <f>$B$1</f>
        <v>CH_electricity</v>
      </c>
      <c r="G123" s="63" t="s">
        <v>427</v>
      </c>
      <c r="H123" s="63"/>
      <c r="I123" s="63"/>
    </row>
    <row r="124" spans="1:9" x14ac:dyDescent="0.25">
      <c r="A124" s="348" t="str">
        <f>Electricity_mixes!S328</f>
        <v>heat and power co-generation, natural gas, combined cycle power plant, 400MW electrical</v>
      </c>
      <c r="B124" s="348" t="str">
        <f>Electricity_mixes!T328</f>
        <v>electricity, high voltage</v>
      </c>
      <c r="C124" s="348" t="s">
        <v>433</v>
      </c>
      <c r="D124" s="396">
        <f>Electricity_mixes!M328</f>
        <v>2.0901871814776454E-2</v>
      </c>
      <c r="E124" s="348" t="s">
        <v>1256</v>
      </c>
      <c r="F124" s="348" t="str">
        <f t="shared" ref="F124:F140" si="4">premise_1150_2035</f>
        <v>ei_cutoff_3.10_remind_SSP2-PkBudg1150_2040 2024-12-02</v>
      </c>
      <c r="G124" s="397" t="s">
        <v>429</v>
      </c>
      <c r="H124" s="348"/>
      <c r="I124" s="348"/>
    </row>
    <row r="125" spans="1:9" x14ac:dyDescent="0.25">
      <c r="A125" s="348" t="str">
        <f>Electricity_mixes!S329</f>
        <v>electricity production, at natural gas-fired combined cycle power plant, post, pipeline 200km, storage 1000m</v>
      </c>
      <c r="B125" s="348" t="str">
        <f>Electricity_mixes!T329</f>
        <v>electricity, high voltage</v>
      </c>
      <c r="C125" s="348" t="s">
        <v>433</v>
      </c>
      <c r="D125" s="396">
        <f>Electricity_mixes!M329</f>
        <v>0</v>
      </c>
      <c r="E125" s="348" t="s">
        <v>419</v>
      </c>
      <c r="F125" s="348" t="str">
        <f t="shared" si="4"/>
        <v>ei_cutoff_3.10_remind_SSP2-PkBudg1150_2040 2024-12-02</v>
      </c>
      <c r="G125" s="397" t="s">
        <v>429</v>
      </c>
    </row>
    <row r="126" spans="1:9" x14ac:dyDescent="0.25">
      <c r="A126" s="348" t="str">
        <f>Electricity_mixes!S330</f>
        <v>electricity production, nuclear, pressure water reactor</v>
      </c>
      <c r="B126" s="348" t="str">
        <f>Electricity_mixes!T330</f>
        <v>electricity, high voltage</v>
      </c>
      <c r="C126" s="348" t="s">
        <v>433</v>
      </c>
      <c r="D126" s="396">
        <f>Electricity_mixes!M330*nuclear_pwr</f>
        <v>0.14863931511779724</v>
      </c>
      <c r="E126" s="348" t="str">
        <f>Electricity_mixes!U331</f>
        <v>CH</v>
      </c>
      <c r="F126" s="348" t="str">
        <f t="shared" si="4"/>
        <v>ei_cutoff_3.10_remind_SSP2-PkBudg1150_2040 2024-12-02</v>
      </c>
      <c r="G126" s="397" t="s">
        <v>429</v>
      </c>
    </row>
    <row r="127" spans="1:9" x14ac:dyDescent="0.25">
      <c r="A127" s="348" t="str">
        <f>Electricity_mixes!S331</f>
        <v>electricity production, nuclear, boiling water reactor</v>
      </c>
      <c r="B127" s="348" t="str">
        <f>Electricity_mixes!T331</f>
        <v>electricity, high voltage</v>
      </c>
      <c r="C127" s="348" t="s">
        <v>433</v>
      </c>
      <c r="D127" s="396">
        <f>Electricity_mixes!M330*nuclear_bwr</f>
        <v>0.10541501970191273</v>
      </c>
      <c r="E127" s="348" t="str">
        <f>Electricity_mixes!U332</f>
        <v>CH</v>
      </c>
      <c r="F127" s="348" t="str">
        <f t="shared" si="4"/>
        <v>ei_cutoff_3.10_remind_SSP2-PkBudg1150_2040 2024-12-02</v>
      </c>
      <c r="G127" s="397" t="s">
        <v>429</v>
      </c>
    </row>
    <row r="128" spans="1:9" x14ac:dyDescent="0.25">
      <c r="A128" s="348" t="str">
        <f>Electricity_mixes!S332</f>
        <v>heat and power co-generation, wood chips, 6667 kW, state-of-the-art 2014</v>
      </c>
      <c r="B128" s="348" t="str">
        <f>Electricity_mixes!T332</f>
        <v>electricity, high voltage</v>
      </c>
      <c r="C128" s="348" t="s">
        <v>433</v>
      </c>
      <c r="D128" s="396">
        <f>Electricity_mixes!M332</f>
        <v>1.1790008699272709E-2</v>
      </c>
      <c r="E128" s="348" t="s">
        <v>432</v>
      </c>
      <c r="F128" s="348" t="str">
        <f t="shared" si="4"/>
        <v>ei_cutoff_3.10_remind_SSP2-PkBudg1150_2040 2024-12-02</v>
      </c>
      <c r="G128" s="397" t="s">
        <v>429</v>
      </c>
    </row>
    <row r="129" spans="1:9" x14ac:dyDescent="0.25">
      <c r="A129" s="348" t="str">
        <f>Electricity_mixes!S333</f>
        <v>electricity production, at co-generation wood-fired power plant, post, pipeline 200km, storage 1000m</v>
      </c>
      <c r="B129" s="348" t="str">
        <f>Electricity_mixes!T333</f>
        <v>electricity, high voltage</v>
      </c>
      <c r="C129" s="348" t="s">
        <v>433</v>
      </c>
      <c r="D129" s="396">
        <f>Electricity_mixes!M333</f>
        <v>0</v>
      </c>
      <c r="E129" s="348" t="str">
        <f>Electricity_mixes!U334</f>
        <v>RER</v>
      </c>
      <c r="F129" s="348" t="str">
        <f t="shared" si="4"/>
        <v>ei_cutoff_3.10_remind_SSP2-PkBudg1150_2040 2024-12-02</v>
      </c>
      <c r="G129" s="397" t="s">
        <v>429</v>
      </c>
    </row>
    <row r="130" spans="1:9" x14ac:dyDescent="0.25">
      <c r="A130" s="348" t="str">
        <f>Electricity_mixes!S334</f>
        <v>municipal waste incineration, at incineration plant, with wet air pollution control, with flue gas condensation, with electricity and heat recovery, energy allocation</v>
      </c>
      <c r="B130" s="348" t="str">
        <f>Electricity_mixes!T334</f>
        <v>electricity, medium voltage</v>
      </c>
      <c r="C130" s="348" t="s">
        <v>433</v>
      </c>
      <c r="D130" s="396">
        <f>Electricity_mixes!M334</f>
        <v>3.3948614618239087E-2</v>
      </c>
      <c r="E130" s="348" t="str">
        <f>Electricity_mixes!U335</f>
        <v>RER</v>
      </c>
      <c r="F130" s="348" t="str">
        <f t="shared" si="4"/>
        <v>ei_cutoff_3.10_remind_SSP2-PkBudg1150_2040 2024-12-02</v>
      </c>
      <c r="G130" s="397" t="s">
        <v>429</v>
      </c>
    </row>
    <row r="131" spans="1:9" x14ac:dyDescent="0.25">
      <c r="A131" s="348" t="str">
        <f>Electricity_mixes!S335</f>
        <v>municipal waste incineration, at incineration plant, with wet air pollution control, with flue gas condensation, with electricity and optimized heat recovery, with carbon capture and storage, energy allocation</v>
      </c>
      <c r="B131" s="348" t="str">
        <f>Electricity_mixes!T335</f>
        <v>electricity, medium voltage</v>
      </c>
      <c r="C131" s="348" t="s">
        <v>433</v>
      </c>
      <c r="D131" s="396">
        <f>Electricity_mixes!M335</f>
        <v>0</v>
      </c>
      <c r="E131" s="348" t="s">
        <v>419</v>
      </c>
      <c r="F131" s="348" t="str">
        <f t="shared" si="4"/>
        <v>ei_cutoff_3.10_remind_SSP2-PkBudg1150_2040 2024-12-02</v>
      </c>
      <c r="G131" s="397" t="s">
        <v>429</v>
      </c>
    </row>
    <row r="132" spans="1:9" x14ac:dyDescent="0.25">
      <c r="A132" s="348" t="str">
        <f>Electricity_mixes!S336</f>
        <v>heat and power co-generation, biogas, gas engine</v>
      </c>
      <c r="B132" s="348" t="str">
        <f>Electricity_mixes!T336</f>
        <v>electricity, high voltage</v>
      </c>
      <c r="C132" s="348" t="s">
        <v>433</v>
      </c>
      <c r="D132" s="396">
        <f>Electricity_mixes!M336</f>
        <v>1.8363027518817658E-3</v>
      </c>
      <c r="E132" s="348" t="s">
        <v>432</v>
      </c>
      <c r="F132" s="348" t="str">
        <f t="shared" si="4"/>
        <v>ei_cutoff_3.10_remind_SSP2-PkBudg1150_2040 2024-12-02</v>
      </c>
      <c r="G132" s="397" t="s">
        <v>429</v>
      </c>
    </row>
    <row r="133" spans="1:9" x14ac:dyDescent="0.25">
      <c r="A133" s="348" t="str">
        <f>Electricity_mixes!S337</f>
        <v>electricity production, hydro, reservoir, alpine region</v>
      </c>
      <c r="B133" s="348" t="str">
        <f>Electricity_mixes!T337</f>
        <v>electricity, high voltage</v>
      </c>
      <c r="C133" s="348" t="s">
        <v>433</v>
      </c>
      <c r="D133" s="396">
        <f>Electricity_mixes!M337*hydro_reservoir</f>
        <v>0.28823614497530875</v>
      </c>
      <c r="E133" s="348" t="s">
        <v>432</v>
      </c>
      <c r="F133" s="348" t="str">
        <f t="shared" si="4"/>
        <v>ei_cutoff_3.10_remind_SSP2-PkBudg1150_2040 2024-12-02</v>
      </c>
      <c r="G133" s="397" t="s">
        <v>429</v>
      </c>
    </row>
    <row r="134" spans="1:9" x14ac:dyDescent="0.25">
      <c r="A134" s="348" t="str">
        <f>Electricity_mixes!S338</f>
        <v>electricity production, hydro, run-of-river</v>
      </c>
      <c r="B134" s="348" t="str">
        <f>Electricity_mixes!T338</f>
        <v>electricity, high voltage</v>
      </c>
      <c r="C134" s="348" t="s">
        <v>433</v>
      </c>
      <c r="D134" s="396">
        <f>Electricity_mixes!M337*hydro_run</f>
        <v>0.21647723868620916</v>
      </c>
      <c r="E134" s="348" t="s">
        <v>432</v>
      </c>
      <c r="F134" s="348" t="str">
        <f t="shared" si="4"/>
        <v>ei_cutoff_3.10_remind_SSP2-PkBudg1150_2040 2024-12-02</v>
      </c>
      <c r="G134" s="397" t="s">
        <v>429</v>
      </c>
    </row>
    <row r="135" spans="1:9" x14ac:dyDescent="0.25">
      <c r="A135" s="348" t="str">
        <f>Electricity_mixes!S339</f>
        <v>electricity production, photovoltaic, 3kWp slanted-roof installation, multi-Si, panel, mounted</v>
      </c>
      <c r="B135" s="348" t="str">
        <f>Electricity_mixes!T339</f>
        <v>electricity, low voltage</v>
      </c>
      <c r="C135" s="348" t="s">
        <v>433</v>
      </c>
      <c r="D135" s="396">
        <f>Electricity_mixes!M339*pv_roof</f>
        <v>0.1021137740561826</v>
      </c>
      <c r="E135" s="348" t="s">
        <v>432</v>
      </c>
      <c r="F135" s="348" t="str">
        <f t="shared" si="4"/>
        <v>ei_cutoff_3.10_remind_SSP2-PkBudg1150_2040 2024-12-02</v>
      </c>
      <c r="G135" s="397" t="s">
        <v>429</v>
      </c>
    </row>
    <row r="136" spans="1:9" x14ac:dyDescent="0.25">
      <c r="A136" s="348" t="str">
        <f>Electricity_mixes!S340</f>
        <v>electricity production, photovoltaic, 570kWp open ground installation, multi-Si</v>
      </c>
      <c r="B136" s="348" t="str">
        <f>Electricity_mixes!T340</f>
        <v>electricity, low voltage</v>
      </c>
      <c r="C136" s="348" t="s">
        <v>433</v>
      </c>
      <c r="D136" s="396">
        <f>Electricity_mixes!M339*pv_open</f>
        <v>1.1345974895131401E-2</v>
      </c>
      <c r="E136" s="348" t="s">
        <v>841</v>
      </c>
      <c r="F136" s="348" t="str">
        <f t="shared" si="4"/>
        <v>ei_cutoff_3.10_remind_SSP2-PkBudg1150_2040 2024-12-02</v>
      </c>
      <c r="G136" s="397" t="s">
        <v>429</v>
      </c>
    </row>
    <row r="137" spans="1:9" x14ac:dyDescent="0.25">
      <c r="A137" s="348" t="str">
        <f>Electricity_mixes!S341</f>
        <v>electricity production, wind, &gt;3MW turbine, onshore</v>
      </c>
      <c r="B137" s="348" t="str">
        <f>Electricity_mixes!T341</f>
        <v>electricity, high voltage</v>
      </c>
      <c r="C137" s="348" t="s">
        <v>433</v>
      </c>
      <c r="D137" s="396">
        <f>Electricity_mixes!M341</f>
        <v>9.9342274527649318E-4</v>
      </c>
      <c r="E137" s="348" t="s">
        <v>432</v>
      </c>
      <c r="F137" s="348" t="str">
        <f t="shared" si="4"/>
        <v>ei_cutoff_3.10_remind_SSP2-PkBudg1150_2040 2024-12-02</v>
      </c>
      <c r="G137" s="397" t="s">
        <v>429</v>
      </c>
    </row>
    <row r="138" spans="1:9" x14ac:dyDescent="0.25">
      <c r="A138" s="348" t="str">
        <f>Electricity_mixes!S343</f>
        <v>electricity production, from hydrogen-fired one gigawatt gas turbine</v>
      </c>
      <c r="B138" s="348" t="str">
        <f>Electricity_mixes!T343</f>
        <v>electricity, high voltage</v>
      </c>
      <c r="C138" s="348" t="s">
        <v>433</v>
      </c>
      <c r="D138" s="396">
        <f>Electricity_mixes!M343</f>
        <v>1.1390854231177175E-2</v>
      </c>
      <c r="E138" s="348" t="s">
        <v>419</v>
      </c>
      <c r="F138" s="348" t="str">
        <f t="shared" si="4"/>
        <v>ei_cutoff_3.10_remind_SSP2-PkBudg1150_2040 2024-12-02</v>
      </c>
      <c r="G138" s="397" t="s">
        <v>429</v>
      </c>
    </row>
    <row r="139" spans="1:9" x14ac:dyDescent="0.25">
      <c r="A139" s="348" t="str">
        <f>Electricity_mixes!S344</f>
        <v>electricity production, hydro, pumped storage</v>
      </c>
      <c r="B139" s="348" t="str">
        <f>Electricity_mixes!T344</f>
        <v>electricity, high voltage</v>
      </c>
      <c r="C139" s="348" t="s">
        <v>433</v>
      </c>
      <c r="D139" s="396">
        <f>Electricity_mixes!M344</f>
        <v>4.672976491263716E-2</v>
      </c>
      <c r="E139" s="348" t="s">
        <v>432</v>
      </c>
      <c r="F139" s="348" t="str">
        <f t="shared" si="4"/>
        <v>ei_cutoff_3.10_remind_SSP2-PkBudg1150_2040 2024-12-02</v>
      </c>
      <c r="G139" s="397" t="s">
        <v>429</v>
      </c>
    </row>
    <row r="140" spans="1:9" x14ac:dyDescent="0.25">
      <c r="A140" s="348" t="str">
        <f>Electricity_mixes!S345</f>
        <v>market for electricity, medium voltage, for LiS battery</v>
      </c>
      <c r="B140" s="348" t="str">
        <f>Electricity_mixes!T345</f>
        <v>electricity, medium voltage</v>
      </c>
      <c r="C140" s="348" t="s">
        <v>433</v>
      </c>
      <c r="D140" s="396">
        <f>Electricity_mixes!M345</f>
        <v>1.8169279419726235E-4</v>
      </c>
      <c r="E140" s="348" t="s">
        <v>1190</v>
      </c>
      <c r="F140" s="348" t="str">
        <f t="shared" si="4"/>
        <v>ei_cutoff_3.10_remind_SSP2-PkBudg1150_2040 2024-12-02</v>
      </c>
      <c r="G140" s="397" t="s">
        <v>429</v>
      </c>
    </row>
    <row r="143" spans="1:9" x14ac:dyDescent="0.25">
      <c r="A143" s="335" t="s">
        <v>413</v>
      </c>
      <c r="B143" s="362" t="str">
        <f>Electricity_mixes!N348</f>
        <v>domestic electricity production, Switzerland, 2040, INNOV scenario</v>
      </c>
      <c r="C143" s="362"/>
      <c r="D143" s="362"/>
      <c r="E143" s="362"/>
      <c r="F143" s="362"/>
      <c r="G143" s="362"/>
      <c r="H143" s="362"/>
      <c r="I143" s="362"/>
    </row>
    <row r="144" spans="1:9" x14ac:dyDescent="0.25">
      <c r="A144" s="64" t="s">
        <v>415</v>
      </c>
      <c r="B144" s="63" t="s">
        <v>431</v>
      </c>
      <c r="C144" s="63"/>
      <c r="D144" s="63"/>
      <c r="E144" s="63"/>
      <c r="F144" s="63"/>
      <c r="G144" s="63"/>
      <c r="H144" s="63"/>
      <c r="I144" s="63"/>
    </row>
    <row r="145" spans="1:9" x14ac:dyDescent="0.25">
      <c r="A145" s="64" t="s">
        <v>416</v>
      </c>
      <c r="B145" s="63" t="s">
        <v>433</v>
      </c>
      <c r="C145" s="63"/>
      <c r="D145" s="63"/>
      <c r="E145" s="63"/>
      <c r="F145" s="63"/>
      <c r="G145" s="63"/>
      <c r="H145" s="63"/>
      <c r="I145" s="63"/>
    </row>
    <row r="146" spans="1:9" x14ac:dyDescent="0.25">
      <c r="A146" s="64" t="s">
        <v>414</v>
      </c>
      <c r="B146" s="63">
        <v>1</v>
      </c>
      <c r="C146" s="63"/>
      <c r="D146" s="63"/>
      <c r="E146" s="63"/>
      <c r="F146" s="63"/>
      <c r="G146" s="63"/>
      <c r="H146" s="63"/>
      <c r="I146" s="63"/>
    </row>
    <row r="147" spans="1:9" x14ac:dyDescent="0.25">
      <c r="A147" s="64" t="s">
        <v>418</v>
      </c>
      <c r="B147" s="63" t="s">
        <v>432</v>
      </c>
      <c r="C147" s="63"/>
      <c r="D147" s="63"/>
      <c r="E147" s="63"/>
      <c r="F147" s="63"/>
      <c r="G147" s="63"/>
      <c r="H147" s="63"/>
      <c r="I147" s="63"/>
    </row>
    <row r="148" spans="1:9" x14ac:dyDescent="0.25">
      <c r="A148" s="64" t="s">
        <v>420</v>
      </c>
      <c r="B148" s="398" t="s">
        <v>1258</v>
      </c>
      <c r="C148" s="63"/>
      <c r="D148" s="63"/>
      <c r="E148" s="63"/>
      <c r="F148" s="63"/>
      <c r="G148" s="63"/>
      <c r="H148" s="63"/>
      <c r="I148" s="63"/>
    </row>
    <row r="149" spans="1:9" x14ac:dyDescent="0.25">
      <c r="A149" s="62" t="s">
        <v>421</v>
      </c>
      <c r="B149" s="63"/>
      <c r="C149" s="63"/>
      <c r="D149" s="63"/>
      <c r="E149" s="63"/>
      <c r="F149" s="63"/>
      <c r="G149" s="63"/>
      <c r="H149" s="63"/>
      <c r="I149" s="63"/>
    </row>
    <row r="150" spans="1:9" x14ac:dyDescent="0.25">
      <c r="A150" s="62" t="s">
        <v>422</v>
      </c>
      <c r="B150" s="62" t="s">
        <v>415</v>
      </c>
      <c r="C150" s="62" t="s">
        <v>416</v>
      </c>
      <c r="D150" s="62" t="s">
        <v>423</v>
      </c>
      <c r="E150" s="62" t="s">
        <v>418</v>
      </c>
      <c r="F150" s="62" t="s">
        <v>439</v>
      </c>
      <c r="G150" s="62" t="s">
        <v>425</v>
      </c>
      <c r="H150" s="62" t="s">
        <v>424</v>
      </c>
      <c r="I150" s="62" t="s">
        <v>420</v>
      </c>
    </row>
    <row r="151" spans="1:9" x14ac:dyDescent="0.25">
      <c r="A151" s="348" t="str">
        <f>B143</f>
        <v>domestic electricity production, Switzerland, 2040, INNOV scenario</v>
      </c>
      <c r="B151" s="348" t="str">
        <f>B144</f>
        <v>electricity, high voltage</v>
      </c>
      <c r="C151" s="348" t="str">
        <f>B145</f>
        <v>kilowatt hour</v>
      </c>
      <c r="D151" s="63">
        <f>B146</f>
        <v>1</v>
      </c>
      <c r="E151" s="63" t="str">
        <f>B147</f>
        <v>CH</v>
      </c>
      <c r="F151" s="63" t="str">
        <f>$B$1</f>
        <v>CH_electricity</v>
      </c>
      <c r="G151" s="63" t="s">
        <v>427</v>
      </c>
      <c r="H151" s="63"/>
      <c r="I151" s="63"/>
    </row>
    <row r="152" spans="1:9" x14ac:dyDescent="0.25">
      <c r="A152" s="348" t="str">
        <f>Electricity_mixes!S328</f>
        <v>heat and power co-generation, natural gas, combined cycle power plant, 400MW electrical</v>
      </c>
      <c r="B152" s="348" t="str">
        <f>Electricity_mixes!T328</f>
        <v>electricity, high voltage</v>
      </c>
      <c r="C152" s="348" t="s">
        <v>433</v>
      </c>
      <c r="D152" s="396">
        <f>Electricity_mixes!N328</f>
        <v>2.4713448412165228E-2</v>
      </c>
      <c r="E152" s="348" t="s">
        <v>1256</v>
      </c>
      <c r="F152" s="348" t="str">
        <f t="shared" ref="F152:F168" si="5">premise_1150_2035</f>
        <v>ei_cutoff_3.10_remind_SSP2-PkBudg1150_2040 2024-12-02</v>
      </c>
      <c r="G152" s="397" t="s">
        <v>429</v>
      </c>
      <c r="H152" s="348"/>
      <c r="I152" s="348"/>
    </row>
    <row r="153" spans="1:9" x14ac:dyDescent="0.25">
      <c r="A153" s="348" t="str">
        <f>Electricity_mixes!S329</f>
        <v>electricity production, at natural gas-fired combined cycle power plant, post, pipeline 200km, storage 1000m</v>
      </c>
      <c r="B153" s="348" t="str">
        <f>Electricity_mixes!T329</f>
        <v>electricity, high voltage</v>
      </c>
      <c r="C153" s="348" t="s">
        <v>433</v>
      </c>
      <c r="D153" s="396">
        <f>Electricity_mixes!N329</f>
        <v>6.3861379282221051E-3</v>
      </c>
      <c r="E153" s="348" t="s">
        <v>419</v>
      </c>
      <c r="F153" s="348" t="str">
        <f t="shared" si="5"/>
        <v>ei_cutoff_3.10_remind_SSP2-PkBudg1150_2040 2024-12-02</v>
      </c>
      <c r="G153" s="397" t="s">
        <v>429</v>
      </c>
    </row>
    <row r="154" spans="1:9" x14ac:dyDescent="0.25">
      <c r="A154" s="348" t="str">
        <f>Electricity_mixes!S330</f>
        <v>electricity production, nuclear, pressure water reactor</v>
      </c>
      <c r="B154" s="348" t="str">
        <f>Electricity_mixes!T330</f>
        <v>electricity, high voltage</v>
      </c>
      <c r="C154" s="348" t="s">
        <v>433</v>
      </c>
      <c r="D154" s="396">
        <f>Electricity_mixes!N330*nuclear_pwr</f>
        <v>6.0759909464940628E-2</v>
      </c>
      <c r="E154" s="348" t="str">
        <f>Electricity_mixes!U331</f>
        <v>CH</v>
      </c>
      <c r="F154" s="348" t="str">
        <f t="shared" si="5"/>
        <v>ei_cutoff_3.10_remind_SSP2-PkBudg1150_2040 2024-12-02</v>
      </c>
      <c r="G154" s="397" t="s">
        <v>429</v>
      </c>
    </row>
    <row r="155" spans="1:9" x14ac:dyDescent="0.25">
      <c r="A155" s="348" t="str">
        <f>Electricity_mixes!S331</f>
        <v>electricity production, nuclear, boiling water reactor</v>
      </c>
      <c r="B155" s="348" t="str">
        <f>Electricity_mixes!T331</f>
        <v>electricity, high voltage</v>
      </c>
      <c r="C155" s="348" t="s">
        <v>433</v>
      </c>
      <c r="D155" s="396">
        <f>Electricity_mixes!N330*nuclear_bwr</f>
        <v>4.3090934913533191E-2</v>
      </c>
      <c r="E155" s="348" t="str">
        <f>Electricity_mixes!U332</f>
        <v>CH</v>
      </c>
      <c r="F155" s="348" t="str">
        <f t="shared" si="5"/>
        <v>ei_cutoff_3.10_remind_SSP2-PkBudg1150_2040 2024-12-02</v>
      </c>
      <c r="G155" s="397" t="s">
        <v>429</v>
      </c>
    </row>
    <row r="156" spans="1:9" x14ac:dyDescent="0.25">
      <c r="A156" s="348" t="str">
        <f>Electricity_mixes!S332</f>
        <v>heat and power co-generation, wood chips, 6667 kW, state-of-the-art 2014</v>
      </c>
      <c r="B156" s="348" t="str">
        <f>Electricity_mixes!T332</f>
        <v>electricity, high voltage</v>
      </c>
      <c r="C156" s="348" t="s">
        <v>433</v>
      </c>
      <c r="D156" s="396">
        <f>Electricity_mixes!N332</f>
        <v>1.5760910628851491E-2</v>
      </c>
      <c r="E156" s="348" t="s">
        <v>432</v>
      </c>
      <c r="F156" s="348" t="str">
        <f t="shared" si="5"/>
        <v>ei_cutoff_3.10_remind_SSP2-PkBudg1150_2040 2024-12-02</v>
      </c>
      <c r="G156" s="397" t="s">
        <v>429</v>
      </c>
    </row>
    <row r="157" spans="1:9" x14ac:dyDescent="0.25">
      <c r="A157" s="348" t="str">
        <f>Electricity_mixes!S333</f>
        <v>electricity production, at co-generation wood-fired power plant, post, pipeline 200km, storage 1000m</v>
      </c>
      <c r="B157" s="348" t="str">
        <f>Electricity_mixes!T333</f>
        <v>electricity, high voltage</v>
      </c>
      <c r="C157" s="348" t="s">
        <v>433</v>
      </c>
      <c r="D157" s="396">
        <f>Electricity_mixes!N333</f>
        <v>2.5626144815642699E-4</v>
      </c>
      <c r="E157" s="348" t="str">
        <f>Electricity_mixes!U334</f>
        <v>RER</v>
      </c>
      <c r="F157" s="348" t="str">
        <f t="shared" si="5"/>
        <v>ei_cutoff_3.10_remind_SSP2-PkBudg1150_2040 2024-12-02</v>
      </c>
      <c r="G157" s="397" t="s">
        <v>429</v>
      </c>
    </row>
    <row r="158" spans="1:9" x14ac:dyDescent="0.25">
      <c r="A158" s="348" t="str">
        <f>Electricity_mixes!S334</f>
        <v>municipal waste incineration, at incineration plant, with wet air pollution control, with flue gas condensation, with electricity and heat recovery, energy allocation</v>
      </c>
      <c r="B158" s="348" t="str">
        <f>Electricity_mixes!T334</f>
        <v>electricity, medium voltage</v>
      </c>
      <c r="C158" s="348" t="s">
        <v>433</v>
      </c>
      <c r="D158" s="396">
        <f>Electricity_mixes!N334</f>
        <v>2.7764519487952766E-2</v>
      </c>
      <c r="E158" s="348" t="str">
        <f>Electricity_mixes!U335</f>
        <v>RER</v>
      </c>
      <c r="F158" s="348" t="str">
        <f t="shared" si="5"/>
        <v>ei_cutoff_3.10_remind_SSP2-PkBudg1150_2040 2024-12-02</v>
      </c>
      <c r="G158" s="397" t="s">
        <v>429</v>
      </c>
    </row>
    <row r="159" spans="1:9" x14ac:dyDescent="0.25">
      <c r="A159" s="348" t="str">
        <f>Electricity_mixes!S335</f>
        <v>municipal waste incineration, at incineration plant, with wet air pollution control, with flue gas condensation, with electricity and optimized heat recovery, with carbon capture and storage, energy allocation</v>
      </c>
      <c r="B159" s="348" t="str">
        <f>Electricity_mixes!T335</f>
        <v>electricity, medium voltage</v>
      </c>
      <c r="C159" s="348" t="s">
        <v>433</v>
      </c>
      <c r="D159" s="396">
        <f>Electricity_mixes!N335</f>
        <v>6.0153016389720235E-3</v>
      </c>
      <c r="E159" s="348" t="s">
        <v>419</v>
      </c>
      <c r="F159" s="348" t="str">
        <f t="shared" si="5"/>
        <v>ei_cutoff_3.10_remind_SSP2-PkBudg1150_2040 2024-12-02</v>
      </c>
      <c r="G159" s="397" t="s">
        <v>429</v>
      </c>
    </row>
    <row r="160" spans="1:9" x14ac:dyDescent="0.25">
      <c r="A160" s="348" t="str">
        <f>Electricity_mixes!S336</f>
        <v>heat and power co-generation, biogas, gas engine</v>
      </c>
      <c r="B160" s="348" t="str">
        <f>Electricity_mixes!T336</f>
        <v>electricity, high voltage</v>
      </c>
      <c r="C160" s="348" t="s">
        <v>433</v>
      </c>
      <c r="D160" s="396">
        <f>Electricity_mixes!N336</f>
        <v>7.0810574170792721E-3</v>
      </c>
      <c r="E160" s="348" t="s">
        <v>432</v>
      </c>
      <c r="F160" s="348" t="str">
        <f t="shared" si="5"/>
        <v>ei_cutoff_3.10_remind_SSP2-PkBudg1150_2040 2024-12-02</v>
      </c>
      <c r="G160" s="397" t="s">
        <v>429</v>
      </c>
    </row>
    <row r="161" spans="1:9" x14ac:dyDescent="0.25">
      <c r="A161" s="348" t="str">
        <f>Electricity_mixes!S337</f>
        <v>electricity production, hydro, reservoir, alpine region</v>
      </c>
      <c r="B161" s="348" t="str">
        <f>Electricity_mixes!T337</f>
        <v>electricity, high voltage</v>
      </c>
      <c r="C161" s="348" t="s">
        <v>433</v>
      </c>
      <c r="D161" s="396">
        <f>Electricity_mixes!N337*hydro_reservoir</f>
        <v>0.28657930959232258</v>
      </c>
      <c r="E161" s="348" t="s">
        <v>432</v>
      </c>
      <c r="F161" s="348" t="str">
        <f t="shared" si="5"/>
        <v>ei_cutoff_3.10_remind_SSP2-PkBudg1150_2040 2024-12-02</v>
      </c>
      <c r="G161" s="397" t="s">
        <v>429</v>
      </c>
    </row>
    <row r="162" spans="1:9" x14ac:dyDescent="0.25">
      <c r="A162" s="348" t="str">
        <f>Electricity_mixes!S338</f>
        <v>electricity production, hydro, run-of-river</v>
      </c>
      <c r="B162" s="348" t="str">
        <f>Electricity_mixes!T338</f>
        <v>electricity, high voltage</v>
      </c>
      <c r="C162" s="348" t="s">
        <v>433</v>
      </c>
      <c r="D162" s="396">
        <f>Electricity_mixes!N337*hydro_run</f>
        <v>0.21523288694573894</v>
      </c>
      <c r="E162" s="348" t="s">
        <v>432</v>
      </c>
      <c r="F162" s="348" t="str">
        <f t="shared" si="5"/>
        <v>ei_cutoff_3.10_remind_SSP2-PkBudg1150_2040 2024-12-02</v>
      </c>
      <c r="G162" s="397" t="s">
        <v>429</v>
      </c>
    </row>
    <row r="163" spans="1:9" x14ac:dyDescent="0.25">
      <c r="A163" s="348" t="str">
        <f>Electricity_mixes!S339</f>
        <v>electricity production, photovoltaic, 3kWp slanted-roof installation, multi-Si, panel, mounted</v>
      </c>
      <c r="B163" s="348" t="str">
        <f>Electricity_mixes!T339</f>
        <v>electricity, low voltage</v>
      </c>
      <c r="C163" s="348" t="s">
        <v>433</v>
      </c>
      <c r="D163" s="396">
        <f>Electricity_mixes!N339*pv_roof</f>
        <v>0.21426856894791096</v>
      </c>
      <c r="E163" s="348" t="s">
        <v>432</v>
      </c>
      <c r="F163" s="348" t="str">
        <f t="shared" si="5"/>
        <v>ei_cutoff_3.10_remind_SSP2-PkBudg1150_2040 2024-12-02</v>
      </c>
      <c r="G163" s="397" t="s">
        <v>429</v>
      </c>
    </row>
    <row r="164" spans="1:9" x14ac:dyDescent="0.25">
      <c r="A164" s="348" t="str">
        <f>Electricity_mixes!S340</f>
        <v>electricity production, photovoltaic, 570kWp open ground installation, multi-Si</v>
      </c>
      <c r="B164" s="348" t="str">
        <f>Electricity_mixes!T340</f>
        <v>electricity, low voltage</v>
      </c>
      <c r="C164" s="348" t="s">
        <v>433</v>
      </c>
      <c r="D164" s="396">
        <f>Electricity_mixes!N339*pv_open</f>
        <v>2.380761877199011E-2</v>
      </c>
      <c r="E164" s="348" t="s">
        <v>841</v>
      </c>
      <c r="F164" s="348" t="str">
        <f t="shared" si="5"/>
        <v>ei_cutoff_3.10_remind_SSP2-PkBudg1150_2040 2024-12-02</v>
      </c>
      <c r="G164" s="397" t="s">
        <v>429</v>
      </c>
    </row>
    <row r="165" spans="1:9" x14ac:dyDescent="0.25">
      <c r="A165" s="348" t="str">
        <f>Electricity_mixes!S341</f>
        <v>electricity production, wind, &gt;3MW turbine, onshore</v>
      </c>
      <c r="B165" s="348" t="str">
        <f>Electricity_mixes!T341</f>
        <v>electricity, high voltage</v>
      </c>
      <c r="C165" s="348" t="s">
        <v>433</v>
      </c>
      <c r="D165" s="396">
        <f>Electricity_mixes!N341</f>
        <v>1.6008923299807964E-3</v>
      </c>
      <c r="E165" s="348" t="s">
        <v>432</v>
      </c>
      <c r="F165" s="348" t="str">
        <f t="shared" si="5"/>
        <v>ei_cutoff_3.10_remind_SSP2-PkBudg1150_2040 2024-12-02</v>
      </c>
      <c r="G165" s="397" t="s">
        <v>429</v>
      </c>
    </row>
    <row r="166" spans="1:9" x14ac:dyDescent="0.25">
      <c r="A166" s="348" t="str">
        <f>Electricity_mixes!S343</f>
        <v>electricity production, from hydrogen-fired one gigawatt gas turbine</v>
      </c>
      <c r="B166" s="348" t="str">
        <f>Electricity_mixes!T343</f>
        <v>electricity, high voltage</v>
      </c>
      <c r="C166" s="348" t="s">
        <v>433</v>
      </c>
      <c r="D166" s="396">
        <f>Electricity_mixes!N343</f>
        <v>1.4022124501761471E-2</v>
      </c>
      <c r="E166" s="348" t="s">
        <v>419</v>
      </c>
      <c r="F166" s="348" t="str">
        <f t="shared" si="5"/>
        <v>ei_cutoff_3.10_remind_SSP2-PkBudg1150_2040 2024-12-02</v>
      </c>
      <c r="G166" s="397" t="s">
        <v>429</v>
      </c>
    </row>
    <row r="167" spans="1:9" x14ac:dyDescent="0.25">
      <c r="A167" s="348" t="str">
        <f>Electricity_mixes!S344</f>
        <v>electricity production, hydro, pumped storage</v>
      </c>
      <c r="B167" s="348" t="str">
        <f>Electricity_mixes!T344</f>
        <v>electricity, high voltage</v>
      </c>
      <c r="C167" s="348" t="s">
        <v>433</v>
      </c>
      <c r="D167" s="396">
        <f>Electricity_mixes!N344</f>
        <v>4.7396025571455336E-2</v>
      </c>
      <c r="E167" s="348" t="s">
        <v>432</v>
      </c>
      <c r="F167" s="348" t="str">
        <f t="shared" si="5"/>
        <v>ei_cutoff_3.10_remind_SSP2-PkBudg1150_2040 2024-12-02</v>
      </c>
      <c r="G167" s="397" t="s">
        <v>429</v>
      </c>
    </row>
    <row r="168" spans="1:9" x14ac:dyDescent="0.25">
      <c r="A168" s="348" t="str">
        <f>Electricity_mixes!S345</f>
        <v>market for electricity, medium voltage, for LiS battery</v>
      </c>
      <c r="B168" s="348" t="str">
        <f>Electricity_mixes!T345</f>
        <v>electricity, medium voltage</v>
      </c>
      <c r="C168" s="348" t="s">
        <v>433</v>
      </c>
      <c r="D168" s="396">
        <f>Electricity_mixes!N345</f>
        <v>5.2640880096321112E-3</v>
      </c>
      <c r="E168" s="348" t="s">
        <v>1190</v>
      </c>
      <c r="F168" s="348" t="str">
        <f t="shared" si="5"/>
        <v>ei_cutoff_3.10_remind_SSP2-PkBudg1150_2040 2024-12-02</v>
      </c>
      <c r="G168" s="397" t="s">
        <v>429</v>
      </c>
    </row>
    <row r="171" spans="1:9" x14ac:dyDescent="0.25">
      <c r="A171" s="335" t="s">
        <v>413</v>
      </c>
      <c r="B171" s="362" t="str">
        <f>Electricity_mixes!O348</f>
        <v>domestic electricity production, Switzerland, 2050, INNOV scenario</v>
      </c>
      <c r="C171" s="362"/>
      <c r="D171" s="362"/>
      <c r="E171" s="362"/>
      <c r="F171" s="362"/>
      <c r="G171" s="362"/>
      <c r="H171" s="362"/>
      <c r="I171" s="362"/>
    </row>
    <row r="172" spans="1:9" x14ac:dyDescent="0.25">
      <c r="A172" s="64" t="s">
        <v>415</v>
      </c>
      <c r="B172" s="63" t="s">
        <v>431</v>
      </c>
      <c r="C172" s="63"/>
      <c r="D172" s="63"/>
      <c r="E172" s="63"/>
      <c r="F172" s="63"/>
      <c r="G172" s="63"/>
      <c r="H172" s="63"/>
      <c r="I172" s="63"/>
    </row>
    <row r="173" spans="1:9" x14ac:dyDescent="0.25">
      <c r="A173" s="64" t="s">
        <v>416</v>
      </c>
      <c r="B173" s="63" t="s">
        <v>433</v>
      </c>
      <c r="C173" s="63"/>
      <c r="D173" s="63"/>
      <c r="E173" s="63"/>
      <c r="F173" s="63"/>
      <c r="G173" s="63"/>
      <c r="H173" s="63"/>
      <c r="I173" s="63"/>
    </row>
    <row r="174" spans="1:9" x14ac:dyDescent="0.25">
      <c r="A174" s="64" t="s">
        <v>414</v>
      </c>
      <c r="B174" s="63">
        <v>1</v>
      </c>
      <c r="C174" s="63"/>
      <c r="D174" s="63"/>
      <c r="E174" s="63"/>
      <c r="F174" s="63"/>
      <c r="G174" s="63"/>
      <c r="H174" s="63"/>
      <c r="I174" s="63"/>
    </row>
    <row r="175" spans="1:9" x14ac:dyDescent="0.25">
      <c r="A175" s="64" t="s">
        <v>418</v>
      </c>
      <c r="B175" s="63" t="s">
        <v>432</v>
      </c>
      <c r="C175" s="63"/>
      <c r="D175" s="63"/>
      <c r="E175" s="63"/>
      <c r="F175" s="63"/>
      <c r="G175" s="63"/>
      <c r="H175" s="63"/>
      <c r="I175" s="63"/>
    </row>
    <row r="176" spans="1:9" x14ac:dyDescent="0.25">
      <c r="A176" s="64" t="s">
        <v>420</v>
      </c>
      <c r="B176" s="398" t="s">
        <v>1258</v>
      </c>
      <c r="C176" s="63"/>
      <c r="D176" s="63"/>
      <c r="E176" s="63"/>
      <c r="F176" s="63"/>
      <c r="G176" s="63"/>
      <c r="H176" s="63"/>
      <c r="I176" s="63"/>
    </row>
    <row r="177" spans="1:9" x14ac:dyDescent="0.25">
      <c r="A177" s="62" t="s">
        <v>421</v>
      </c>
      <c r="B177" s="63"/>
      <c r="C177" s="63"/>
      <c r="D177" s="63"/>
      <c r="E177" s="63"/>
      <c r="F177" s="63"/>
      <c r="G177" s="63"/>
      <c r="H177" s="63"/>
      <c r="I177" s="63"/>
    </row>
    <row r="178" spans="1:9" x14ac:dyDescent="0.25">
      <c r="A178" s="62" t="s">
        <v>422</v>
      </c>
      <c r="B178" s="62" t="s">
        <v>415</v>
      </c>
      <c r="C178" s="62" t="s">
        <v>416</v>
      </c>
      <c r="D178" s="62" t="s">
        <v>423</v>
      </c>
      <c r="E178" s="62" t="s">
        <v>418</v>
      </c>
      <c r="F178" s="62" t="s">
        <v>439</v>
      </c>
      <c r="G178" s="62" t="s">
        <v>425</v>
      </c>
      <c r="H178" s="62" t="s">
        <v>424</v>
      </c>
      <c r="I178" s="62" t="s">
        <v>420</v>
      </c>
    </row>
    <row r="179" spans="1:9" x14ac:dyDescent="0.25">
      <c r="A179" s="348" t="str">
        <f>B171</f>
        <v>domestic electricity production, Switzerland, 2050, INNOV scenario</v>
      </c>
      <c r="B179" s="348" t="str">
        <f>B172</f>
        <v>electricity, high voltage</v>
      </c>
      <c r="C179" s="348" t="str">
        <f>B173</f>
        <v>kilowatt hour</v>
      </c>
      <c r="D179" s="63">
        <f>B174</f>
        <v>1</v>
      </c>
      <c r="E179" s="63" t="str">
        <f>B175</f>
        <v>CH</v>
      </c>
      <c r="F179" s="63" t="str">
        <f>$B$1</f>
        <v>CH_electricity</v>
      </c>
      <c r="G179" s="63" t="s">
        <v>427</v>
      </c>
      <c r="H179" s="63"/>
      <c r="I179" s="63"/>
    </row>
    <row r="180" spans="1:9" x14ac:dyDescent="0.25">
      <c r="A180" s="348" t="str">
        <f>Electricity_mixes!S328</f>
        <v>heat and power co-generation, natural gas, combined cycle power plant, 400MW electrical</v>
      </c>
      <c r="B180" s="348" t="str">
        <f>Electricity_mixes!T328</f>
        <v>electricity, high voltage</v>
      </c>
      <c r="C180" s="348" t="s">
        <v>433</v>
      </c>
      <c r="D180" s="396">
        <f>Electricity_mixes!O328</f>
        <v>2.6418342038599125E-2</v>
      </c>
      <c r="E180" s="348" t="s">
        <v>1256</v>
      </c>
      <c r="F180" s="348" t="str">
        <f t="shared" ref="F180:F196" si="6">premise_1150_2050</f>
        <v>ei_cutoff_3.10_remind_SSP2-PkBudg1150_2050 2024-11-21</v>
      </c>
      <c r="G180" s="397" t="s">
        <v>429</v>
      </c>
      <c r="H180" s="348"/>
      <c r="I180" s="348"/>
    </row>
    <row r="181" spans="1:9" x14ac:dyDescent="0.25">
      <c r="A181" s="348" t="str">
        <f>Electricity_mixes!S329</f>
        <v>electricity production, at natural gas-fired combined cycle power plant, post, pipeline 200km, storage 1000m</v>
      </c>
      <c r="B181" s="348" t="str">
        <f>Electricity_mixes!T329</f>
        <v>electricity, high voltage</v>
      </c>
      <c r="C181" s="348" t="s">
        <v>433</v>
      </c>
      <c r="D181" s="396">
        <f>Electricity_mixes!O329</f>
        <v>1.2356222341195284E-2</v>
      </c>
      <c r="E181" s="348" t="s">
        <v>419</v>
      </c>
      <c r="F181" s="348" t="str">
        <f t="shared" si="6"/>
        <v>ei_cutoff_3.10_remind_SSP2-PkBudg1150_2050 2024-11-21</v>
      </c>
      <c r="G181" s="397" t="s">
        <v>429</v>
      </c>
    </row>
    <row r="182" spans="1:9" x14ac:dyDescent="0.25">
      <c r="A182" s="348" t="str">
        <f>Electricity_mixes!S330</f>
        <v>electricity production, nuclear, pressure water reactor</v>
      </c>
      <c r="B182" s="348" t="str">
        <f>Electricity_mixes!T330</f>
        <v>electricity, high voltage</v>
      </c>
      <c r="C182" s="348" t="s">
        <v>433</v>
      </c>
      <c r="D182" s="396">
        <f>Electricity_mixes!O330*nuclear_pwr</f>
        <v>0</v>
      </c>
      <c r="E182" s="348" t="str">
        <f>Electricity_mixes!U331</f>
        <v>CH</v>
      </c>
      <c r="F182" s="348" t="str">
        <f t="shared" si="6"/>
        <v>ei_cutoff_3.10_remind_SSP2-PkBudg1150_2050 2024-11-21</v>
      </c>
      <c r="G182" s="397" t="s">
        <v>429</v>
      </c>
    </row>
    <row r="183" spans="1:9" x14ac:dyDescent="0.25">
      <c r="A183" s="348" t="str">
        <f>Electricity_mixes!S331</f>
        <v>electricity production, nuclear, boiling water reactor</v>
      </c>
      <c r="B183" s="348" t="str">
        <f>Electricity_mixes!T331</f>
        <v>electricity, high voltage</v>
      </c>
      <c r="C183" s="348" t="s">
        <v>433</v>
      </c>
      <c r="D183" s="396">
        <f>Electricity_mixes!O330*nuclear_bwr</f>
        <v>0</v>
      </c>
      <c r="E183" s="348" t="str">
        <f>Electricity_mixes!U332</f>
        <v>CH</v>
      </c>
      <c r="F183" s="348" t="str">
        <f t="shared" si="6"/>
        <v>ei_cutoff_3.10_remind_SSP2-PkBudg1150_2050 2024-11-21</v>
      </c>
      <c r="G183" s="397" t="s">
        <v>429</v>
      </c>
    </row>
    <row r="184" spans="1:9" x14ac:dyDescent="0.25">
      <c r="A184" s="348" t="str">
        <f>Electricity_mixes!S332</f>
        <v>heat and power co-generation, wood chips, 6667 kW, state-of-the-art 2014</v>
      </c>
      <c r="B184" s="348" t="str">
        <f>Electricity_mixes!T332</f>
        <v>electricity, high voltage</v>
      </c>
      <c r="C184" s="348" t="s">
        <v>433</v>
      </c>
      <c r="D184" s="396">
        <f>Electricity_mixes!O332</f>
        <v>6.8815813936017505E-3</v>
      </c>
      <c r="E184" s="348" t="s">
        <v>432</v>
      </c>
      <c r="F184" s="348" t="str">
        <f t="shared" si="6"/>
        <v>ei_cutoff_3.10_remind_SSP2-PkBudg1150_2050 2024-11-21</v>
      </c>
      <c r="G184" s="397" t="s">
        <v>429</v>
      </c>
    </row>
    <row r="185" spans="1:9" x14ac:dyDescent="0.25">
      <c r="A185" s="348" t="str">
        <f>Electricity_mixes!S333</f>
        <v>electricity production, at co-generation wood-fired power plant, post, pipeline 200km, storage 1000m</v>
      </c>
      <c r="B185" s="348" t="str">
        <f>Electricity_mixes!T333</f>
        <v>electricity, high voltage</v>
      </c>
      <c r="C185" s="348" t="s">
        <v>433</v>
      </c>
      <c r="D185" s="396">
        <f>Electricity_mixes!O333</f>
        <v>8.6716474481181877E-3</v>
      </c>
      <c r="E185" s="348" t="str">
        <f>Electricity_mixes!U334</f>
        <v>RER</v>
      </c>
      <c r="F185" s="348" t="str">
        <f t="shared" si="6"/>
        <v>ei_cutoff_3.10_remind_SSP2-PkBudg1150_2050 2024-11-21</v>
      </c>
      <c r="G185" s="397" t="s">
        <v>429</v>
      </c>
    </row>
    <row r="186" spans="1:9" x14ac:dyDescent="0.25">
      <c r="A186" s="348" t="str">
        <f>Electricity_mixes!S334</f>
        <v>municipal waste incineration, at incineration plant, with wet air pollution control, with flue gas condensation, with electricity and heat recovery, energy allocation</v>
      </c>
      <c r="B186" s="348" t="str">
        <f>Electricity_mixes!T334</f>
        <v>electricity, medium voltage</v>
      </c>
      <c r="C186" s="348" t="s">
        <v>433</v>
      </c>
      <c r="D186" s="396">
        <f>Electricity_mixes!O334</f>
        <v>1.5239549638643783E-2</v>
      </c>
      <c r="E186" s="348" t="str">
        <f>Electricity_mixes!U335</f>
        <v>RER</v>
      </c>
      <c r="F186" s="348" t="str">
        <f t="shared" si="6"/>
        <v>ei_cutoff_3.10_remind_SSP2-PkBudg1150_2050 2024-11-21</v>
      </c>
      <c r="G186" s="397" t="s">
        <v>429</v>
      </c>
    </row>
    <row r="187" spans="1:9" x14ac:dyDescent="0.25">
      <c r="A187" s="348" t="str">
        <f>Electricity_mixes!S335</f>
        <v>municipal waste incineration, at incineration plant, with wet air pollution control, with flue gas condensation, with electricity and optimized heat recovery, with carbon capture and storage, energy allocation</v>
      </c>
      <c r="B187" s="348" t="str">
        <f>Electricity_mixes!T335</f>
        <v>electricity, medium voltage</v>
      </c>
      <c r="C187" s="348" t="s">
        <v>433</v>
      </c>
      <c r="D187" s="396">
        <f>Electricity_mixes!O335</f>
        <v>1.8119074525638986E-2</v>
      </c>
      <c r="E187" s="348" t="s">
        <v>419</v>
      </c>
      <c r="F187" s="348" t="str">
        <f t="shared" si="6"/>
        <v>ei_cutoff_3.10_remind_SSP2-PkBudg1150_2050 2024-11-21</v>
      </c>
      <c r="G187" s="397" t="s">
        <v>429</v>
      </c>
    </row>
    <row r="188" spans="1:9" x14ac:dyDescent="0.25">
      <c r="A188" s="348" t="str">
        <f>Electricity_mixes!S336</f>
        <v>heat and power co-generation, biogas, gas engine</v>
      </c>
      <c r="B188" s="348" t="str">
        <f>Electricity_mixes!T336</f>
        <v>electricity, high voltage</v>
      </c>
      <c r="C188" s="348" t="s">
        <v>433</v>
      </c>
      <c r="D188" s="396">
        <f>Electricity_mixes!O336</f>
        <v>6.7889299236422894E-3</v>
      </c>
      <c r="E188" s="348" t="s">
        <v>432</v>
      </c>
      <c r="F188" s="348" t="str">
        <f t="shared" si="6"/>
        <v>ei_cutoff_3.10_remind_SSP2-PkBudg1150_2050 2024-11-21</v>
      </c>
      <c r="G188" s="397" t="s">
        <v>429</v>
      </c>
    </row>
    <row r="189" spans="1:9" x14ac:dyDescent="0.25">
      <c r="A189" s="348" t="str">
        <f>Electricity_mixes!S337</f>
        <v>electricity production, hydro, reservoir, alpine region</v>
      </c>
      <c r="B189" s="348" t="str">
        <f>Electricity_mixes!T337</f>
        <v>electricity, high voltage</v>
      </c>
      <c r="C189" s="348" t="s">
        <v>433</v>
      </c>
      <c r="D189" s="396">
        <f>Electricity_mixes!O337*hydro_reservoir</f>
        <v>0.26762572634064113</v>
      </c>
      <c r="E189" s="348" t="s">
        <v>432</v>
      </c>
      <c r="F189" s="348" t="str">
        <f t="shared" si="6"/>
        <v>ei_cutoff_3.10_remind_SSP2-PkBudg1150_2050 2024-11-21</v>
      </c>
      <c r="G189" s="397" t="s">
        <v>429</v>
      </c>
    </row>
    <row r="190" spans="1:9" x14ac:dyDescent="0.25">
      <c r="A190" s="348" t="str">
        <f>Electricity_mixes!S338</f>
        <v>electricity production, hydro, run-of-river</v>
      </c>
      <c r="B190" s="348" t="str">
        <f>Electricity_mixes!T338</f>
        <v>electricity, high voltage</v>
      </c>
      <c r="C190" s="348" t="s">
        <v>433</v>
      </c>
      <c r="D190" s="396">
        <f>Electricity_mixes!O337*hydro_run</f>
        <v>0.20099796382086624</v>
      </c>
      <c r="E190" s="348" t="s">
        <v>432</v>
      </c>
      <c r="F190" s="348" t="str">
        <f t="shared" si="6"/>
        <v>ei_cutoff_3.10_remind_SSP2-PkBudg1150_2050 2024-11-21</v>
      </c>
      <c r="G190" s="397" t="s">
        <v>429</v>
      </c>
    </row>
    <row r="191" spans="1:9" x14ac:dyDescent="0.25">
      <c r="A191" s="348" t="str">
        <f>Electricity_mixes!S339</f>
        <v>electricity production, photovoltaic, 3kWp slanted-roof installation, multi-Si, panel, mounted</v>
      </c>
      <c r="B191" s="348" t="str">
        <f>Electricity_mixes!T339</f>
        <v>electricity, low voltage</v>
      </c>
      <c r="C191" s="348" t="s">
        <v>433</v>
      </c>
      <c r="D191" s="396">
        <f>Electricity_mixes!O339*pv_roof</f>
        <v>0.30473503999840201</v>
      </c>
      <c r="E191" s="348" t="s">
        <v>432</v>
      </c>
      <c r="F191" s="348" t="str">
        <f t="shared" si="6"/>
        <v>ei_cutoff_3.10_remind_SSP2-PkBudg1150_2050 2024-11-21</v>
      </c>
      <c r="G191" s="397" t="s">
        <v>429</v>
      </c>
    </row>
    <row r="192" spans="1:9" x14ac:dyDescent="0.25">
      <c r="A192" s="348" t="str">
        <f>Electricity_mixes!S340</f>
        <v>electricity production, photovoltaic, 570kWp open ground installation, multi-Si</v>
      </c>
      <c r="B192" s="348" t="str">
        <f>Electricity_mixes!T340</f>
        <v>electricity, low voltage</v>
      </c>
      <c r="C192" s="348" t="s">
        <v>433</v>
      </c>
      <c r="D192" s="396">
        <f>Electricity_mixes!O339*pv_open</f>
        <v>3.3859448888711334E-2</v>
      </c>
      <c r="E192" s="348" t="s">
        <v>841</v>
      </c>
      <c r="F192" s="348" t="str">
        <f t="shared" si="6"/>
        <v>ei_cutoff_3.10_remind_SSP2-PkBudg1150_2050 2024-11-21</v>
      </c>
      <c r="G192" s="397" t="s">
        <v>429</v>
      </c>
    </row>
    <row r="193" spans="1:7" x14ac:dyDescent="0.25">
      <c r="A193" s="348" t="str">
        <f>Electricity_mixes!S341</f>
        <v>electricity production, wind, &gt;3MW turbine, onshore</v>
      </c>
      <c r="B193" s="348" t="str">
        <f>Electricity_mixes!T341</f>
        <v>electricity, high voltage</v>
      </c>
      <c r="C193" s="348" t="s">
        <v>433</v>
      </c>
      <c r="D193" s="396">
        <f>Electricity_mixes!O341</f>
        <v>2.4352196654943456E-3</v>
      </c>
      <c r="E193" s="348" t="s">
        <v>432</v>
      </c>
      <c r="F193" s="348" t="str">
        <f t="shared" si="6"/>
        <v>ei_cutoff_3.10_remind_SSP2-PkBudg1150_2050 2024-11-21</v>
      </c>
      <c r="G193" s="397" t="s">
        <v>429</v>
      </c>
    </row>
    <row r="194" spans="1:7" x14ac:dyDescent="0.25">
      <c r="A194" s="348" t="str">
        <f>Electricity_mixes!S343</f>
        <v>electricity production, from hydrogen-fired one gigawatt gas turbine</v>
      </c>
      <c r="B194" s="348" t="str">
        <f>Electricity_mixes!T343</f>
        <v>electricity, high voltage</v>
      </c>
      <c r="C194" s="348" t="s">
        <v>433</v>
      </c>
      <c r="D194" s="396">
        <f>Electricity_mixes!O343</f>
        <v>2.4249898927529445E-2</v>
      </c>
      <c r="E194" s="348" t="s">
        <v>419</v>
      </c>
      <c r="F194" s="348" t="str">
        <f t="shared" si="6"/>
        <v>ei_cutoff_3.10_remind_SSP2-PkBudg1150_2050 2024-11-21</v>
      </c>
      <c r="G194" s="397" t="s">
        <v>429</v>
      </c>
    </row>
    <row r="195" spans="1:7" x14ac:dyDescent="0.25">
      <c r="A195" s="348" t="str">
        <f>Electricity_mixes!S344</f>
        <v>electricity production, hydro, pumped storage</v>
      </c>
      <c r="B195" s="348" t="str">
        <f>Electricity_mixes!T344</f>
        <v>electricity, high voltage</v>
      </c>
      <c r="C195" s="348" t="s">
        <v>433</v>
      </c>
      <c r="D195" s="396">
        <f>Electricity_mixes!O344</f>
        <v>4.5567817570529696E-2</v>
      </c>
      <c r="E195" s="348" t="s">
        <v>432</v>
      </c>
      <c r="F195" s="348" t="str">
        <f t="shared" si="6"/>
        <v>ei_cutoff_3.10_remind_SSP2-PkBudg1150_2050 2024-11-21</v>
      </c>
      <c r="G195" s="397" t="s">
        <v>429</v>
      </c>
    </row>
    <row r="196" spans="1:7" x14ac:dyDescent="0.25">
      <c r="A196" s="348" t="str">
        <f>Electricity_mixes!S345</f>
        <v>market for electricity, medium voltage, for LiS battery</v>
      </c>
      <c r="B196" s="348" t="str">
        <f>Electricity_mixes!T345</f>
        <v>electricity, medium voltage</v>
      </c>
      <c r="C196" s="348" t="s">
        <v>433</v>
      </c>
      <c r="D196" s="396">
        <f>Electricity_mixes!O345</f>
        <v>2.6053533722322289E-2</v>
      </c>
      <c r="E196" s="348" t="s">
        <v>1190</v>
      </c>
      <c r="F196" s="348" t="str">
        <f t="shared" si="6"/>
        <v>ei_cutoff_3.10_remind_SSP2-PkBudg1150_2050 2024-11-21</v>
      </c>
      <c r="G196" s="397" t="s">
        <v>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31</vt:i4>
      </vt:variant>
      <vt:variant>
        <vt:lpstr>Named Ranges</vt:lpstr>
      </vt:variant>
      <vt:variant>
        <vt:i4>140</vt:i4>
      </vt:variant>
    </vt:vector>
  </HeadingPairs>
  <TitlesOfParts>
    <vt:vector size="171" baseType="lpstr">
      <vt:lpstr>readme</vt:lpstr>
      <vt:lpstr>mapping</vt:lpstr>
      <vt:lpstr>Plant_parameters</vt:lpstr>
      <vt:lpstr>Sheet1</vt:lpstr>
      <vt:lpstr>LCIA_CC</vt:lpstr>
      <vt:lpstr>ags_CA_seed</vt:lpstr>
      <vt:lpstr>LCIA_CH_20250508</vt:lpstr>
      <vt:lpstr>LCIA_CH_20250512</vt:lpstr>
      <vt:lpstr>LCA_Shortlist</vt:lpstr>
      <vt:lpstr>LCIA_ADP</vt:lpstr>
      <vt:lpstr>LCI_ags</vt:lpstr>
      <vt:lpstr>LCI_CO2</vt:lpstr>
      <vt:lpstr>literature_CO2_cond_transp</vt:lpstr>
      <vt:lpstr>CO2</vt:lpstr>
      <vt:lpstr>Drilling_summary</vt:lpstr>
      <vt:lpstr>Drilling - PPGD rig</vt:lpstr>
      <vt:lpstr>Drilling - time</vt:lpstr>
      <vt:lpstr>Drilling - well design</vt:lpstr>
      <vt:lpstr>Drilling - energy_material_6km</vt:lpstr>
      <vt:lpstr>Drilling - energy_material_8</vt:lpstr>
      <vt:lpstr>Drilling - energy_material_4_5</vt:lpstr>
      <vt:lpstr>Drilling - fluid</vt:lpstr>
      <vt:lpstr>Surface plant</vt:lpstr>
      <vt:lpstr>O&amp;M</vt:lpstr>
      <vt:lpstr>EoL</vt:lpstr>
      <vt:lpstr>Polygons_files</vt:lpstr>
      <vt:lpstr>CH_polygons_ppgd_co2</vt:lpstr>
      <vt:lpstr>AGS CO2 PPGD</vt:lpstr>
      <vt:lpstr>drilling_energy_TS_ETH</vt:lpstr>
      <vt:lpstr>Electricity_mixes</vt:lpstr>
      <vt:lpstr>LCI_CHelectricity</vt:lpstr>
      <vt:lpstr>biospherev310</vt:lpstr>
      <vt:lpstr>capacity_factor</vt:lpstr>
      <vt:lpstr>cm_per_inch</vt:lpstr>
      <vt:lpstr>CO2_input_4_5km</vt:lpstr>
      <vt:lpstr>CO2_input_6km</vt:lpstr>
      <vt:lpstr>CO2_input_8km</vt:lpstr>
      <vt:lpstr>LCIA_ADP!co2_per_kWh_6km</vt:lpstr>
      <vt:lpstr>co2_per_kWh_6km</vt:lpstr>
      <vt:lpstr>co2_tons_4_5km</vt:lpstr>
      <vt:lpstr>co2_tons_6km</vt:lpstr>
      <vt:lpstr>co2_tons_8km</vt:lpstr>
      <vt:lpstr>db_co2</vt:lpstr>
      <vt:lpstr>diesel</vt:lpstr>
      <vt:lpstr>distance_co2_transport</vt:lpstr>
      <vt:lpstr>ecoinventv310</vt:lpstr>
      <vt:lpstr>h_per_a</vt:lpstr>
      <vt:lpstr>hydro_reservoir</vt:lpstr>
      <vt:lpstr>hydro_run</vt:lpstr>
      <vt:lpstr>literature_CO2_cond_transp!imports</vt:lpstr>
      <vt:lpstr>kWh_per_m_ppgd</vt:lpstr>
      <vt:lpstr>kWh_per_m_rotary</vt:lpstr>
      <vt:lpstr>kWh_per_MJ</vt:lpstr>
      <vt:lpstr>LCIA_ADP!LCIA_CC_cement_BAU_2030</vt:lpstr>
      <vt:lpstr>LCIA_CC_cement_BAU_2030</vt:lpstr>
      <vt:lpstr>LCIA_ADP!LCIA_CC_cement_BAU_2040</vt:lpstr>
      <vt:lpstr>LCIA_CC_cement_BAU_2040</vt:lpstr>
      <vt:lpstr>LCIA_ADP!LCIA_CC_cement_BAU_2050</vt:lpstr>
      <vt:lpstr>LCIA_CC_cement_BAU_2050</vt:lpstr>
      <vt:lpstr>LCIA_ADP!LCIA_CC_cement_ev_2020</vt:lpstr>
      <vt:lpstr>LCIA_CC_cement_ev_2020</vt:lpstr>
      <vt:lpstr>LCIA_ADP!LCIA_CC_cement_LOW_2030</vt:lpstr>
      <vt:lpstr>LCIA_CC_cement_LOW_2030</vt:lpstr>
      <vt:lpstr>LCIA_ADP!LCIA_CC_cement_LOW_2040</vt:lpstr>
      <vt:lpstr>LCIA_CC_cement_LOW_2040</vt:lpstr>
      <vt:lpstr>LCIA_ADP!LCIA_CC_cement_LOW_2050</vt:lpstr>
      <vt:lpstr>LCIA_CC_cement_LOW_2050</vt:lpstr>
      <vt:lpstr>LCIA_CC_ch_el_BAU_2019</vt:lpstr>
      <vt:lpstr>LCIA_CC_ch_el_BAU_2030</vt:lpstr>
      <vt:lpstr>LCIA_CC_ch_el_BAU_2040</vt:lpstr>
      <vt:lpstr>LCIA_CC_ch_el_BAU_2050</vt:lpstr>
      <vt:lpstr>LCIA_ADP!LCIA_CC_ch_el_ev_highv</vt:lpstr>
      <vt:lpstr>LCIA_CC_ch_el_ev_highv</vt:lpstr>
      <vt:lpstr>LCIA_ADP!LCIA_CC_ch_el_ev_lowv</vt:lpstr>
      <vt:lpstr>LCIA_CC_ch_el_ev_lowv</vt:lpstr>
      <vt:lpstr>LCIA_ADP!LCIA_CC_ch_el_ev_mediumv</vt:lpstr>
      <vt:lpstr>LCIA_CC_ch_el_ev_mediumv</vt:lpstr>
      <vt:lpstr>LCIA_ADP!LCIA_CC_ch_el_ev_productionmix</vt:lpstr>
      <vt:lpstr>LCIA_CC_ch_el_ev_productionmix</vt:lpstr>
      <vt:lpstr>LCIA_CC_ch_el_LOW_2030</vt:lpstr>
      <vt:lpstr>LCIA_CC_ch_el_LOW_2040</vt:lpstr>
      <vt:lpstr>LCIA_CC_ch_el_LOW_2050</vt:lpstr>
      <vt:lpstr>LCIA_CC_dieselgen</vt:lpstr>
      <vt:lpstr>LCIA_CC_dieselgen_BAU_2050</vt:lpstr>
      <vt:lpstr>LCIA_CC_dieselgen_LOW_2050</vt:lpstr>
      <vt:lpstr>LCIA_ADP!LCIA_CC_el_hydro_run</vt:lpstr>
      <vt:lpstr>LCIA_CC_el_hydro_run</vt:lpstr>
      <vt:lpstr>LCIA_ADP!LCIA_CC_maintenance</vt:lpstr>
      <vt:lpstr>LCIA_CC_maintenance</vt:lpstr>
      <vt:lpstr>LCIA_ADP!LCIA_CC_steel_BAU_2030</vt:lpstr>
      <vt:lpstr>LCIA_CC_steel_BAU_2030</vt:lpstr>
      <vt:lpstr>LCIA_ADP!LCIA_CC_steel_BAU_2040</vt:lpstr>
      <vt:lpstr>LCIA_CC_steel_BAU_2040</vt:lpstr>
      <vt:lpstr>LCIA_ADP!LCIA_CC_steel_BAU_2050</vt:lpstr>
      <vt:lpstr>LCIA_CC_steel_BAU_2050</vt:lpstr>
      <vt:lpstr>LCIA_ADP!LCIA_CC_steel_ev_2020</vt:lpstr>
      <vt:lpstr>LCIA_CC_steel_ev_2020</vt:lpstr>
      <vt:lpstr>LCIA_ADP!LCIA_CC_steel_LOW_2030</vt:lpstr>
      <vt:lpstr>LCIA_CC_steel_LOW_2030</vt:lpstr>
      <vt:lpstr>LCIA_ADP!LCIA_CC_steel_LOW_2040</vt:lpstr>
      <vt:lpstr>LCIA_CC_steel_LOW_2040</vt:lpstr>
      <vt:lpstr>LCIA_ADP!LCIA_CC_steel_LOW_2050</vt:lpstr>
      <vt:lpstr>LCIA_CC_steel_LOW_2050</vt:lpstr>
      <vt:lpstr>LCIA_ADP!LCIA_CC_water_BAU_2030</vt:lpstr>
      <vt:lpstr>LCIA_CC_water_BAU_2030</vt:lpstr>
      <vt:lpstr>LCIA_ADP!LCIA_CC_water_BAU_2040</vt:lpstr>
      <vt:lpstr>LCIA_CC_water_BAU_2040</vt:lpstr>
      <vt:lpstr>LCIA_ADP!LCIA_CC_water_BAU_2050</vt:lpstr>
      <vt:lpstr>LCIA_CC_water_BAU_2050</vt:lpstr>
      <vt:lpstr>LCIA_ADP!LCIA_CC_water_ev_2020</vt:lpstr>
      <vt:lpstr>LCIA_CC_water_ev_2020</vt:lpstr>
      <vt:lpstr>LCIA_ADP!LCIA_CC_water_LOW_2030</vt:lpstr>
      <vt:lpstr>LCIA_CC_water_LOW_2030</vt:lpstr>
      <vt:lpstr>LCIA_ADP!LCIA_CC_water_LOW_2040</vt:lpstr>
      <vt:lpstr>LCIA_CC_water_LOW_2040</vt:lpstr>
      <vt:lpstr>LCIA_ADP!LCIA_CC_water_LOW_2050</vt:lpstr>
      <vt:lpstr>LCIA_CC_water_LOW_2050</vt:lpstr>
      <vt:lpstr>lifetime_100a</vt:lpstr>
      <vt:lpstr>lifetime_100a_elprod</vt:lpstr>
      <vt:lpstr>lifetime_30a</vt:lpstr>
      <vt:lpstr>lifetime_30a_elprod</vt:lpstr>
      <vt:lpstr>lifetime_30a_heatprod</vt:lpstr>
      <vt:lpstr>lifetime_60a</vt:lpstr>
      <vt:lpstr>lifetime_60a_elprod</vt:lpstr>
      <vt:lpstr>lifetime_60a_elprod_cf_0_7</vt:lpstr>
      <vt:lpstr>lifetime_60a_elprod_cf_0_8</vt:lpstr>
      <vt:lpstr>loops</vt:lpstr>
      <vt:lpstr>MJ_per_kWh</vt:lpstr>
      <vt:lpstr>'Drilling - energy_material_4_5'!MJ_per_m</vt:lpstr>
      <vt:lpstr>'Drilling - energy_material_8'!MJ_per_m</vt:lpstr>
      <vt:lpstr>drilling_energy_TS_ETH!MJ_per_m</vt:lpstr>
      <vt:lpstr>MJ_per_m</vt:lpstr>
      <vt:lpstr>MJ_per_m_rotary</vt:lpstr>
      <vt:lpstr>nitroprop</vt:lpstr>
      <vt:lpstr>nitroprop_heat_per_kg</vt:lpstr>
      <vt:lpstr>nitroprop_nitr_per_kg</vt:lpstr>
      <vt:lpstr>nitroprop_prop_per_kg</vt:lpstr>
      <vt:lpstr>nuclear_bwr</vt:lpstr>
      <vt:lpstr>nuclear_pwr</vt:lpstr>
      <vt:lpstr>piperazine</vt:lpstr>
      <vt:lpstr>piperazine_kva</vt:lpstr>
      <vt:lpstr>plant_cap_MWe</vt:lpstr>
      <vt:lpstr>plant_capacity_MWth</vt:lpstr>
      <vt:lpstr>premise</vt:lpstr>
      <vt:lpstr>premise_1150_2025</vt:lpstr>
      <vt:lpstr>premise_1150_2035</vt:lpstr>
      <vt:lpstr>premise_1150_2050</vt:lpstr>
      <vt:lpstr>premise_BAU_2025</vt:lpstr>
      <vt:lpstr>premise_BAU_2035</vt:lpstr>
      <vt:lpstr>premise_BAU_2050</vt:lpstr>
      <vt:lpstr>Electricity_mixes!Print_Area</vt:lpstr>
      <vt:lpstr>pv_open</vt:lpstr>
      <vt:lpstr>pv_roof</vt:lpstr>
      <vt:lpstr>'Drilling - energy_material_4_5'!rho_cement_slurry</vt:lpstr>
      <vt:lpstr>'Drilling - energy_material_8'!rho_cement_slurry</vt:lpstr>
      <vt:lpstr>drilling_energy_TS_ETH!rho_cement_slurry</vt:lpstr>
      <vt:lpstr>rho_cement_slurry</vt:lpstr>
      <vt:lpstr>'Drilling - energy_material_4_5'!ts1_sediment</vt:lpstr>
      <vt:lpstr>'Drilling - energy_material_8'!ts1_sediment</vt:lpstr>
      <vt:lpstr>drilling_energy_TS_ETH!ts1_sediment</vt:lpstr>
      <vt:lpstr>ts1_sediment</vt:lpstr>
      <vt:lpstr>'Drilling - energy_material_4_5'!ts2_granite</vt:lpstr>
      <vt:lpstr>'Drilling - energy_material_8'!ts2_granite</vt:lpstr>
      <vt:lpstr>drilling_energy_TS_ETH!ts2_granite</vt:lpstr>
      <vt:lpstr>ts2_granite</vt:lpstr>
      <vt:lpstr>well_horizontal_length</vt:lpstr>
      <vt:lpstr>'Drilling - energy_material_4_5'!well_length_horizontal</vt:lpstr>
      <vt:lpstr>'Drilling - energy_material_8'!well_length_horizontal</vt:lpstr>
      <vt:lpstr>drilling_energy_TS_ETH!well_length_horizontal</vt:lpstr>
      <vt:lpstr>well_length_horizontal</vt:lpstr>
      <vt:lpstr>well_vertical_length</vt:lpstr>
    </vt:vector>
  </TitlesOfParts>
  <Company>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Treyer Karin</dc:creator>
  <cp:lastModifiedBy>Treyer Karin</cp:lastModifiedBy>
  <cp:lastPrinted>2025-04-30T09:10:21Z</cp:lastPrinted>
  <dcterms:created xsi:type="dcterms:W3CDTF">2024-08-27T08:32:00Z</dcterms:created>
  <dcterms:modified xsi:type="dcterms:W3CDTF">2025-05-15T21:50:53Z</dcterms:modified>
</cp:coreProperties>
</file>