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C:\Users\treyer_k\Documents\GitHub\stem_to_premise_advanced_geothermal\inventories\"/>
    </mc:Choice>
  </mc:AlternateContent>
  <xr:revisionPtr revIDLastSave="0" documentId="13_ncr:1_{A92631DE-E36E-4BDA-83D3-29313D6E9093}" xr6:coauthVersionLast="47" xr6:coauthVersionMax="47" xr10:uidLastSave="{00000000-0000-0000-0000-000000000000}"/>
  <bookViews>
    <workbookView xWindow="-23148" yWindow="-108" windowWidth="23256" windowHeight="12456" xr2:uid="{00000000-000D-0000-FFFF-FFFF00000000}"/>
  </bookViews>
  <sheets>
    <sheet name="lci" sheetId="6" r:id="rId1"/>
    <sheet name="Parameters" sheetId="2" r:id="rId2"/>
  </sheets>
  <definedNames>
    <definedName name="_xlnm._FilterDatabase" localSheetId="0" hidden="1">lci!$A$1:$O$2320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870" i="6" l="1"/>
  <c r="J1870" i="6"/>
  <c r="B1870" i="6"/>
  <c r="I1870" i="6" s="1"/>
  <c r="I2007" i="6"/>
  <c r="K2007" i="6" s="1"/>
  <c r="J2039" i="6"/>
  <c r="I2039" i="6"/>
  <c r="J2073" i="6"/>
  <c r="I2073" i="6"/>
  <c r="J2074" i="6"/>
  <c r="I2074" i="6"/>
  <c r="H2074" i="6"/>
  <c r="J2075" i="6"/>
  <c r="I2075" i="6"/>
  <c r="H2075" i="6"/>
  <c r="J2076" i="6"/>
  <c r="I2076" i="6"/>
  <c r="H2076" i="6"/>
  <c r="J2077" i="6"/>
  <c r="I2077" i="6"/>
  <c r="J2078" i="6"/>
  <c r="I2078" i="6"/>
  <c r="H2077" i="6"/>
  <c r="J2095" i="6"/>
  <c r="I2095" i="6"/>
  <c r="H2095" i="6"/>
  <c r="J2094" i="6"/>
  <c r="I2094" i="6"/>
  <c r="H2094" i="6"/>
  <c r="J2093" i="6"/>
  <c r="I2093" i="6"/>
  <c r="H2093" i="6"/>
  <c r="J2096" i="6"/>
  <c r="I2096" i="6"/>
  <c r="H2096" i="6"/>
  <c r="J2097" i="6"/>
  <c r="I2097" i="6"/>
  <c r="L2121" i="6"/>
  <c r="K2121" i="6"/>
  <c r="L2136" i="6"/>
  <c r="K2136" i="6"/>
  <c r="K2202" i="6"/>
  <c r="J2202" i="6"/>
  <c r="I2202" i="6"/>
  <c r="K2254" i="6"/>
  <c r="J2254" i="6"/>
  <c r="I2254" i="6"/>
  <c r="K2255" i="6"/>
  <c r="J2255" i="6"/>
  <c r="I2255" i="6"/>
  <c r="I2256" i="6"/>
  <c r="K2256" i="6"/>
  <c r="J2256" i="6"/>
  <c r="I2257" i="6"/>
  <c r="K2257" i="6"/>
  <c r="J2257" i="6"/>
  <c r="K2273" i="6"/>
  <c r="J2273" i="6"/>
  <c r="I2273" i="6"/>
  <c r="K2274" i="6"/>
  <c r="J2274" i="6"/>
  <c r="I2274" i="6"/>
  <c r="K2275" i="6"/>
  <c r="J2275" i="6"/>
  <c r="I2275" i="6"/>
  <c r="K2277" i="6"/>
  <c r="J2277" i="6"/>
  <c r="K2278" i="6"/>
  <c r="J2278" i="6"/>
  <c r="J2279" i="6"/>
  <c r="K2279" i="6"/>
  <c r="B2279" i="6"/>
  <c r="I2277" i="6"/>
  <c r="K2295" i="6"/>
  <c r="J2295" i="6"/>
  <c r="I2295" i="6"/>
  <c r="K2296" i="6"/>
  <c r="J2296" i="6"/>
  <c r="K1897" i="6"/>
  <c r="J1897" i="6"/>
  <c r="I1897" i="6"/>
  <c r="J1899" i="6"/>
  <c r="K1899" i="6"/>
  <c r="I1899" i="6"/>
  <c r="J1934" i="6"/>
  <c r="K1934" i="6"/>
  <c r="I1934" i="6"/>
  <c r="K1932" i="6"/>
  <c r="J1932" i="6"/>
  <c r="I1932" i="6"/>
  <c r="H2038" i="6"/>
  <c r="J2038" i="6" s="1"/>
  <c r="H2037" i="6"/>
  <c r="J2037" i="6" s="1"/>
  <c r="H2036" i="6"/>
  <c r="I2036" i="6" s="1"/>
  <c r="H2035" i="6"/>
  <c r="J2035" i="6" s="1"/>
  <c r="K1931" i="6"/>
  <c r="J1931" i="6"/>
  <c r="B1931" i="6"/>
  <c r="I1931" i="6" s="1"/>
  <c r="K1871" i="6"/>
  <c r="J1871" i="6"/>
  <c r="K1896" i="6"/>
  <c r="J1896" i="6"/>
  <c r="B1896" i="6"/>
  <c r="I1896" i="6" s="1"/>
  <c r="K1898" i="6"/>
  <c r="J1898" i="6"/>
  <c r="B1898" i="6"/>
  <c r="I1898" i="6" s="1"/>
  <c r="K1901" i="6"/>
  <c r="K1900" i="6"/>
  <c r="J1901" i="6"/>
  <c r="J1900" i="6"/>
  <c r="B1901" i="6"/>
  <c r="I1901" i="6" s="1"/>
  <c r="B1613" i="6"/>
  <c r="G2355" i="6"/>
  <c r="E2355" i="6"/>
  <c r="A2355" i="6"/>
  <c r="G2343" i="6"/>
  <c r="E2343" i="6"/>
  <c r="A2343" i="6"/>
  <c r="G2331" i="6"/>
  <c r="E2331" i="6"/>
  <c r="A2331" i="6"/>
  <c r="J2036" i="6" l="1"/>
  <c r="I2038" i="6"/>
  <c r="I2037" i="6"/>
  <c r="I2035" i="6"/>
  <c r="J2007" i="6"/>
  <c r="I2279" i="6"/>
  <c r="K2258" i="6"/>
  <c r="J2258" i="6"/>
  <c r="B2258" i="6"/>
  <c r="I2258" i="6" s="1"/>
  <c r="B2136" i="6"/>
  <c r="J2136" i="6" s="1"/>
  <c r="B2121" i="6"/>
  <c r="J2121" i="6" s="1"/>
  <c r="B2078" i="6" l="1"/>
  <c r="H2078" i="6" s="1"/>
  <c r="B2097" i="6"/>
  <c r="H2097" i="6" s="1"/>
  <c r="B2039" i="6"/>
  <c r="H2039" i="6" s="1"/>
  <c r="K1935" i="6"/>
  <c r="J1935" i="6"/>
  <c r="B1935" i="6"/>
  <c r="I1935" i="6" s="1"/>
  <c r="B1900" i="6"/>
  <c r="I1900" i="6" s="1"/>
  <c r="B1377" i="6"/>
  <c r="B1639" i="6"/>
  <c r="B1588" i="6"/>
  <c r="B1510" i="6"/>
  <c r="B1577" i="6"/>
  <c r="B1499" i="6"/>
  <c r="B1256" i="6"/>
  <c r="B782" i="6"/>
  <c r="B1098" i="6"/>
  <c r="B940" i="6"/>
  <c r="B624" i="6"/>
  <c r="B171" i="6"/>
  <c r="B473" i="6"/>
  <c r="B322" i="6"/>
  <c r="B1354" i="6"/>
  <c r="B1488" i="6"/>
  <c r="B1466" i="6"/>
  <c r="B1740" i="6"/>
  <c r="B1729" i="6"/>
  <c r="B1751" i="6"/>
  <c r="B1532" i="6"/>
  <c r="B1422" i="6"/>
  <c r="B2107" i="6"/>
  <c r="B1871" i="6"/>
  <c r="I1871" i="6" s="1"/>
  <c r="K1937" i="6"/>
  <c r="J1937" i="6"/>
  <c r="B1937" i="6"/>
  <c r="K1936" i="6"/>
  <c r="J1936" i="6"/>
  <c r="B1936" i="6"/>
  <c r="I1936" i="6" s="1"/>
  <c r="B2296" i="6"/>
  <c r="I2296" i="6" s="1"/>
  <c r="B2278" i="6"/>
  <c r="I2278" i="6" s="1"/>
  <c r="K2276" i="6"/>
  <c r="J2276" i="6"/>
  <c r="B2276" i="6"/>
  <c r="I2276" i="6" s="1"/>
  <c r="L2133" i="6" l="1"/>
  <c r="I1937" i="6"/>
  <c r="B2133" i="6"/>
  <c r="J2133" i="6" s="1"/>
  <c r="K2133" i="6"/>
  <c r="B2073" i="6"/>
  <c r="H2073" i="6" s="1"/>
  <c r="J2072" i="6"/>
  <c r="I2072" i="6"/>
  <c r="B2072" i="6"/>
  <c r="H2072" i="6" s="1"/>
  <c r="K2006" i="6"/>
  <c r="J2006" i="6"/>
  <c r="B2006" i="6"/>
  <c r="I2006" i="6" s="1"/>
  <c r="B19" i="6" l="1"/>
  <c r="B1916" i="6"/>
  <c r="B1915" i="6"/>
  <c r="B1914" i="6"/>
  <c r="D1912" i="6"/>
  <c r="C1912" i="6"/>
  <c r="A1912" i="6"/>
  <c r="B1905" i="6"/>
  <c r="H1912" i="6" s="1"/>
  <c r="B2294" i="6"/>
  <c r="B2272" i="6"/>
  <c r="B2204" i="6"/>
  <c r="B2147" i="6"/>
  <c r="G2146" i="6"/>
  <c r="D2146" i="6"/>
  <c r="C2146" i="6"/>
  <c r="A2146" i="6"/>
  <c r="B2135" i="6"/>
  <c r="B2119" i="6"/>
  <c r="B2092" i="6"/>
  <c r="B2071" i="6"/>
  <c r="B1928" i="6"/>
  <c r="B2040" i="6"/>
  <c r="H2040" i="6" s="1"/>
  <c r="B2034" i="6"/>
  <c r="B2005" i="6"/>
  <c r="B1952" i="6"/>
  <c r="B1961" i="6" s="1"/>
  <c r="L2134" i="6" l="1"/>
  <c r="B2134" i="6"/>
  <c r="J2134" i="6" s="1"/>
  <c r="K2134" i="6"/>
  <c r="J2040" i="6"/>
  <c r="I2040" i="6"/>
  <c r="B1895" i="6" l="1"/>
  <c r="B1930" i="6"/>
  <c r="G1927" i="6"/>
  <c r="D1927" i="6"/>
  <c r="C1927" i="6"/>
  <c r="A1927" i="6"/>
  <c r="G1894" i="6"/>
  <c r="D1894" i="6"/>
  <c r="C1894" i="6"/>
  <c r="A1894" i="6"/>
  <c r="B1869" i="6"/>
  <c r="G1868" i="6"/>
  <c r="D1868" i="6"/>
  <c r="C1868" i="6"/>
  <c r="A1868" i="6"/>
  <c r="B1814" i="6"/>
  <c r="B1813" i="6"/>
  <c r="G1812" i="6"/>
  <c r="D1812" i="6"/>
  <c r="C1812" i="6"/>
  <c r="A1812" i="6"/>
  <c r="B1764" i="6"/>
  <c r="B1763" i="6"/>
  <c r="B1773" i="6" s="1"/>
  <c r="G1762" i="6"/>
  <c r="D1762" i="6"/>
  <c r="C1762" i="6"/>
  <c r="A1762" i="6"/>
  <c r="B1929" i="6" l="1"/>
  <c r="A1728" i="6" l="1"/>
  <c r="C1728" i="6"/>
  <c r="D1728" i="6"/>
  <c r="H1728" i="6"/>
  <c r="A1739" i="6"/>
  <c r="C1739" i="6"/>
  <c r="D1739" i="6"/>
  <c r="H1739" i="6"/>
  <c r="A1750" i="6"/>
  <c r="C1750" i="6"/>
  <c r="D1750" i="6"/>
  <c r="H1750" i="6"/>
  <c r="B1706" i="6"/>
  <c r="B1695" i="6"/>
  <c r="B1673" i="6"/>
  <c r="B1662" i="6"/>
  <c r="B1718" i="6"/>
  <c r="H1717" i="6"/>
  <c r="D1717" i="6"/>
  <c r="C1717" i="6"/>
  <c r="A1717" i="6"/>
  <c r="H1705" i="6"/>
  <c r="D1705" i="6"/>
  <c r="C1705" i="6"/>
  <c r="A1705" i="6"/>
  <c r="H1694" i="6"/>
  <c r="D1694" i="6"/>
  <c r="C1694" i="6"/>
  <c r="A1694" i="6"/>
  <c r="H1683" i="6"/>
  <c r="D1683" i="6"/>
  <c r="C1683" i="6"/>
  <c r="A1683" i="6"/>
  <c r="H1672" i="6"/>
  <c r="D1672" i="6"/>
  <c r="C1672" i="6"/>
  <c r="A1672" i="6"/>
  <c r="H1661" i="6"/>
  <c r="D1661" i="6"/>
  <c r="C1661" i="6"/>
  <c r="A1661" i="6"/>
  <c r="B1651" i="6"/>
  <c r="H1650" i="6"/>
  <c r="D1650" i="6"/>
  <c r="C1650" i="6"/>
  <c r="A1650" i="6"/>
  <c r="H1638" i="6"/>
  <c r="D1638" i="6"/>
  <c r="C1638" i="6"/>
  <c r="A1638" i="6"/>
  <c r="B1627" i="6"/>
  <c r="H1626" i="6"/>
  <c r="D1626" i="6"/>
  <c r="C1626" i="6"/>
  <c r="A1626" i="6"/>
  <c r="B1455" i="6"/>
  <c r="H1454" i="6"/>
  <c r="D1454" i="6"/>
  <c r="C1454" i="6"/>
  <c r="A1454" i="6"/>
  <c r="B1521" i="6" l="1"/>
  <c r="H1609" i="6"/>
  <c r="D1609" i="6"/>
  <c r="C1609" i="6"/>
  <c r="A1609" i="6"/>
  <c r="B1599" i="6"/>
  <c r="H1598" i="6"/>
  <c r="D1598" i="6"/>
  <c r="C1598" i="6"/>
  <c r="A1598" i="6"/>
  <c r="H1587" i="6"/>
  <c r="D1587" i="6"/>
  <c r="C1587" i="6"/>
  <c r="A1587" i="6"/>
  <c r="H1576" i="6"/>
  <c r="D1576" i="6"/>
  <c r="C1576" i="6"/>
  <c r="A1576" i="6"/>
  <c r="B1565" i="6"/>
  <c r="H1564" i="6"/>
  <c r="D1564" i="6"/>
  <c r="C1564" i="6"/>
  <c r="A1564" i="6"/>
  <c r="B1554" i="6"/>
  <c r="H1553" i="6"/>
  <c r="D1553" i="6"/>
  <c r="C1553" i="6"/>
  <c r="A1553" i="6"/>
  <c r="B1543" i="6"/>
  <c r="H1542" i="6"/>
  <c r="D1542" i="6"/>
  <c r="C1542" i="6"/>
  <c r="A1542" i="6"/>
  <c r="H1531" i="6"/>
  <c r="D1531" i="6"/>
  <c r="C1531" i="6"/>
  <c r="A1531" i="6"/>
  <c r="H1520" i="6"/>
  <c r="D1520" i="6"/>
  <c r="C1520" i="6"/>
  <c r="A1520" i="6"/>
  <c r="H1509" i="6"/>
  <c r="D1509" i="6"/>
  <c r="C1509" i="6"/>
  <c r="A1509" i="6"/>
  <c r="H1498" i="6"/>
  <c r="D1498" i="6"/>
  <c r="C1498" i="6"/>
  <c r="A1498" i="6"/>
  <c r="H1487" i="6"/>
  <c r="D1487" i="6"/>
  <c r="C1487" i="6"/>
  <c r="A1487" i="6"/>
  <c r="B1477" i="6"/>
  <c r="H1476" i="6"/>
  <c r="D1476" i="6"/>
  <c r="C1476" i="6"/>
  <c r="A1476" i="6"/>
  <c r="H1465" i="6"/>
  <c r="D1465" i="6"/>
  <c r="C1465" i="6"/>
  <c r="A1465" i="6"/>
  <c r="B1444" i="6"/>
  <c r="B1411" i="6"/>
  <c r="H1443" i="6"/>
  <c r="D1443" i="6"/>
  <c r="C1443" i="6"/>
  <c r="A1443" i="6"/>
  <c r="H1432" i="6"/>
  <c r="D1432" i="6"/>
  <c r="C1432" i="6"/>
  <c r="A1432" i="6"/>
  <c r="H1421" i="6"/>
  <c r="D1421" i="6"/>
  <c r="C1421" i="6"/>
  <c r="A1421" i="6"/>
  <c r="B1400" i="6"/>
  <c r="H1410" i="6"/>
  <c r="D1410" i="6"/>
  <c r="C1410" i="6"/>
  <c r="A1410" i="6"/>
  <c r="B1389" i="6"/>
  <c r="B1365" i="6"/>
  <c r="H1399" i="6"/>
  <c r="D1399" i="6"/>
  <c r="C1399" i="6"/>
  <c r="A1399" i="6"/>
  <c r="H1388" i="6"/>
  <c r="D1388" i="6"/>
  <c r="C1388" i="6"/>
  <c r="A1388" i="6"/>
  <c r="H1376" i="6"/>
  <c r="D1376" i="6"/>
  <c r="C1376" i="6"/>
  <c r="A1376" i="6"/>
  <c r="H1364" i="6"/>
  <c r="D1364" i="6"/>
  <c r="C1364" i="6"/>
  <c r="A1364" i="6"/>
  <c r="H1352" i="6" l="1"/>
  <c r="D1352" i="6"/>
  <c r="C1352" i="6"/>
  <c r="A1352" i="6"/>
  <c r="H1339" i="6"/>
  <c r="D1339" i="6"/>
  <c r="C1339" i="6"/>
  <c r="A1339" i="6"/>
  <c r="H1327" i="6"/>
  <c r="D1327" i="6"/>
  <c r="C1327" i="6"/>
  <c r="A1327" i="6"/>
  <c r="H1303" i="6"/>
  <c r="D1303" i="6"/>
  <c r="C1303" i="6"/>
  <c r="A1303" i="6"/>
  <c r="H1315" i="6"/>
  <c r="D1315" i="6"/>
  <c r="C1315" i="6"/>
  <c r="A1315" i="6"/>
  <c r="H1291" i="6"/>
  <c r="D1291" i="6"/>
  <c r="C1291" i="6"/>
  <c r="A1291" i="6"/>
  <c r="H1279" i="6"/>
  <c r="D1279" i="6"/>
  <c r="C1279" i="6"/>
  <c r="A1279" i="6"/>
  <c r="B1106" i="6"/>
  <c r="B948" i="6"/>
  <c r="B791" i="6"/>
  <c r="B633" i="6"/>
  <c r="B481" i="6"/>
  <c r="B330" i="6"/>
  <c r="B179" i="6"/>
  <c r="B28" i="6"/>
  <c r="B1111" i="6"/>
  <c r="B1146" i="6" s="1"/>
  <c r="B953" i="6"/>
  <c r="B988" i="6" s="1"/>
  <c r="B796" i="6"/>
  <c r="B638" i="6"/>
  <c r="B622" i="6"/>
  <c r="B623" i="6" s="1"/>
  <c r="B471" i="6"/>
  <c r="B472" i="6" s="1"/>
  <c r="A184" i="6"/>
  <c r="A334" i="6"/>
  <c r="A485" i="6"/>
  <c r="A637" i="6"/>
  <c r="D1267" i="6"/>
  <c r="H1267" i="6"/>
  <c r="C1267" i="6"/>
  <c r="A1267" i="6"/>
  <c r="H334" i="6"/>
  <c r="H485" i="6"/>
  <c r="C485" i="6"/>
  <c r="C334" i="6"/>
  <c r="H1110" i="6"/>
  <c r="C1110" i="6"/>
  <c r="A1110" i="6"/>
  <c r="H952" i="6"/>
  <c r="C952" i="6"/>
  <c r="A952" i="6"/>
  <c r="H795" i="6" l="1"/>
  <c r="D795" i="6"/>
  <c r="C795" i="6"/>
  <c r="A795" i="6"/>
  <c r="H637" i="6"/>
  <c r="D637" i="6"/>
  <c r="C637" i="6"/>
  <c r="H184" i="6"/>
  <c r="D184" i="6"/>
  <c r="C184" i="6"/>
  <c r="D33" i="6"/>
  <c r="H33" i="6"/>
  <c r="C33" i="6"/>
  <c r="A33" i="6"/>
  <c r="B17" i="6"/>
  <c r="H15" i="6"/>
  <c r="C15" i="6"/>
  <c r="A15" i="6"/>
  <c r="D51" i="2"/>
  <c r="B52" i="2"/>
  <c r="B49" i="2"/>
  <c r="B89" i="2"/>
  <c r="B15" i="2" l="1"/>
  <c r="G89" i="2"/>
  <c r="B90" i="2"/>
  <c r="D90" i="2"/>
  <c r="G51" i="2"/>
  <c r="F51" i="2"/>
  <c r="D52" i="2"/>
  <c r="B37" i="2"/>
  <c r="G36" i="2"/>
  <c r="D83" i="2"/>
  <c r="B97" i="2" s="1"/>
  <c r="D82" i="2"/>
  <c r="D36" i="2"/>
  <c r="D37" i="2"/>
  <c r="F36" i="2" s="1"/>
  <c r="C60" i="2"/>
  <c r="B10" i="2"/>
  <c r="J28" i="2"/>
  <c r="B16" i="6"/>
  <c r="B18" i="6"/>
  <c r="F63" i="2"/>
  <c r="E63" i="2"/>
  <c r="H25" i="2"/>
  <c r="G25" i="2"/>
  <c r="F25" i="2"/>
  <c r="E25" i="2"/>
  <c r="D25" i="2"/>
  <c r="C25" i="2"/>
  <c r="C44" i="2"/>
  <c r="F52" i="2"/>
  <c r="G52" i="2"/>
  <c r="B34" i="2"/>
  <c r="D59" i="2"/>
  <c r="F37" i="2"/>
  <c r="G37" i="2"/>
  <c r="D97" i="2" l="1"/>
  <c r="F97" i="2" s="1"/>
  <c r="B98" i="2"/>
  <c r="D98" i="2" s="1"/>
  <c r="G97" i="2"/>
  <c r="G90" i="2"/>
  <c r="C59" i="2"/>
  <c r="D89" i="2"/>
  <c r="F98" i="2" l="1"/>
  <c r="G98" i="2"/>
  <c r="F89" i="2"/>
  <c r="F90" i="2"/>
</calcChain>
</file>

<file path=xl/sharedStrings.xml><?xml version="1.0" encoding="utf-8"?>
<sst xmlns="http://schemas.openxmlformats.org/spreadsheetml/2006/main" count="10028" uniqueCount="695">
  <si>
    <t>Activity</t>
  </si>
  <si>
    <t>location</t>
  </si>
  <si>
    <t>production amount</t>
  </si>
  <si>
    <t>reference product</t>
  </si>
  <si>
    <t>type</t>
  </si>
  <si>
    <t>process</t>
  </si>
  <si>
    <t>unit</t>
  </si>
  <si>
    <t>kilogram</t>
  </si>
  <si>
    <t>source</t>
  </si>
  <si>
    <t>comment</t>
  </si>
  <si>
    <t>Exchanges</t>
  </si>
  <si>
    <t>name</t>
  </si>
  <si>
    <t>amount</t>
  </si>
  <si>
    <t>categories</t>
  </si>
  <si>
    <t>allocation</t>
  </si>
  <si>
    <t>production</t>
  </si>
  <si>
    <t/>
  </si>
  <si>
    <t>megajoule</t>
  </si>
  <si>
    <t>technosphere</t>
  </si>
  <si>
    <t>GREET</t>
  </si>
  <si>
    <t>market for diesel, burned in agricultural machinery</t>
  </si>
  <si>
    <t>diesel, burned in agricultural machinery</t>
  </si>
  <si>
    <t>skip</t>
  </si>
  <si>
    <t>Btu to MJ</t>
  </si>
  <si>
    <t>GLO</t>
  </si>
  <si>
    <t>gallon to liter</t>
  </si>
  <si>
    <t>LHV ethanol [MJ/kg]</t>
  </si>
  <si>
    <t>biosphere</t>
  </si>
  <si>
    <t>ton kilometer</t>
  </si>
  <si>
    <t>lbs to kg</t>
  </si>
  <si>
    <t>268597 Btu per ton</t>
  </si>
  <si>
    <t>miles to km</t>
  </si>
  <si>
    <t>bushel to ton</t>
  </si>
  <si>
    <t>hectare to square meters</t>
  </si>
  <si>
    <t>kg</t>
  </si>
  <si>
    <t>Energy, gross calorific value, in biomass</t>
  </si>
  <si>
    <t>natural resource::biotic</t>
  </si>
  <si>
    <t>cubic meter</t>
  </si>
  <si>
    <t>from "wood chips from softwood forestry, spruce, sustainable forest management, DE" from ecoinvent 3.7.1</t>
  </si>
  <si>
    <t>Wood, soft, standing</t>
  </si>
  <si>
    <t>specific gravity of ethanol</t>
  </si>
  <si>
    <t>acre to square meter</t>
  </si>
  <si>
    <t>Units conversion</t>
  </si>
  <si>
    <t>Fermentation</t>
  </si>
  <si>
    <t>Willow</t>
  </si>
  <si>
    <t>Poplar</t>
  </si>
  <si>
    <t>Switchgrass</t>
  </si>
  <si>
    <t>Miscanthus</t>
  </si>
  <si>
    <t>Corn Stover</t>
  </si>
  <si>
    <t>Forest Residue</t>
  </si>
  <si>
    <t>Electricity credit: kWh per gallon of ethanol</t>
  </si>
  <si>
    <t>Ethanol yield: gallons per dry ton</t>
  </si>
  <si>
    <t>ecoinvent 3.7.1</t>
  </si>
  <si>
    <t>Market price for ethanol [USD/gallon]</t>
  </si>
  <si>
    <t>Market price for electricity [€2005/kWh]</t>
  </si>
  <si>
    <t>USD to € conversion in 2015</t>
  </si>
  <si>
    <t>Input</t>
  </si>
  <si>
    <t>Ouptuts</t>
  </si>
  <si>
    <t>Electricity</t>
  </si>
  <si>
    <t>kWh</t>
  </si>
  <si>
    <t>Turnover</t>
  </si>
  <si>
    <t>EUR_2005</t>
  </si>
  <si>
    <t>% of turnover (allocation key)</t>
  </si>
  <si>
    <t>Ethanol</t>
  </si>
  <si>
    <t>GREET inventories</t>
  </si>
  <si>
    <t>Economic allocation</t>
  </si>
  <si>
    <t>Energy allocation</t>
  </si>
  <si>
    <t>% of energy output (allocation key)</t>
  </si>
  <si>
    <t>Pereira et al. 2019 inventories</t>
  </si>
  <si>
    <t>Sugarcane</t>
  </si>
  <si>
    <t>Ethanol yield: L</t>
  </si>
  <si>
    <t>per t Sugarcane</t>
  </si>
  <si>
    <t>per t Sugarcane straw</t>
  </si>
  <si>
    <t>Electricity credit: kWh per L ethanol</t>
  </si>
  <si>
    <t>Sugarcane ethanol production</t>
  </si>
  <si>
    <t>Outputs</t>
  </si>
  <si>
    <t>Sugarcane [kg]</t>
  </si>
  <si>
    <t>Ethanol [L]</t>
  </si>
  <si>
    <t>Electricity [kWh]</t>
  </si>
  <si>
    <t>Sugarcane straw ethanol production</t>
  </si>
  <si>
    <t>Sugarcane straw [kg]</t>
  </si>
  <si>
    <t>market for transport, freight, lorry, unspecified</t>
  </si>
  <si>
    <t>transport, freight, lorry, unspecified</t>
  </si>
  <si>
    <t>Willow/Poplar/Switchgrass/Miscanthus/Corn stover/Forest residues ethanol production</t>
  </si>
  <si>
    <t>Dry willow/poplar/switchgrass/miscanthus/corn stover/forest residues</t>
  </si>
  <si>
    <t>Ethanol yield: gallons per wet ton</t>
  </si>
  <si>
    <t>Sugarcane, wet</t>
  </si>
  <si>
    <t>Corn</t>
  </si>
  <si>
    <t>Grain sorghum</t>
  </si>
  <si>
    <t>Sweet sorghum</t>
  </si>
  <si>
    <t>Forage sorghum</t>
  </si>
  <si>
    <t>Biogenic CO2 from fermentation: kg per gallon</t>
  </si>
  <si>
    <t>ethanol carbon content (% by wt)</t>
  </si>
  <si>
    <t>ethanol CO2 emission factor [kg CO2/kg]</t>
  </si>
  <si>
    <t>Economic allocation [as given by GREET]</t>
  </si>
  <si>
    <t>Energy allocation [as given by GREET]</t>
  </si>
  <si>
    <t>Dried Distiller Grain with Solubles (DDGS): kg per gallon of ethanol</t>
  </si>
  <si>
    <t>Vinasse: gallon per gallon of ethanol</t>
  </si>
  <si>
    <t>Vinasse composition [g per gallon]</t>
  </si>
  <si>
    <t>N</t>
  </si>
  <si>
    <t>P</t>
  </si>
  <si>
    <t>K</t>
  </si>
  <si>
    <t>Corn oil: lbs per bushel of corn</t>
  </si>
  <si>
    <t>RER</t>
  </si>
  <si>
    <t>CH</t>
  </si>
  <si>
    <t>To account for primary energy in oil</t>
  </si>
  <si>
    <t>LHV [MJ/kg dry]</t>
  </si>
  <si>
    <t>Moisture content [% wt]</t>
  </si>
  <si>
    <t>Carbon uptake during biomass growth, based on 49.6% carbon content, dry, minus moisture content</t>
  </si>
  <si>
    <t>biodiesel CO2 emission factor [kg CO2/kg]</t>
  </si>
  <si>
    <t>Carbon dioxide, in air</t>
  </si>
  <si>
    <t>natural resource::in air</t>
  </si>
  <si>
    <t>LHV biodiesel [MJ/kg]</t>
  </si>
  <si>
    <t>LHV bio-kerosene [MJ/kg]</t>
  </si>
  <si>
    <t>kerosene CO2 emission factor [kg CO2/kg]</t>
  </si>
  <si>
    <t>US ton to metric ton</t>
  </si>
  <si>
    <t>database</t>
  </si>
  <si>
    <t>market for forest residue</t>
  </si>
  <si>
    <t>forest residue</t>
  </si>
  <si>
    <t>Life Cycle Assessment of Biofuels in EU/CH, F. Cozzolini 2018, PSI. Adapted to Switzerland.</t>
  </si>
  <si>
    <t>Max. 100 km by truck.</t>
  </si>
  <si>
    <t>ecoinvent 3.9.1 cutoff</t>
  </si>
  <si>
    <t>heat production, from incineration of plastic waste mixture, energy allocation</t>
  </si>
  <si>
    <t>heat, from incineration of plastic waste mixture, energy allocation</t>
  </si>
  <si>
    <t>electricity production, from incineration of plastic waste mixture, energy allocation</t>
  </si>
  <si>
    <t>kilowatt hour</t>
  </si>
  <si>
    <t>electricity, from incineration of plastic waste mixture, energy allocation</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</si>
  <si>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heat production: 7.66 / (7.66 + 3.93) = 66%. Hence, to deliver 1 MJ of heat: 1/7.66 * 66%.</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</si>
  <si>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3.93MJ/kg electric energy and 7.66MJ/kg thermal energy. Allocation to electricity production: 3.93 / (7.66 + 3.93) = 33%. Hence, to deliver 1 kWh of heat: 3.6/3.93 * 33%.</t>
  </si>
  <si>
    <t>heat production, from biowaste, municipal incineration, energy allocation</t>
  </si>
  <si>
    <t>electricity production, from biowaste, municipal incineration, energy allocation</t>
  </si>
  <si>
    <t>electricity, from biowaste, municipal incineration, energy allocation</t>
  </si>
  <si>
    <t>Grossly adapted from Volkart et al. 2013 to ecoinvent CHP datasets. 90% CO2 capture efficiency. Added 10% energy penalty based on Volkart et al. 2013.</t>
  </si>
  <si>
    <t>carbon dioxide, captured at wood burning power plant 20 MW post, pipeline 200km, storage 1000m</t>
  </si>
  <si>
    <t>Carbon dioxide, non-fossil</t>
  </si>
  <si>
    <t>air</t>
  </si>
  <si>
    <t>electricity production, at co-generation biowaste-fired power plant, post, pipeline 200km, storage 1000m</t>
  </si>
  <si>
    <t>heat production, at co-generation biowaste-fired power plant, post, pipeline 200km, storage 1000m</t>
  </si>
  <si>
    <t>heat, from biowaste, municipal incineration, energy allocation</t>
  </si>
  <si>
    <t>electricity production, at co-generation plastic waste-fired power plant, post, pipeline 200km, storage 1000m</t>
  </si>
  <si>
    <t>heat production, at co-generation plastic waste-fired power plant, post, pipeline 200km, storage 1000m</t>
  </si>
  <si>
    <t>electricity, from plastic waste mixture, municipal incineration, energy allocation</t>
  </si>
  <si>
    <t>heat, from plastic waste mixture, municipal incineration, energy allocation</t>
  </si>
  <si>
    <t>Carbon dioxide, fossil</t>
  </si>
  <si>
    <t>electricity import, from neighboring countries</t>
  </si>
  <si>
    <t>electricity, high voltage</t>
  </si>
  <si>
    <t>market group for electricity, high voltage</t>
  </si>
  <si>
    <t>Link to European electricity.</t>
  </si>
  <si>
    <t>market for ammonia, anhydrous, liquid</t>
  </si>
  <si>
    <t>market for cationic resin</t>
  </si>
  <si>
    <t>market for chemical, inorganic</t>
  </si>
  <si>
    <t>market for chemical, organic</t>
  </si>
  <si>
    <t>market for hydrochloric acid, without water, in 30% solution state</t>
  </si>
  <si>
    <t>market for hydrogen peroxide, without water, in 50% solution state</t>
  </si>
  <si>
    <t>market for iron(III) chloride, without water, in 40% solution state</t>
  </si>
  <si>
    <t>metalliferous hydroxide sludge, Recycled Content cut-off</t>
  </si>
  <si>
    <t>municipal waste incineration facility construction</t>
  </si>
  <si>
    <t>process-specific burdens, residual material landfill</t>
  </si>
  <si>
    <t>process-specific burdens, slag landfill</t>
  </si>
  <si>
    <t>market for quicklime, milled, packed</t>
  </si>
  <si>
    <t>residual material landfill construction</t>
  </si>
  <si>
    <t>slag landfill construction</t>
  </si>
  <si>
    <t>market for sodium hydroxide, without water, in 50% solution state</t>
  </si>
  <si>
    <t>market for spent activated carbon with mercury</t>
  </si>
  <si>
    <t>market for titanium dioxide</t>
  </si>
  <si>
    <t>market for waste cement, hydrated</t>
  </si>
  <si>
    <t>market for water, decarbonised</t>
  </si>
  <si>
    <t>market for cement, unspecified</t>
  </si>
  <si>
    <t>market for heat, district or industrial, natural gas</t>
  </si>
  <si>
    <t>ammonia, anhydrous, liquid</t>
  </si>
  <si>
    <t>cationic resin</t>
  </si>
  <si>
    <t>chemical, inorganic</t>
  </si>
  <si>
    <t>chemical, organic</t>
  </si>
  <si>
    <t>hydrochloric acid, without water, in 30% solution state</t>
  </si>
  <si>
    <t>hydrogen peroxide, without water, in 50% solution state</t>
  </si>
  <si>
    <t>metalliferous hydroxide sludge</t>
  </si>
  <si>
    <t>municipal waste incineration facility</t>
  </si>
  <si>
    <t>quicklime, milled, packed</t>
  </si>
  <si>
    <t>residual material landfill</t>
  </si>
  <si>
    <t>slag landfill</t>
  </si>
  <si>
    <t>sodium hydroxide, without water, in 50% solution state</t>
  </si>
  <si>
    <t>spent activated carbon with mercury</t>
  </si>
  <si>
    <t>titanium dioxide</t>
  </si>
  <si>
    <t>waste cement, hydrated</t>
  </si>
  <si>
    <t>water, decarbonised</t>
  </si>
  <si>
    <t>cement, unspecified</t>
  </si>
  <si>
    <t>heat, district or industrial, natural gas</t>
  </si>
  <si>
    <t>Aluminium III</t>
  </si>
  <si>
    <t>Ammonia</t>
  </si>
  <si>
    <t>Antimony ion</t>
  </si>
  <si>
    <t>Arsenic ion</t>
  </si>
  <si>
    <t>Barium II</t>
  </si>
  <si>
    <t>Benzene</t>
  </si>
  <si>
    <t>Benzene, hexachloro-</t>
  </si>
  <si>
    <t>Benzo(a)pyrene</t>
  </si>
  <si>
    <t>Bromine</t>
  </si>
  <si>
    <t>Cadmium II</t>
  </si>
  <si>
    <t>Carbon monoxide, fossil</t>
  </si>
  <si>
    <t>Chromium III</t>
  </si>
  <si>
    <t>Cobalt II</t>
  </si>
  <si>
    <t>Copper ion</t>
  </si>
  <si>
    <t>Cyanide</t>
  </si>
  <si>
    <t>Dinitrogen monoxide</t>
  </si>
  <si>
    <t>Dioxins, measured as 2,3,7,8-tetrachlorodibenzo-p-dioxin</t>
  </si>
  <si>
    <t>Heat, waste</t>
  </si>
  <si>
    <t>Hydrochloric acid</t>
  </si>
  <si>
    <t>Hydrogen fluoride</t>
  </si>
  <si>
    <t>Iron ion</t>
  </si>
  <si>
    <t>Lead II</t>
  </si>
  <si>
    <t>Manganese II</t>
  </si>
  <si>
    <t>Mercury II</t>
  </si>
  <si>
    <t>Methane, fossil</t>
  </si>
  <si>
    <t>NMVOC, non-methane volatile organic compounds</t>
  </si>
  <si>
    <t>Nickel II</t>
  </si>
  <si>
    <t>Nitrogen oxides</t>
  </si>
  <si>
    <t>Particulate Matter, &lt; 2.5 um</t>
  </si>
  <si>
    <t>Particulate Matter, &gt; 2.5 um and &lt; 10um</t>
  </si>
  <si>
    <t>Phenol, pentachloro-</t>
  </si>
  <si>
    <t>Selenium IV</t>
  </si>
  <si>
    <t>Sodium</t>
  </si>
  <si>
    <t>Strontium</t>
  </si>
  <si>
    <t>Sulfur dioxide</t>
  </si>
  <si>
    <t>Thallium I</t>
  </si>
  <si>
    <t>Tin ion</t>
  </si>
  <si>
    <t>Titanium ion</t>
  </si>
  <si>
    <t>Toluene</t>
  </si>
  <si>
    <t>Vanadium V</t>
  </si>
  <si>
    <t>Water</t>
  </si>
  <si>
    <t>Zinc II</t>
  </si>
  <si>
    <t>BOD5, Biological Oxygen Demand</t>
  </si>
  <si>
    <t>Beryllium II</t>
  </si>
  <si>
    <t>COD, Chemical Oxygen Demand</t>
  </si>
  <si>
    <t>Calcium II</t>
  </si>
  <si>
    <t>Chloride</t>
  </si>
  <si>
    <t>Chromium VI</t>
  </si>
  <si>
    <t>DOC, Dissolved Organic Carbon</t>
  </si>
  <si>
    <t>Fluoride</t>
  </si>
  <si>
    <t>Nitrate</t>
  </si>
  <si>
    <t>Silicon</t>
  </si>
  <si>
    <t>Sodium I</t>
  </si>
  <si>
    <t>Sulfate</t>
  </si>
  <si>
    <t>TOC, Total Organic Carbon</t>
  </si>
  <si>
    <t>Oxygen</t>
  </si>
  <si>
    <t>air::urban air close to ground</t>
  </si>
  <si>
    <t>water::ground-, long-term</t>
  </si>
  <si>
    <t>water::surface water</t>
  </si>
  <si>
    <t>This amount is here is not captured (90% efficiency).</t>
  </si>
  <si>
    <t>Calcium</t>
  </si>
  <si>
    <t>Carbon monoxide, non-fossil</t>
  </si>
  <si>
    <t>Iodine</t>
  </si>
  <si>
    <t>Magnesium</t>
  </si>
  <si>
    <t>Methane, non-fossil</t>
  </si>
  <si>
    <t>Molybdenum VI</t>
  </si>
  <si>
    <t>Phosphorus</t>
  </si>
  <si>
    <t>Potassium I</t>
  </si>
  <si>
    <t>Boron</t>
  </si>
  <si>
    <t>Iodide</t>
  </si>
  <si>
    <t>Phosphate</t>
  </si>
  <si>
    <t>This amount is here to partially cancel the non-fossil CO2 emissions (biomass uptake).</t>
  </si>
  <si>
    <t>Dataset created based on ecoinvent's "treatment of waste plastic, mixture,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electricity production: 0.42 / (1.01 + 0.42) = 29%. Hence, to deliver 1 kWh of electricity: 1/0.42 * 29% * 3.6.</t>
  </si>
  <si>
    <t>current efficiency</t>
  </si>
  <si>
    <t>Dataset created based on ecoinvent's "treatment of biowaste, municipal incineration with fly ash extraction". In ecoinvent, all burden is allocated to waste treatment. In STEM, waste-based heat and electricity are allocated the burden of burning waste. So we allocated the burden of treating waste between heat and electricity production, based on the respective outputs: 0.42MJ/kg electric energy and 1.01MJ/kg thermal energy. Allocation to heat production: 1.01 / (1.01 + 0.42) = 71%. Hence, to deliver 1 MJ of heat: 1/1.01 * 71%. Also added a flow of CO2 uptake to compensate for non-fossil CO2 emissions.</t>
  </si>
  <si>
    <t>biomethane import, from neighboring countries</t>
  </si>
  <si>
    <t>biomethane, high pressure</t>
  </si>
  <si>
    <t>Link to European market.</t>
  </si>
  <si>
    <t>market for biomethane, high pressure</t>
  </si>
  <si>
    <t>RoW</t>
  </si>
  <si>
    <t>kerosene import, from neighboring countries</t>
  </si>
  <si>
    <t>kerosene</t>
  </si>
  <si>
    <t>market for kerosene</t>
  </si>
  <si>
    <t>Europe without Switzerland</t>
  </si>
  <si>
    <t>diesel import, from neighboring countries</t>
  </si>
  <si>
    <t>diesel</t>
  </si>
  <si>
    <t>synthetic kerosene import, from neighboring countries</t>
  </si>
  <si>
    <t>kerosene production, synthetic, Fischer Tropsch process, hydrogen from electrolysis, energy allocation</t>
  </si>
  <si>
    <t>kerosene, synthetic</t>
  </si>
  <si>
    <t>synthetic diesel import, from neighboring countries</t>
  </si>
  <si>
    <t>diesel production, synthetic, Fischer Tropsch process, hydrogen from electrolysis, energy allocation</t>
  </si>
  <si>
    <t>diesel, synthetic</t>
  </si>
  <si>
    <t>synthetic natural gas import, from neighboring countries</t>
  </si>
  <si>
    <t>natural gas, synthetic</t>
  </si>
  <si>
    <t>methane, from electrochemical methanation, with carbon from atmosphere</t>
  </si>
  <si>
    <t>methane, from electrochemical methanation</t>
  </si>
  <si>
    <t>heat, from nuclear power plant</t>
  </si>
  <si>
    <t>heat</t>
  </si>
  <si>
    <t>Free of environmental burden</t>
  </si>
  <si>
    <t>electricity, low voltage</t>
  </si>
  <si>
    <t>market for electricity, low voltage</t>
  </si>
  <si>
    <t>electricity, used in industrial electric boiler</t>
  </si>
  <si>
    <t>electricity, used in industrial heat pump</t>
  </si>
  <si>
    <t>heat production, air-water heat pump 10kW</t>
  </si>
  <si>
    <t>heat, air-water heat pump 10kW</t>
  </si>
  <si>
    <t>light fuel oil, burned in industrial furnace 1MW</t>
  </si>
  <si>
    <t>heat production, light fuel oil, at industrial furnace 1MW</t>
  </si>
  <si>
    <t>heat, district or industrial, other than natural gas</t>
  </si>
  <si>
    <t>heavy fuel oil, burned in industrial furnace 1MW</t>
  </si>
  <si>
    <t>heat production, heavy fuel oil, at industrial furnace 1MW</t>
  </si>
  <si>
    <t>natural gas, burned in industrial furnace &gt;100kW</t>
  </si>
  <si>
    <t>heat production, natural gas, at boiler condensing modulating &gt;100kW</t>
  </si>
  <si>
    <t>hard coal, burned in hard coal industrial furnace 1-10MW</t>
  </si>
  <si>
    <t>heat production, at hard coal industrial furnace 1-10MW</t>
  </si>
  <si>
    <t>heat, from on-site industrial oil-fired CHP</t>
  </si>
  <si>
    <t>heat and power co-generation, oil</t>
  </si>
  <si>
    <t>heat, from on-site industrial gas-fired CHP</t>
  </si>
  <si>
    <t>heat and power co-generation, natural gas, 1MW electrical, lean burn</t>
  </si>
  <si>
    <t>heat, from on-site industrial gas-fired CHP with CCS</t>
  </si>
  <si>
    <t>heat production, at co-generation natural gas-fired power plant, post, pipeline 200km, storage 1000m</t>
  </si>
  <si>
    <t>heat, from on-site industrial fuel cell CHP</t>
  </si>
  <si>
    <t>heat, from on-site industrial non-renewable waste-fired CHP</t>
  </si>
  <si>
    <t>heat, from on-site industrial non-renewable waste-fired CHP with CCS</t>
  </si>
  <si>
    <t>heat production, at co-generation wood-fired power plant, post, pipeline 200km, storage 1000m</t>
  </si>
  <si>
    <t>heat, residential, by combustion of hydrogen using CHP, allocated by exergy, distributed by pipeline, produced by Electrolysis, PEM using electricity from grid</t>
  </si>
  <si>
    <t>heat, from residential heating system</t>
  </si>
  <si>
    <t>wood, burned in wood industrial furnace 1-10MW</t>
  </si>
  <si>
    <t>heat production, wood chips from industry, at furnace 1000kW</t>
  </si>
  <si>
    <t>heat production, wood pellet, at furnace 300kW</t>
  </si>
  <si>
    <t>pellet, burned in pellet industrial furnace 300kW</t>
  </si>
  <si>
    <t>heat, central or small-scale, other than natural gas</t>
  </si>
  <si>
    <t>heat, from on-site industrial wood-fired CHP</t>
  </si>
  <si>
    <t>non-renewable waste, burned in industrial furnace</t>
  </si>
  <si>
    <t>heat, from on-site industrial wood-fired CHP with CCS</t>
  </si>
  <si>
    <t>heat, from on-site industrial hydrogen-fired CHP</t>
  </si>
  <si>
    <t>renewable waste, burned in industrial furnace</t>
  </si>
  <si>
    <t>solar energy, from industrial hot water tank</t>
  </si>
  <si>
    <t>heat production, at hot water tank, solar+electric, flat plate, multiple dwelling</t>
  </si>
  <si>
    <t>heat, solar+electric, multiple-dwelling, for hot water</t>
  </si>
  <si>
    <t>heat and power co-generation, wood chips, 6667 kW</t>
  </si>
  <si>
    <t>electricity, used in industrial electric processes</t>
  </si>
  <si>
    <t>DE</t>
  </si>
  <si>
    <t>gas boiler</t>
  </si>
  <si>
    <t>market for gas boiler</t>
  </si>
  <si>
    <t>meter</t>
  </si>
  <si>
    <t>chimney</t>
  </si>
  <si>
    <t>market for chimney</t>
  </si>
  <si>
    <t>Hydrogen</t>
  </si>
  <si>
    <t>hydrogen burned, in hydrogen boiler</t>
  </si>
  <si>
    <t>heat, from on-site industrial biogas-fired CHP</t>
  </si>
  <si>
    <t>heat and power co-generation, biogas, gas engine</t>
  </si>
  <si>
    <t>electricity, used in residential electric boiler</t>
  </si>
  <si>
    <t>electricity, used in residential heat pump</t>
  </si>
  <si>
    <t>heat, from on-site residential gas-fired CHP</t>
  </si>
  <si>
    <t>heat, from on-site residential fuel cell CHP</t>
  </si>
  <si>
    <t>heat, from on-site residential wood-fired CHP</t>
  </si>
  <si>
    <t>solar energy, from residential hot water tank</t>
  </si>
  <si>
    <t>heat production, light fuel oil, at boiler 10kW condensing, non-modulating</t>
  </si>
  <si>
    <t>light fuel oil, burned in residential 10kW boiler</t>
  </si>
  <si>
    <t>heat production, natural gas, at boiler condensing modulating &lt;100kW</t>
  </si>
  <si>
    <t>heat, central or small-scale, natural gas</t>
  </si>
  <si>
    <t>natural gas, burned in residential natural gas boiler &lt;100kW</t>
  </si>
  <si>
    <t>heat production, hard coal briquette, stove 5-15kW</t>
  </si>
  <si>
    <t>hard coal, burned in hard coal residential boiler 5-15kW</t>
  </si>
  <si>
    <t>heat production, mixed logs, at wood heater 6kW</t>
  </si>
  <si>
    <t>wood, burned in residential wood stove 5-15kW</t>
  </si>
  <si>
    <t>pellet, burned in residential pellet stove 5-15kW</t>
  </si>
  <si>
    <t>heat production, wood pellet, at furnace 9kW</t>
  </si>
  <si>
    <t>electricity, used in residential electric appliances</t>
  </si>
  <si>
    <t>diesel, low-sulfur</t>
  </si>
  <si>
    <t>market for internal combustion engine, passenger car</t>
  </si>
  <si>
    <t>internal combustion engine, passenger car</t>
  </si>
  <si>
    <t>Acetaldehyde</t>
  </si>
  <si>
    <t>Acetone</t>
  </si>
  <si>
    <t>Acrolein</t>
  </si>
  <si>
    <t>Benzaldehyde</t>
  </si>
  <si>
    <t>Butane</t>
  </si>
  <si>
    <t>Ethane</t>
  </si>
  <si>
    <t>Ethylene oxide</t>
  </si>
  <si>
    <t>Formaldehyde</t>
  </si>
  <si>
    <t>Heptane</t>
  </si>
  <si>
    <t>Methyl ethyl ketone</t>
  </si>
  <si>
    <t>PAH, polycyclic aromatic hydrocarbons</t>
  </si>
  <si>
    <t>Pentane</t>
  </si>
  <si>
    <t>Propane</t>
  </si>
  <si>
    <t>Propylene oxide</t>
  </si>
  <si>
    <t>Styrene</t>
  </si>
  <si>
    <t>m-Xylene</t>
  </si>
  <si>
    <t>o-Xylene</t>
  </si>
  <si>
    <t>market for diesel, low-sulfur</t>
  </si>
  <si>
    <t>petrol, low-sulfur</t>
  </si>
  <si>
    <t>1-Pentene</t>
  </si>
  <si>
    <t>Ethylene</t>
  </si>
  <si>
    <t>Hexane</t>
  </si>
  <si>
    <t>Propene</t>
  </si>
  <si>
    <t>market for petrol, low-sulfur</t>
  </si>
  <si>
    <t>natural gas, high pressure</t>
  </si>
  <si>
    <t>market for natural gas, high pressure</t>
  </si>
  <si>
    <t>market for electric motor, electric passenger car</t>
  </si>
  <si>
    <t>electric motor, electric passenger car</t>
  </si>
  <si>
    <t>fuel cell system assembly, 1 kWe, proton exchange membrane (PEM)</t>
  </si>
  <si>
    <t>fuel cell system, 1 kWe, proton exchange membrane (PEM)</t>
  </si>
  <si>
    <t>market for converter, for electric passenger car</t>
  </si>
  <si>
    <t>converter, for electric passenger car</t>
  </si>
  <si>
    <t>market for inverter, for electric passenger car</t>
  </si>
  <si>
    <t>inverter, for electric passenger car</t>
  </si>
  <si>
    <t>market for power distribution unit, for electric passenger car</t>
  </si>
  <si>
    <t>power distribution unit, for electric passenger car</t>
  </si>
  <si>
    <t>description</t>
  </si>
  <si>
    <t>special remark</t>
  </si>
  <si>
    <t>Assumed vehicle's lifetime: 200'000 km. Assumed vehicle energy consumption: 1.8 MJ/vkm.</t>
  </si>
  <si>
    <t>fuel tank, compressed hydrogen gas, 700bar</t>
  </si>
  <si>
    <t>fuel tank assembly, compressed hydrogen gas, 700bar</t>
  </si>
  <si>
    <t>fuel tank assembly, compressed natural gas, 200 bar</t>
  </si>
  <si>
    <t>fuel tank, compressed natural gas, 200 bar</t>
  </si>
  <si>
    <t>Assumed vehicle's lifetime: 200'000 km. Assumed vehicle energy consumption: 3.7 MJ/vkm.</t>
  </si>
  <si>
    <t>market for charger, electric passenger car</t>
  </si>
  <si>
    <t>charger, electric passenger car</t>
  </si>
  <si>
    <t>diesel, low-sulfur, import from Europe</t>
  </si>
  <si>
    <t>Combustion engine power: 287 [kW]. Power share from combustion engine: 100 [%]. Km over lifetime: 700000 [km]. Yearly mileage: 50000 [km/year]. Daily distance driven: 511 [km]. Daily operating time: 9 [hours]. Tank-to-wheel efficiency: 24 [%]. Tank-to-wheel energy consumption: 9105 [kj/km]. Fuel tank capacity: 1292 [kWh]. Maximum passenger capacity: 55 [unit]. Number of passengers onboard: 21 [unit]. Curb mass (excl. driver and cargo): 13074 [kg]. Driving mass (incl. driver and cargo): 15006 [kg].</t>
  </si>
  <si>
    <t>Cradle-to-grave life cycle inventory of a heavy duty truck over its lifetime. carculator_bus is a open-source parametrized truck model that produces life cycle inventories for any desired set of parameters value (lifetime, load factor, power, battery size, fuel blend, etc.): to produce your own inventories, go to https://github.com/romainsacchi/carculator_bus or contact carculator@psi.ch.</t>
  </si>
  <si>
    <t>Sacchi, R., Bauer, C., and Cox, B. Does size matter? The influence of size, load factor, range autonomy and application type on the Life Cycle Assessment of current and future trucks. 2021. Environmental Science and Technology.</t>
  </si>
  <si>
    <t>tag</t>
  </si>
  <si>
    <t>lci-buses</t>
  </si>
  <si>
    <t>other</t>
  </si>
  <si>
    <t>fuel tank, for diesel vehicle</t>
  </si>
  <si>
    <t>fuel tank</t>
  </si>
  <si>
    <t>internal combustion engine, for lorry</t>
  </si>
  <si>
    <t>Combustion engine power: 295 [kW]. Power share from combustion engine: 100 [%]. Km over lifetime: 700000 [km]. Yearly mileage: 50000 [km/year]. Daily distance driven: 511 [km]. Daily operating time: 9 [hours]. Tank-to-wheel efficiency: 19 [%]. Tank-to-wheel energy consumption: 11529 [kj/km]. Fuel tank capacity: 1636 [kWh]. Maximum passenger capacity: 55 [unit]. Number of passengers onboard: 21 [unit]. Curb mass (excl. driver and cargo): 13440 [kg]. Driving mass (incl. driver and cargo): 15372 [kg].</t>
  </si>
  <si>
    <t>Electric motor power: 161 [kW]. Km over lifetime: 700000 [km]. Yearly mileage: 50000 [km/year]. Daily distance driven: 156 [km]. Daily operating time: 6 [hours]. Tank-to-wheel efficiency: 75 [%]. Tank-to-wheel energy consumption: 6132 [kj/km]. Battery capacity: 399 [kWh]. Mass of battery: 2853 [kg]. Maximum passenger capacity: 64 [unit]. Number of passengers onboard: 10 [unit]. Curb mass (excl. driver and cargo): 14070 [kg]. Driving mass (incl. driver and cargo): 14990 [kg].</t>
  </si>
  <si>
    <t>EV charger, level 3, plugin, 200 kW</t>
  </si>
  <si>
    <t>Passenger bus, fuel cell electric, 13m single deck coach bus, 2020</t>
  </si>
  <si>
    <t>Electric motor power: 187 [kW]. Km over lifetime: 700000 [km]. Yearly mileage: 50000 [km/year]. Daily distance driven: 511 [km]. Daily operating time: 9 [hours]. Tank-to-wheel efficiency: 40 [%]. Tank-to-wheel energy consumption: 6323 [kj/km]. Fuel cell system efficiency: 47 [%]. Battery capacity: 80 [kWh]. Fuel tank capacity: 897 [kWh]. Mass of battery: 808 [kg]. Maximum passenger capacity: 55 [unit]. Number of passengers onboard: 21 [unit]. Curb mass (excl. driver and cargo): 13392 [kg]. Driving mass (incl. driver and cargo): 15324 [kg].</t>
  </si>
  <si>
    <t>diesel, burned in single deck coach or urban bus</t>
  </si>
  <si>
    <t>compressed gas, burned in single deck coach or urban bus</t>
  </si>
  <si>
    <t>electricity, used in single deck coach or urban bus</t>
  </si>
  <si>
    <t>hydrogen, used in single deck coach or urban bus</t>
  </si>
  <si>
    <t>Electric motor power: 162 [kW]. Km over lifetime: 1000000 [km]. Yearly mileage: 50000 [km/year]. Daily distance driven: 312 [km]. Daily operating time: 12 [hours]. Tank-to-wheel efficiency: 74 [%]. Tank-to-wheel energy consumption: 5699 [kj/km]. Battery capacity: 66 [kWh]. Mass of battery: 1274 [kg]. Maximum passenger capacity: 64 [unit]. Number of passengers onboard: 10 [unit]. Curb mass (excl. driver and cargo): 12492 [kg]. Driving mass (incl. driver and cargo): 13412 [kg].</t>
  </si>
  <si>
    <t>electricity, used in single deck trolleybus</t>
  </si>
  <si>
    <t>electricity, used in tram</t>
  </si>
  <si>
    <t>transport, tram</t>
  </si>
  <si>
    <t>person kilometer</t>
  </si>
  <si>
    <t>Sacchi R., Bauer C. Life cycle inventories for on-road vehicles. Paul Scherrer Institut, 2021.</t>
  </si>
  <si>
    <t>Power: 14 kW. Lifetime: 38500 km. Annual kilometers: 2405 km. Number of passengers: 1.1. Curb mass: 165.7 kg. Lightweighting of glider: 0%. Emission standard: None. Service visits throughout lifetime: 1.5. Range: 95 km. Battery capacity: 8.1 kWh. Available battery capacity: 6.48 kWh. Battery mass: 52.7 kg. Battery replacement throughout lifetime: 1. Fuel tank capacity: 0 kWh. Fuel mass: 0 kg. Origin of manufacture: China. Shipping distance: 15900 km. Lorry distribution distance: 1000 km. Documentation: Life-cycle inventories for on-road vehicles, Sacchi R. (PSI), Bauer C. (PSI), 2021. process</t>
  </si>
  <si>
    <t>charging station, 3kW</t>
  </si>
  <si>
    <t>Charging station per vehicle [unit]</t>
  </si>
  <si>
    <t>transport, freight, sea, container ship</t>
  </si>
  <si>
    <t>electricity, used in battery electric motorcycle</t>
  </si>
  <si>
    <t>hydrogen, used in hydrogen motorcycle</t>
  </si>
  <si>
    <t>Assumed 10 times smaller than that of a car</t>
  </si>
  <si>
    <t>petrol, burned in motorcycle</t>
  </si>
  <si>
    <t>Cyclohexane</t>
  </si>
  <si>
    <t>Ethene</t>
  </si>
  <si>
    <t>Arsenic</t>
  </si>
  <si>
    <t>Selenium</t>
  </si>
  <si>
    <t>Zinc</t>
  </si>
  <si>
    <t>Copper</t>
  </si>
  <si>
    <t>Nickel</t>
  </si>
  <si>
    <t>Chromium</t>
  </si>
  <si>
    <t>Mercury</t>
  </si>
  <si>
    <t>Cadmium</t>
  </si>
  <si>
    <t>Carbon dioxide, from soil or biomass stock</t>
  </si>
  <si>
    <t>Particulates, &lt; 2.5 um</t>
  </si>
  <si>
    <t>NMVOC, non-methane volatile organic compounds, unspecified origin</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</si>
  <si>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</si>
  <si>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 xml:space="preserve">Combustion engine power: 411 [kW]. Power share from combustion engine: 100 [%]. Km over lifetime: 710000 [km]. Yearly mileage: 60000 [km/year]. Autonomy on a full tank/battery: 150 [km]. Tank-to-wheel efficiency: 27 [%]. Tank-to-wheel energy consumption: 14984 [kj/km]. Fuel tank capacity: 624 [kWh]. Available payload: 25241 [kg]. Payload: 8755 [kg]. Load factor: 34 [%]. Curb mass (excl. driver and cargo): 14683 [kg]. Driving mass (incl. driver and cargo): 23513 [kg]. </t>
  </si>
  <si>
    <t>diesel, burned in heavy duty vehicle</t>
  </si>
  <si>
    <t>Ethane, 1,1,1,2-tetrafluoro-, HFC-134a</t>
  </si>
  <si>
    <t>Hydrocarbons, chlorinated</t>
  </si>
  <si>
    <t>electricity, used in heavy duty vehicle</t>
  </si>
  <si>
    <t>hydrogen, used in heavy duty vehicle</t>
  </si>
  <si>
    <t>compressed gas, burned in heavy duty vehicle</t>
  </si>
  <si>
    <t>Uses an electric scooter charger from ecoinvent 3.7 as a proxy.</t>
  </si>
  <si>
    <t>charger production, for electric scooter</t>
  </si>
  <si>
    <t>charger, for electric scooter</t>
  </si>
  <si>
    <t>treatment of waste electric and electronic equipment, shredding</t>
  </si>
  <si>
    <t>waste electric and electronic equipment</t>
  </si>
  <si>
    <t>Charger</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</si>
  <si>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</si>
  <si>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https://doi.org/10.1016/S0306-2619(01)00032-0</t>
  </si>
  <si>
    <t>Charging stand</t>
  </si>
  <si>
    <t>Storage battery</t>
  </si>
  <si>
    <t>electricity, used in passenger car vehicle</t>
  </si>
  <si>
    <t>hydrogen, used in passenger car vehicle</t>
  </si>
  <si>
    <t>diesel, burned in passenger car vehicle</t>
  </si>
  <si>
    <t>petrol, burned in passenger car vehicle</t>
  </si>
  <si>
    <t>compressed gas, burned in passenger car vehicle</t>
  </si>
  <si>
    <t>iron(III) chloride, without water, in 40% solution state</t>
  </si>
  <si>
    <t>Isohexane</t>
  </si>
  <si>
    <t>Hydrocarbons, aliphatic, alkanes, cyclic</t>
  </si>
  <si>
    <t>Pentachlorobenzene</t>
  </si>
  <si>
    <t xml:space="preserve">Electric motor power: 141 [kW]. Km over lifetime: 200000 [km]. Yearly mileage: 12000 [km/year]. Autonomy on a full tank/battery: 196 [km]. Tank-to-wheel efficiency: 71 [%]. Tank-to-wheel energy consumption: 703 [kj/km]. Battery capacity: 48 [kWh]. Mass of battery: 400 [kg]. Curb mass (excl. driver and cargo): 1764 [kg]. Driving mass (incl. driver and cargo): 1904 [kg]. </t>
  </si>
  <si>
    <t>uncertainty type</t>
  </si>
  <si>
    <t>minimum</t>
  </si>
  <si>
    <t>maximum</t>
  </si>
  <si>
    <t>Energy, geothermal, converted</t>
  </si>
  <si>
    <t>This amount here is not captured (90% efficiency).</t>
  </si>
  <si>
    <t>Oil, crude</t>
  </si>
  <si>
    <t>natural resource::in ground</t>
  </si>
  <si>
    <t>Plastic waste energy input</t>
  </si>
  <si>
    <t>Uranium</t>
  </si>
  <si>
    <t>Plastic waste energy input: 6.1 MJ waste/MJ heat</t>
  </si>
  <si>
    <t>Plastic waste energy input. 9.3 MJ waste/MJ</t>
  </si>
  <si>
    <t>Plastic waste energy input: 6.7 MJ/MJ</t>
  </si>
  <si>
    <t>market for hydrogen, gaseous, low pressure</t>
  </si>
  <si>
    <t>hydrogen, gaseous, low pressure</t>
  </si>
  <si>
    <t>market for chromium trioxide, flakes</t>
  </si>
  <si>
    <t>chromium trioxide, flakes</t>
  </si>
  <si>
    <t>market for battery capacity (MIX scenario)</t>
  </si>
  <si>
    <t>market for battery capacity, Li-ion, LTO</t>
  </si>
  <si>
    <t>loc</t>
  </si>
  <si>
    <t>electricity storage capacity</t>
  </si>
  <si>
    <t>Photovoltaic electricity production.</t>
  </si>
  <si>
    <t>electricity production, photovoltaic, photovoltaic slanted-roof installation, 3 kWp, multi-Si, laminated, integrated</t>
  </si>
  <si>
    <t>electricity production, wind</t>
  </si>
  <si>
    <t>electricity production, wind, 1-3MW turbine, onshore</t>
  </si>
  <si>
    <t>electricity production, from hydrogen fuel cell</t>
  </si>
  <si>
    <t>Wind turbine electricity production.</t>
  </si>
  <si>
    <t>Electricity from hydrogen fuel cell.</t>
  </si>
  <si>
    <t>electricity, residential, by conversion of hydrogen using fuel cell, PEM, allocated by exergy, distributed by pipeline, produced by Electrolysis, PEM using electricity from grid</t>
  </si>
  <si>
    <t>electricity, from residential heating system</t>
  </si>
  <si>
    <t>electricity production, from photovoltaic panels</t>
  </si>
  <si>
    <t xml:space="preserve">Combustion engine power: 416 [kW]. Power share from combustion engine: 100 [%]. Km over lifetime: 1000000 [km]. Yearly mileage: 60000 [km/year]. Autonomy on a full tank/battery: 150 [km]. Tank-to-wheel efficiency: 25 [%]. Tank-to-wheel energy consumption: 16709 [kj/km]. Fuel tank capacity: 696 [kWh]. Available payload: 25040 [kg]. Payload: 8755 [kg]. Load factor: 34 [%]. Curb mass (excl. driver and cargo): 14884 [kg]. Driving mass (incl. driver and cargo): 23714 [kg]. </t>
  </si>
  <si>
    <t xml:space="preserve">Electric motor power: 287 [kW]. Km over lifetime: 1000000 [km]. Yearly mileage: 60000 [km/year]. Autonomy on a full tank/battery: 150 [km]. Tank-to-wheel efficiency: 34 [%]. Tank-to-wheel energy consumption: 10954 [kj/km]. Fuel cell system efficiency: 46 [%]. Battery capacity: 47 [kWh]. Fuel tank capacity: 456 [kWh]. Mass of battery: 473 [kg]. Available payload: 25541 [kg]. Payload: 8755 [kg]. Load factor: 34 [%]. Curb mass (excl. driver and cargo): 14383 [kg]. Driving mass (incl. driver and cargo): 23213 [kg]. </t>
  </si>
  <si>
    <t xml:space="preserve">Electric motor power: 486 [kW]. Km over lifetime: 1000000 [km]. Yearly mileage: 60000 [km/year]. Autonomy on a full tank/battery: 150 [km]. Tank-to-wheel efficiency: 72 [%]. Tank-to-wheel energy consumption: 5447 [kj/km]. Battery capacity: 283 [kWh]. Mass of battery: 2364 [kg]. Available payload: 23696 [kg]. Payload: 8755 [kg]. Load factor: 36 [%]. Curb mass (excl. driver and cargo): 16228 [kg]. Driving mass (incl. driver and cargo): 25058 [kg]. </t>
  </si>
  <si>
    <t>co2_kva</t>
  </si>
  <si>
    <t>2-amino-2-methyl-1-propanol (AMP) production</t>
  </si>
  <si>
    <t>2-amino-2-methyl-1-propanol (AMP)</t>
  </si>
  <si>
    <t>The production process of 2-amino-2-methyl-1-propanol (AMP) is available in neither ev391cutoff nor CarbonMinds. Process is thus approximated with the reaction stochiometry, based on recommendations by Langhorst et al. Source: Burger et al. Environmental imacts of carbon capture, transport, and storage supply chains: Status and the way forward, https://doi.org/10.1016/j.ijggc.2023.104039. Supportive information excel spreadsheet, shhet "B.5 Auxiliary processes"</t>
  </si>
  <si>
    <t>steam production, as energy carrier, in chemical industry</t>
  </si>
  <si>
    <t>heat, from steam, in chemical industry</t>
  </si>
  <si>
    <t>ecoinvent-3.10-cutoff</t>
  </si>
  <si>
    <t>market group for electricity, medium voltage</t>
  </si>
  <si>
    <t>electricity, medium voltage</t>
  </si>
  <si>
    <t>market for formaldehyde</t>
  </si>
  <si>
    <t>formaldehyde</t>
  </si>
  <si>
    <t>market for hydrogen, gaseous, medium pressure, merchant</t>
  </si>
  <si>
    <t>hydrogen, gaseous, medium pressure, merchant</t>
  </si>
  <si>
    <t>market for water, deionised</t>
  </si>
  <si>
    <t>water, deionised</t>
  </si>
  <si>
    <t>market group for light fuel oil</t>
  </si>
  <si>
    <t>light fuel oil</t>
  </si>
  <si>
    <t>market for propane</t>
  </si>
  <si>
    <t>propane</t>
  </si>
  <si>
    <t>Proxy for production of 1.1 kg 1-nitropropane. The production of 1 kg is assumed to take 1.1 kg propane, 1.5 kg nitric acid, and 3 MJ heat. See sheet "literature_CO2_cond_transport for details.</t>
  </si>
  <si>
    <t>market for nitric acid, without water, in 50% solution state</t>
  </si>
  <si>
    <t>nitric acid, without water, in 50% solution state</t>
  </si>
  <si>
    <t>RER w/o RU</t>
  </si>
  <si>
    <t>market for heat, from steam, in chemical industry</t>
  </si>
  <si>
    <t>hydrogen</t>
  </si>
  <si>
    <t>ecoinvent-3.10-biosphere</t>
  </si>
  <si>
    <t>water cooling</t>
  </si>
  <si>
    <t>water, cooled</t>
  </si>
  <si>
    <t>Process water cooling used in the operation of the capture units</t>
  </si>
  <si>
    <t>market for tap water</t>
  </si>
  <si>
    <t>tap water</t>
  </si>
  <si>
    <t>market for lubricating oil</t>
  </si>
  <si>
    <t>lubricating oil</t>
  </si>
  <si>
    <t>market for water pump, 22kW</t>
  </si>
  <si>
    <t>water pump, 22kW</t>
  </si>
  <si>
    <t>market for electricity, for reuse in municipal waste incineration only</t>
  </si>
  <si>
    <t>electricity, for reuse in municipal waste incineration only</t>
  </si>
  <si>
    <t>Note: left unchanged for future versions in the foreground adapted in the background</t>
  </si>
  <si>
    <t>market for waste mineral oil</t>
  </si>
  <si>
    <t>waste mineral oil</t>
  </si>
  <si>
    <t>water pump operation, electric, electricity from waste incineration</t>
  </si>
  <si>
    <t xml:space="preserve">Copy from ecoinvent process so that electricity source can be adjusted. </t>
  </si>
  <si>
    <t>CO2 capture unit operation, waste incineration plant, Linth, Switzerland</t>
  </si>
  <si>
    <t>hour</t>
  </si>
  <si>
    <t>LCI of the operation of the capture unit at KVA Linth. An amine-based capture process is modelled using 2-amino-2-methyl-1-propanol (AMP) as solvent promoted with piperazine (PZ). This mixture has been proven to be more energy efficient than monoethanolamine. The carbon capture rate is assumed to be 90%.  Source: Burger et al. Environmental imacts of carbon capture, transport, and storage supply chains: Status and the way forward, https://doi.org/10.1016/j.ijggc.2023.104039</t>
  </si>
  <si>
    <t>heat, from municipal waste incineration to generic market for heat district or industrial, other than natural gas</t>
  </si>
  <si>
    <t>market for ethylene glycol</t>
  </si>
  <si>
    <t>ethylene glycol</t>
  </si>
  <si>
    <t>Rough proxy for the use of piperazine. See sheet "literature_CO2_cond_transport" for details</t>
  </si>
  <si>
    <t>market for ethylene diamine</t>
  </si>
  <si>
    <t>ethylene diamine</t>
  </si>
  <si>
    <t>treatment of refinery sludge, hazardous waste incineration</t>
  </si>
  <si>
    <t>refinery sludge</t>
  </si>
  <si>
    <t>market for wastewater, average</t>
  </si>
  <si>
    <t>wastewater, average</t>
  </si>
  <si>
    <t>Monoethanolamine</t>
  </si>
  <si>
    <t>CO2 captured at capture unit, waste incineration plant, Linth, Switzerland</t>
  </si>
  <si>
    <t>This capture unit uses a power-and-heat co-generation unit powered by natural gas to supply heat. Source: Burger et al. Environmental imacts of carbon capture, transport, and storage supply chains: Status and the way forward, https://doi.org/10.1016/j.ijggc.2023.104039</t>
  </si>
  <si>
    <t>water production, deionised</t>
  </si>
  <si>
    <t>market for concrete, normal strength</t>
  </si>
  <si>
    <t>concrete, normal strength</t>
  </si>
  <si>
    <t>market for steel, chromium steel 18/8</t>
  </si>
  <si>
    <t>steel, chromium steel 18/8</t>
  </si>
  <si>
    <t>metal working, average for chromium steel product manufacturing</t>
  </si>
  <si>
    <t>market for scrap steel</t>
  </si>
  <si>
    <t>scrap steel</t>
  </si>
  <si>
    <t>market for spent solvent mixture</t>
  </si>
  <si>
    <t>spent solvent mixture</t>
  </si>
  <si>
    <t>market for waste concrete</t>
  </si>
  <si>
    <t>waste concrete</t>
  </si>
  <si>
    <t>Occupation, industrial area</t>
  </si>
  <si>
    <t>square meter-year</t>
  </si>
  <si>
    <t>natural resource::land</t>
  </si>
  <si>
    <t>Transformation, to industrial area</t>
  </si>
  <si>
    <t>square meter</t>
  </si>
  <si>
    <t>Transformation, from unspecified</t>
  </si>
  <si>
    <t xml:space="preserve">Carbon capture efficiency is 90%. It is assumed that the remaining 10% emissions (0.111 kg per kg CO2 captured) are considered to be purely biogenic (KVA Linth says that 50% of the CO2 emissions are biogenic, see sheet "CO2".). The value is set to 0 as no CO2 uptake is modelled within the system boundaries. </t>
  </si>
  <si>
    <t>CO2 conditioning, at 15 bar, waste incineration plant, Linth, Switzerland</t>
  </si>
  <si>
    <t>CO2, conditioned, at 15 bar, waste incineration plant, Linth, Switzerland</t>
  </si>
  <si>
    <t xml:space="preserve">Using refrigerant machine from ecoinvent, no adaptation to NH3 as refrigerant as in Burger et al. </t>
  </si>
  <si>
    <t>assumption no losses</t>
  </si>
  <si>
    <t>air compressor production, screw-type compressor, 300kW</t>
  </si>
  <si>
    <t>air compressor, screw-type compressor, 300kW</t>
  </si>
  <si>
    <t>market for refrigeration machine, carbon dioxide, liquid as refrigerant</t>
  </si>
  <si>
    <t>refrigeration machine, carbon dioxide, liquid as refrigerant</t>
  </si>
  <si>
    <t>market for zeolite, powder</t>
  </si>
  <si>
    <t>zeolite, powder</t>
  </si>
  <si>
    <t>Cooling (with water)</t>
  </si>
  <si>
    <t>treatment of waste concrete, inert material landfill</t>
  </si>
  <si>
    <t>treatment of hazardous waste, hazardous waste incineration</t>
  </si>
  <si>
    <t>hazardous waste, for incineration</t>
  </si>
  <si>
    <t>market for waste zeolite</t>
  </si>
  <si>
    <t>waste zeolite</t>
  </si>
  <si>
    <t>CO2 storage, temporary, 5 days, 15 bar, waste incineration plant, Linth, Switzerland</t>
  </si>
  <si>
    <t>CO2, stored, temporary, 5 days, 15 bar, waste incineration plant, Linth, Switzerland</t>
  </si>
  <si>
    <t>LCI of the temporary storage at KVA Linth. Assumption: storage of liquefied CO2 in vertical pressure vessels with d=4m and height=20m. Total storage capacity of 5 d. Electricity demand approximated from similar process: filling CO2 bulk ships with liquid CO2. The storage takes conditioned liquid CO2 at 15 bar. Temporary storage is needed as discontinuous transport on the road is assumed for bringing the CO2 to the well sites in Switzerland.</t>
  </si>
  <si>
    <t>steel production, electric, chromium steel 18/8</t>
  </si>
  <si>
    <t>CO2 transport, liquid, 15 bar, from waste incineration plant, Linth, Switzerland</t>
  </si>
  <si>
    <t>CO2 transported, liquid, 15 bar, from waste incineration plant, Linth, Switzerland</t>
  </si>
  <si>
    <t>4 wt.% of CO2 is assumed to remain in container. The model includes the transport of the full container on one way and the transport of the empty container on the way back. Trucks are modelled as common state of the art, heavy-duty lorries. Source: Burger et al. Environmental imacts of carbon capture, transport, and storage supply chains: Status and the way forward, https://doi.org/10.1016/j.ijggc.2023.104039</t>
  </si>
  <si>
    <t>transport, freight, lorry &gt;32 metric ton, EURO6</t>
  </si>
  <si>
    <t>Assumption of average distance and counting both for the provision and return trip, as not other products will be transported in these dedicated trucks</t>
  </si>
  <si>
    <t>market for metal working, average for chromium steel product manufacturing</t>
  </si>
  <si>
    <t>CO2 production, supercritical, 90 bar, for pumping into geothermal well</t>
  </si>
  <si>
    <t>CO2, supercritical, 90 bar, for pumping into geothermal well</t>
  </si>
  <si>
    <t>Bringing CO2 from liquid at 15 bar to supercritical state at ca. 90 bar and ambient temperature for a density of 600 kg/m3. This dataset neglects the infrastructure needed for this pressurising step.</t>
  </si>
  <si>
    <t>Assumption: no leakage</t>
  </si>
  <si>
    <t>Assumption: using 0.1 kWh for compressing from 15 bar to 90 bar.</t>
  </si>
  <si>
    <t>CO2 pumping, supercritical, into geothermal well, per meter</t>
  </si>
  <si>
    <t>CO2, supercritical, pumped into geothermal well, per meter</t>
  </si>
  <si>
    <t>Pumping CO2 into well, per meter per kg</t>
  </si>
  <si>
    <t>Assumption: using 0.1 kWh for pumping 1 kg CO2 down 1 m.</t>
  </si>
  <si>
    <t>CO2 captured at capture unit, waste incineration plant, Linth, Switzerland, without CO2 input</t>
  </si>
  <si>
    <t>CO2 conditioning, at 15 bar, waste incineration plant, Linth, Switzerland, without CO2 input and electricity</t>
  </si>
  <si>
    <t>CO2, conditioned, at 15 bar, waste incineration plant, Linth, Switzerland, without CO2 input and electricity</t>
  </si>
  <si>
    <t>CO2 storage, temporary, 5 days, 15 bar, waste incineration plant, Linth, Switzerland, without CO2 input</t>
  </si>
  <si>
    <t>CO2, stored, temporary, 5 days, 15 bar, waste incineration plant, Linth, Switzerland, without CO2 input</t>
  </si>
  <si>
    <t>CO2 transport, liquid, 15 bar, from waste incineration plant, Linth, Switzerland, without CO2 input</t>
  </si>
  <si>
    <t>CO2 transported, liquid, 15 bar, from waste incineration plant, Linth, Switzerland, without CO2 input</t>
  </si>
  <si>
    <t>CO2 production, supercritical, 90 bar, for pumping into geothermal well, without CO2 input and electricity</t>
  </si>
  <si>
    <t>CO2, supercritical, 90 bar, for pumping into geothermal well, without CO2 input</t>
  </si>
  <si>
    <t>CO2 pumping, supercritical, into geothermal well, per meter, without CO2 input and electricity</t>
  </si>
  <si>
    <t>CO2, supercritical, pumped into geothermal well, per meter, without CO2 input and electricity</t>
  </si>
  <si>
    <t>ags</t>
  </si>
  <si>
    <t>market for electricity, medium voltage</t>
  </si>
  <si>
    <t>Energy consumption for drilling, completion and logging. This is assumed to include cooling systems, pumping, drilling rig, etc. It is assumed that 98% of the energy need is covered by electricity, the rest from a backup diesel generator set.</t>
  </si>
  <si>
    <t>Steel consumption for casing</t>
  </si>
  <si>
    <t>market for cement, Portland</t>
  </si>
  <si>
    <t>cement, Portland</t>
  </si>
  <si>
    <t>market for nitrogen, liquid</t>
  </si>
  <si>
    <t>nitrogen, liquid</t>
  </si>
  <si>
    <t>No estimate availabe, technology not yet described, first estimate, known data gap.  Gas flow to cool the plasma generation equipment and to help lifting the rock debris/gases out of the borehole</t>
  </si>
  <si>
    <t>dust collector production, multicyclone</t>
  </si>
  <si>
    <t>dust collector, multicyclone</t>
  </si>
  <si>
    <t>No estimate availabe, technology not yet described, first estimate, known data gap. Cyclone separator for initial gas treatment/particulate removal: infrastructure to separate the solid particles from the gas stream. Gas and dust control infrastructure which includes the following: gas scrubber (wet or dry), gas analysis equipment, containment and storage systems</t>
  </si>
  <si>
    <t>No estimate availabe, technology not yet described, first estimate, known data gap. Energy use per m3 gas treated: depends on gas volume, composition, required treatment level</t>
  </si>
  <si>
    <t>diesel, burned in diesel-electric generating set, 10MW, for oil and gas extraction</t>
  </si>
  <si>
    <t xml:space="preserve">Diesel generator used as backup in case of electricity shortage. It is assumed that 2% of the total energy needs to come from the diesel generator. I assume an efficiency of 40% for the generator. </t>
  </si>
  <si>
    <t>market for drilling waste</t>
  </si>
  <si>
    <t>drilling waste</t>
  </si>
  <si>
    <t>Approximation for the treatment of the drilling waste. The dataset has been created for onshore and offshore oil/gas wells, thus the type of rock to be treated is (partially) different from the rock extracted for an AGS. The market for waste models a transport of 3 km with an unspecified lorry and 25 km with a freight train. This seems very little, but is left unchanged and generic, as the drilling sites and treatment sites of the AGS wells are still unknown.</t>
  </si>
  <si>
    <t>drilling rig construction, plasma pulse geothermal drilling</t>
  </si>
  <si>
    <t>drilling rig, plasma pulse geothermal drilling</t>
  </si>
  <si>
    <t>Installation of the drilling place</t>
  </si>
  <si>
    <t>Occupation, construction site</t>
  </si>
  <si>
    <t xml:space="preserve">Conservative estimate only taking into account the actual drilling/completion/logging time, but neglecting any preparation and clean-up time. </t>
  </si>
  <si>
    <t>Rough assumption. Assumption that the total drilling rig weight is 500 tons, and rough assumption that 70 weight% of it is made from steel, 30% from electronics. Assumption that the drilling rig can be reused for 50 drilling places.</t>
  </si>
  <si>
    <t>market for electronics, for control units</t>
  </si>
  <si>
    <t>electronics, for control units</t>
  </si>
  <si>
    <t>market for reinforcing steel</t>
  </si>
  <si>
    <t>reinforcing steel</t>
  </si>
  <si>
    <t>market for sand</t>
  </si>
  <si>
    <t>sand</t>
  </si>
  <si>
    <t>Reinforced concrete can be separated into cement/steel at the end of life. Assumption: 90% recycling rate for the reinforced steel.</t>
  </si>
  <si>
    <t>market for inert waste, for final disposal</t>
  </si>
  <si>
    <t>inert waste, for final disposal</t>
  </si>
  <si>
    <t>market for electronics scrap from control units</t>
  </si>
  <si>
    <t>electronics scrap from control units</t>
  </si>
  <si>
    <t>well closure, advanced geothermal system, 12000 m vertical 42000 m horizontal, per m, without cement</t>
  </si>
  <si>
    <t>well, closed, advanced geothermal system, 12000 m vertical 42000 m horizontal, per m, without cement</t>
  </si>
  <si>
    <t xml:space="preserve">Closing and backfilling of the well to prevent unwanted events and seal the borehole against fluids. </t>
  </si>
  <si>
    <t>heat and power co-generation unit construction, 1MWel, 6.4 MWth</t>
  </si>
  <si>
    <t>heat and power co-generation unit, 1MWel, 6.4MWth</t>
  </si>
  <si>
    <t>Plain estimate. The building area is ca. 500 m2. Assumed that the surroundings take an additional 500 m2.</t>
  </si>
  <si>
    <t>electricity production, advanced geothermal system plant</t>
  </si>
  <si>
    <t xml:space="preserve">Electricity production with a hypothetical ags system. Maintenance and operation is neglected. </t>
  </si>
  <si>
    <t>Reinjections of lost CO2. Assumed to be 5% of the total iniatial mass over the whole life.</t>
  </si>
  <si>
    <t>aegis_additional_inventories</t>
  </si>
  <si>
    <t>well construction, plasma pulse geothermal drilling, advanced geothermal system, 6000 m vertical, per m</t>
  </si>
  <si>
    <t>well, constructed, plasma pulse geothermal drilling, advanced geothermal system, 6000 m vertical, per m</t>
  </si>
  <si>
    <t xml:space="preserve">Construction of a vertical well with plasma pulse geothermal drilling technology. The vertical depth is 6 km for 1 production well and 1 injection well each, and the horizontal loop length is 42 km. PPGD is assumed to not require drilling mud (and thus no additives like bentonite etc.), and is dry (i.e. does not require water). 
This dataset is based on little technological knowledge on PPGD as this is a technology which doesn't exist yet. It neglects the removal and eventual treatment of substances from the well drilling, e.g. CO2 from carbonate rocks, metal oxides, trace elements, solid residues; in case of wet scrubbers: slurry with dissolved minerals/suspended particles; radioactive materials; water use for cooling or dust suppression; dust collection/gas flow control. No assumptions on the exchange rate of the PPGD equipment in the borehole could be taken. </t>
  </si>
  <si>
    <t>ecoinvent-3.10.1-cutoff</t>
  </si>
  <si>
    <t>Cement consumption for casing, cement slurry. No losses of cement slurry during the filling is accounted for, as it is assumed that the solid granite rock does not have significant geological empty spaces as it may occur in looser sedimentary rock.</t>
  </si>
  <si>
    <t>Water consumption for casing, cement slurry. Water can be potable water, or surface water/groundwater which is tested for minerals/pollutants before use. Not all drilling places may have access to surface/groundwater! I use tap water as a proxy to at least account for some transport/conditioning of the water. No losses of cement slurry during the filling is accounted for, as it is assumed that the solid granite rock does not have significant geological empty spaces as it may occur in looser sedimentary rock.</t>
  </si>
  <si>
    <t>well construction, plasma pulse geothermal drilling, advanced geothermal system, 42000 m horizontal, per m</t>
  </si>
  <si>
    <t>well, constructed, plasma pulse geothermal drilling, advanced geothermal system, 42000 m horizontal, per m</t>
  </si>
  <si>
    <t xml:space="preserve">Construction of a horizontal well with plasma pulse geothermal drilling technology. The vertical depth is 6 km for 1 production well and 1 injection well each, and the horizontal loop length is 42 km. PPGD is assumed to not require drilling mud (and thus no additives like bentonite etc.), and is dry (i.e. does not require water). 
This dataset is based on little technological knowledge on PPGD as this is a technology which doesn't exist yet. It neglects the removal and eventual treatment of substances from the well drilling, e.g. CO2 from carbonate rocks, metal oxides, trace elements, solid residues; in case of wet scrubbers: slurry with dissolved minerals/suspended particles; radioactive materials; water use for cooling or dust suppression; dust collection/gas flow control. No assumptions on the exchange rate of the PPGD equipment in the borehole could be taken. </t>
  </si>
  <si>
    <t>geothermal power plant construction, advanced geothermal system, CO2 working fluid, ca. 1.9 MW, plasma pulse drilling</t>
  </si>
  <si>
    <t>geothermal power plant, advanced geothermal system, CO2 working fluid, ca. 1.9 MW, plasma pulse drilling</t>
  </si>
  <si>
    <t xml:space="preserve">Construction of the surface plant. Based on assumptions. Consists of the surface plant with HEX (geothermal fluid to working fluid of ORC system),  ORC system (evaporator HEX, turbine, generator, condenser, pump), cooling system; the pipes, pumps, land occupation. Further, the well and the CO2 are included in this dataset. </t>
  </si>
  <si>
    <t>surface plant. Approximated very roughly with a CHP plant, organic rankine cycle, 1 Mwel 6.4 MWth. Built for modelling deep geothermal power plants. Assumed lifetime is 30 years.</t>
  </si>
  <si>
    <t>Placeholder for pipes and pumps. Estimated lifetime: 50 years (corrosion, scaling, thermal stress - rather lower lifetime)</t>
  </si>
  <si>
    <t>ecoinvent-3.10.1-biosphere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</si>
</sst>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
    <numFmt numFmtId="165" formatCode="#,##0.0"/>
    <numFmt numFmtId="166" formatCode="[$€-2]\ #,##0;[Red]\-[$€-2]\ #,##0"/>
    <numFmt numFmtId="167" formatCode="0.0"/>
    <numFmt numFmtId="168" formatCode="0.0000"/>
    <numFmt numFmtId="169" formatCode="0.0E+00"/>
    <numFmt numFmtId="170" formatCode="0.000"/>
  </numFmts>
  <fonts count="12">
    <font>
      <sz val="11"/>
      <color theme="1"/>
      <name val="Calibri"/>
      <family val="2"/>
      <scheme val="minor"/>
    </font>
    <font>
      <sz val="12"/>
      <color theme="1"/>
      <name val="Calibri"/>
      <family val="2"/>
      <scheme val="minor"/>
    </font>
    <font>
      <sz val="11"/>
      <color theme="1"/>
      <name val="Calibri"/>
      <family val="2"/>
      <scheme val="minor"/>
    </font>
    <font>
      <b/>
      <sz val="12"/>
      <color theme="1"/>
      <name val="Calibri"/>
      <family val="2"/>
      <scheme val="minor"/>
    </font>
    <font>
      <b/>
      <u/>
      <sz val="11"/>
      <color theme="1"/>
      <name val="Calibri"/>
      <family val="2"/>
      <scheme val="minor"/>
    </font>
    <font>
      <sz val="10"/>
      <name val="Arial"/>
      <family val="2"/>
    </font>
    <font>
      <sz val="11"/>
      <color theme="1"/>
      <name val="Calibri"/>
      <family val="2"/>
    </font>
    <font>
      <b/>
      <sz val="12"/>
      <color rgb="FF000000"/>
      <name val="Calibri"/>
      <family val="2"/>
    </font>
    <font>
      <sz val="12"/>
      <color theme="1"/>
      <name val="Calibri"/>
      <family val="2"/>
    </font>
    <font>
      <b/>
      <sz val="11"/>
      <color theme="1"/>
      <name val="Calibri"/>
      <family val="2"/>
      <scheme val="minor"/>
    </font>
    <font>
      <sz val="12"/>
      <name val="Calibri (Body)"/>
    </font>
    <font>
      <sz val="10"/>
      <color rgb="FF000000"/>
      <name val="Calibri"/>
      <family val="2"/>
      <scheme val="minor"/>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auto="1"/>
      </left>
      <right/>
      <top style="thin">
        <color auto="1"/>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auto="1"/>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auto="1"/>
      </left>
      <right style="thin">
        <color auto="1"/>
      </right>
      <top/>
      <bottom/>
      <diagonal/>
    </border>
  </borders>
  <cellStyleXfs count="2">
    <xf numFmtId="0" fontId="0" fillId="0" borderId="0"/>
    <xf numFmtId="9" fontId="2" fillId="0" borderId="0" applyFont="0" applyFill="0" applyBorder="0" applyAlignment="0" applyProtection="0"/>
  </cellStyleXfs>
  <cellXfs count="72">
    <xf numFmtId="0" fontId="0" fillId="0" borderId="0" xfId="0"/>
    <xf numFmtId="0" fontId="3" fillId="0" borderId="0" xfId="0" applyFont="1"/>
    <xf numFmtId="2" fontId="0" fillId="0" borderId="0" xfId="0" applyNumberFormat="1"/>
    <xf numFmtId="11" fontId="0" fillId="0" borderId="0" xfId="0" applyNumberFormat="1"/>
    <xf numFmtId="0" fontId="4" fillId="0" borderId="0" xfId="0" applyFont="1"/>
    <xf numFmtId="0" fontId="0" fillId="0" borderId="1" xfId="0" applyBorder="1"/>
    <xf numFmtId="0" fontId="0" fillId="0" borderId="1" xfId="0" applyBorder="1" applyAlignment="1">
      <alignment horizontal="right"/>
    </xf>
    <xf numFmtId="0" fontId="0" fillId="0" borderId="2" xfId="0" applyBorder="1"/>
    <xf numFmtId="0" fontId="0" fillId="0" borderId="2" xfId="0" applyBorder="1" applyAlignment="1">
      <alignment horizontal="right"/>
    </xf>
    <xf numFmtId="0" fontId="0" fillId="0" borderId="3" xfId="0" applyBorder="1"/>
    <xf numFmtId="0" fontId="0" fillId="0" borderId="3" xfId="0" applyBorder="1" applyAlignment="1">
      <alignment horizontal="right"/>
    </xf>
    <xf numFmtId="0" fontId="0" fillId="0" borderId="4" xfId="0" applyBorder="1" applyAlignment="1">
      <alignment horizontal="right"/>
    </xf>
    <xf numFmtId="0" fontId="0" fillId="0" borderId="5" xfId="0" applyBorder="1"/>
    <xf numFmtId="164" fontId="5" fillId="0" borderId="5" xfId="1" applyNumberFormat="1" applyFont="1" applyFill="1" applyBorder="1" applyAlignment="1"/>
    <xf numFmtId="164" fontId="5" fillId="0" borderId="0" xfId="1" applyNumberFormat="1" applyFont="1" applyFill="1" applyBorder="1" applyAlignment="1"/>
    <xf numFmtId="164" fontId="0" fillId="0" borderId="0" xfId="0" applyNumberFormat="1"/>
    <xf numFmtId="165" fontId="5" fillId="0" borderId="3" xfId="1" applyNumberFormat="1" applyFont="1" applyFill="1" applyBorder="1" applyAlignment="1"/>
    <xf numFmtId="165" fontId="5" fillId="0" borderId="4" xfId="1" applyNumberFormat="1" applyFont="1" applyFill="1" applyBorder="1" applyAlignment="1"/>
    <xf numFmtId="165" fontId="0" fillId="0" borderId="4" xfId="0" applyNumberFormat="1" applyBorder="1"/>
    <xf numFmtId="0" fontId="0" fillId="0" borderId="6" xfId="0" applyBorder="1" applyAlignment="1">
      <alignment horizontal="right"/>
    </xf>
    <xf numFmtId="0" fontId="0" fillId="0" borderId="7" xfId="0" applyBorder="1" applyAlignment="1">
      <alignment horizontal="right"/>
    </xf>
    <xf numFmtId="165" fontId="0" fillId="0" borderId="7" xfId="0" applyNumberFormat="1" applyBorder="1"/>
    <xf numFmtId="166" fontId="0" fillId="0" borderId="0" xfId="0" applyNumberFormat="1"/>
    <xf numFmtId="9" fontId="0" fillId="0" borderId="0" xfId="1" applyFont="1"/>
    <xf numFmtId="165" fontId="5" fillId="0" borderId="5" xfId="1" applyNumberFormat="1" applyFont="1" applyFill="1" applyBorder="1" applyAlignment="1"/>
    <xf numFmtId="3" fontId="5" fillId="0" borderId="5" xfId="1" applyNumberFormat="1" applyFont="1" applyFill="1" applyBorder="1" applyAlignment="1"/>
    <xf numFmtId="165" fontId="5" fillId="0" borderId="0" xfId="1" applyNumberFormat="1" applyFont="1" applyFill="1" applyBorder="1" applyAlignment="1"/>
    <xf numFmtId="165" fontId="0" fillId="0" borderId="0" xfId="0" applyNumberFormat="1"/>
    <xf numFmtId="0" fontId="0" fillId="0" borderId="0" xfId="0" applyAlignment="1">
      <alignment horizontal="right"/>
    </xf>
    <xf numFmtId="0" fontId="0" fillId="0" borderId="5" xfId="0" applyBorder="1" applyAlignment="1">
      <alignment horizontal="right"/>
    </xf>
    <xf numFmtId="1" fontId="0" fillId="0" borderId="0" xfId="0" applyNumberFormat="1"/>
    <xf numFmtId="0" fontId="0" fillId="0" borderId="4" xfId="0" applyBorder="1"/>
    <xf numFmtId="0" fontId="0" fillId="0" borderId="6" xfId="0" applyBorder="1"/>
    <xf numFmtId="0" fontId="0" fillId="0" borderId="8" xfId="0" applyBorder="1"/>
    <xf numFmtId="0" fontId="0" fillId="0" borderId="9" xfId="0" applyBorder="1"/>
    <xf numFmtId="165" fontId="5" fillId="0" borderId="9" xfId="1" applyNumberFormat="1" applyFont="1" applyFill="1" applyBorder="1" applyAlignment="1"/>
    <xf numFmtId="2" fontId="0" fillId="0" borderId="5" xfId="0" applyNumberFormat="1" applyBorder="1"/>
    <xf numFmtId="167" fontId="0" fillId="0" borderId="4" xfId="0" applyNumberFormat="1" applyBorder="1"/>
    <xf numFmtId="167" fontId="0" fillId="0" borderId="7" xfId="0" applyNumberFormat="1" applyBorder="1"/>
    <xf numFmtId="0" fontId="0" fillId="0" borderId="10" xfId="0" applyBorder="1"/>
    <xf numFmtId="9" fontId="0" fillId="0" borderId="2" xfId="1" applyFont="1" applyBorder="1"/>
    <xf numFmtId="9" fontId="0" fillId="0" borderId="2" xfId="1" applyFont="1" applyFill="1" applyBorder="1"/>
    <xf numFmtId="9" fontId="0" fillId="0" borderId="6" xfId="1" applyFont="1" applyFill="1" applyBorder="1"/>
    <xf numFmtId="9" fontId="0" fillId="0" borderId="4" xfId="1" applyFont="1" applyBorder="1"/>
    <xf numFmtId="9" fontId="0" fillId="0" borderId="4" xfId="1" applyFont="1" applyFill="1" applyBorder="1"/>
    <xf numFmtId="9" fontId="0" fillId="0" borderId="7" xfId="1" applyFont="1" applyFill="1" applyBorder="1"/>
    <xf numFmtId="0" fontId="0" fillId="0" borderId="11" xfId="0" applyBorder="1"/>
    <xf numFmtId="11" fontId="3" fillId="0" borderId="0" xfId="0" applyNumberFormat="1" applyFont="1"/>
    <xf numFmtId="4" fontId="5" fillId="0" borderId="5" xfId="1" applyNumberFormat="1" applyFont="1" applyFill="1" applyBorder="1" applyAlignment="1"/>
    <xf numFmtId="0" fontId="7" fillId="0" borderId="0" xfId="0" applyFont="1"/>
    <xf numFmtId="0" fontId="6" fillId="0" borderId="0" xfId="0" applyFont="1"/>
    <xf numFmtId="11" fontId="6" fillId="0" borderId="0" xfId="0" applyNumberFormat="1" applyFont="1"/>
    <xf numFmtId="2" fontId="6" fillId="0" borderId="0" xfId="0" applyNumberFormat="1" applyFont="1"/>
    <xf numFmtId="0" fontId="2" fillId="0" borderId="0" xfId="0" applyFont="1"/>
    <xf numFmtId="11" fontId="2" fillId="0" borderId="0" xfId="0" applyNumberFormat="1" applyFont="1"/>
    <xf numFmtId="0" fontId="8" fillId="0" borderId="0" xfId="0" applyFont="1"/>
    <xf numFmtId="167" fontId="8" fillId="0" borderId="0" xfId="0" applyNumberFormat="1" applyFont="1"/>
    <xf numFmtId="11" fontId="8" fillId="0" borderId="0" xfId="0" applyNumberFormat="1" applyFont="1"/>
    <xf numFmtId="11" fontId="8" fillId="0" borderId="0" xfId="0" applyNumberFormat="1" applyFont="1" applyAlignment="1">
      <alignment horizontal="right"/>
    </xf>
    <xf numFmtId="168" fontId="8" fillId="0" borderId="0" xfId="0" applyNumberFormat="1" applyFont="1" applyAlignment="1">
      <alignment horizontal="right"/>
    </xf>
    <xf numFmtId="0" fontId="9" fillId="0" borderId="0" xfId="0" applyFont="1"/>
    <xf numFmtId="0" fontId="10" fillId="0" borderId="0" xfId="0" applyFont="1"/>
    <xf numFmtId="169" fontId="8" fillId="0" borderId="0" xfId="0" applyNumberFormat="1" applyFont="1" applyAlignment="1">
      <alignment horizontal="right"/>
    </xf>
    <xf numFmtId="169" fontId="0" fillId="0" borderId="0" xfId="0" applyNumberFormat="1" applyAlignment="1">
      <alignment horizontal="right"/>
    </xf>
    <xf numFmtId="0" fontId="1" fillId="0" borderId="0" xfId="0" applyFont="1"/>
    <xf numFmtId="0" fontId="11" fillId="0" borderId="0" xfId="0" applyFont="1"/>
    <xf numFmtId="170" fontId="0" fillId="0" borderId="0" xfId="0" applyNumberFormat="1"/>
    <xf numFmtId="11" fontId="0" fillId="0" borderId="0" xfId="0" applyNumberFormat="1" applyAlignment="1">
      <alignment horizontal="right"/>
    </xf>
    <xf numFmtId="169" fontId="8" fillId="0" borderId="0" xfId="0" applyNumberFormat="1" applyFont="1"/>
    <xf numFmtId="11" fontId="9" fillId="0" borderId="0" xfId="0" applyNumberFormat="1" applyFont="1"/>
    <xf numFmtId="0" fontId="0" fillId="2" borderId="0" xfId="0" applyFill="1"/>
    <xf numFmtId="11" fontId="0" fillId="2" borderId="0" xfId="0" applyNumberForma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78"/>
  <sheetViews>
    <sheetView tabSelected="1" topLeftCell="A2710" workbookViewId="0">
      <selection activeCell="A2715" sqref="A2715"/>
    </sheetView>
  </sheetViews>
  <sheetFormatPr defaultColWidth="8.85546875" defaultRowHeight="15"/>
  <cols>
    <col min="1" max="1" width="49.85546875" customWidth="1"/>
    <col min="2" max="2" width="38" style="3" customWidth="1"/>
    <col min="4" max="4" width="16.7109375" customWidth="1"/>
    <col min="5" max="5" width="13.28515625" customWidth="1"/>
    <col min="6" max="6" width="11.42578125" customWidth="1"/>
    <col min="7" max="7" width="35.7109375" customWidth="1"/>
    <col min="8" max="8" width="11.85546875" bestFit="1" customWidth="1"/>
    <col min="9" max="9" width="12.28515625" bestFit="1" customWidth="1"/>
    <col min="10" max="10" width="18.7109375" customWidth="1"/>
    <col min="11" max="11" width="11.85546875" bestFit="1" customWidth="1"/>
    <col min="13" max="13" width="9.7109375" bestFit="1" customWidth="1"/>
    <col min="14" max="14" width="10.7109375" bestFit="1" customWidth="1"/>
    <col min="18" max="18" width="9.7109375" bestFit="1" customWidth="1"/>
  </cols>
  <sheetData>
    <row r="1" spans="1:8">
      <c r="A1" t="s">
        <v>116</v>
      </c>
      <c r="B1" s="3" t="s">
        <v>679</v>
      </c>
    </row>
    <row r="2" spans="1:8" ht="16.350000000000001" customHeight="1">
      <c r="A2" s="1"/>
      <c r="B2" s="47"/>
    </row>
    <row r="3" spans="1:8" ht="15.75">
      <c r="A3" s="1" t="s">
        <v>0</v>
      </c>
      <c r="B3" s="47" t="s">
        <v>117</v>
      </c>
    </row>
    <row r="4" spans="1:8">
      <c r="A4" t="s">
        <v>1</v>
      </c>
      <c r="B4" s="3" t="s">
        <v>104</v>
      </c>
    </row>
    <row r="5" spans="1:8">
      <c r="A5" t="s">
        <v>2</v>
      </c>
      <c r="B5" s="3">
        <v>1</v>
      </c>
    </row>
    <row r="6" spans="1:8">
      <c r="A6" t="s">
        <v>3</v>
      </c>
      <c r="B6" s="3" t="s">
        <v>118</v>
      </c>
    </row>
    <row r="7" spans="1:8">
      <c r="A7" t="s">
        <v>4</v>
      </c>
      <c r="B7" s="3" t="s">
        <v>5</v>
      </c>
    </row>
    <row r="8" spans="1:8">
      <c r="A8" t="s">
        <v>6</v>
      </c>
      <c r="B8" s="3" t="s">
        <v>7</v>
      </c>
    </row>
    <row r="9" spans="1:8">
      <c r="A9" t="s">
        <v>8</v>
      </c>
      <c r="B9" s="3" t="s">
        <v>119</v>
      </c>
    </row>
    <row r="10" spans="1:8">
      <c r="A10" t="s">
        <v>106</v>
      </c>
      <c r="B10" s="3">
        <v>19</v>
      </c>
    </row>
    <row r="11" spans="1:8">
      <c r="A11" t="s">
        <v>107</v>
      </c>
      <c r="B11" s="3">
        <v>0</v>
      </c>
    </row>
    <row r="12" spans="1:8">
      <c r="A12" t="s">
        <v>9</v>
      </c>
      <c r="B12" s="3" t="s">
        <v>120</v>
      </c>
    </row>
    <row r="13" spans="1:8" ht="15.75">
      <c r="A13" s="1" t="s">
        <v>10</v>
      </c>
    </row>
    <row r="14" spans="1:8">
      <c r="A14" t="s">
        <v>11</v>
      </c>
      <c r="B14" s="3" t="s">
        <v>12</v>
      </c>
      <c r="C14" t="s">
        <v>1</v>
      </c>
      <c r="D14" t="s">
        <v>6</v>
      </c>
      <c r="E14" t="s">
        <v>13</v>
      </c>
      <c r="F14" t="s">
        <v>4</v>
      </c>
      <c r="G14" t="s">
        <v>9</v>
      </c>
      <c r="H14" t="s">
        <v>3</v>
      </c>
    </row>
    <row r="15" spans="1:8">
      <c r="A15" s="3" t="str">
        <f>B3</f>
        <v>market for forest residue</v>
      </c>
      <c r="B15" s="3">
        <v>1</v>
      </c>
      <c r="C15" s="3" t="str">
        <f>B4</f>
        <v>CH</v>
      </c>
      <c r="D15" t="s">
        <v>7</v>
      </c>
      <c r="F15" t="s">
        <v>15</v>
      </c>
      <c r="G15" t="s">
        <v>16</v>
      </c>
      <c r="H15" s="3" t="str">
        <f>B6</f>
        <v>forest residue</v>
      </c>
    </row>
    <row r="16" spans="1:8">
      <c r="A16" t="s">
        <v>20</v>
      </c>
      <c r="B16" s="3">
        <f>132180*Parameters!$B$3/1000</f>
        <v>0.13945728886199998</v>
      </c>
      <c r="C16" t="s">
        <v>24</v>
      </c>
      <c r="D16" t="s">
        <v>17</v>
      </c>
      <c r="F16" t="s">
        <v>18</v>
      </c>
      <c r="G16" t="s">
        <v>30</v>
      </c>
      <c r="H16" t="s">
        <v>21</v>
      </c>
    </row>
    <row r="17" spans="1:8">
      <c r="A17" t="s">
        <v>81</v>
      </c>
      <c r="B17" s="3">
        <f>0.001*100</f>
        <v>0.1</v>
      </c>
      <c r="C17" t="s">
        <v>103</v>
      </c>
      <c r="D17" t="s">
        <v>28</v>
      </c>
      <c r="F17" t="s">
        <v>18</v>
      </c>
      <c r="G17" t="s">
        <v>16</v>
      </c>
      <c r="H17" t="s">
        <v>82</v>
      </c>
    </row>
    <row r="18" spans="1:8">
      <c r="A18" t="s">
        <v>35</v>
      </c>
      <c r="B18" s="3">
        <f>B10*(1-B11)</f>
        <v>19</v>
      </c>
      <c r="D18" t="s">
        <v>17</v>
      </c>
      <c r="E18" t="s">
        <v>36</v>
      </c>
      <c r="F18" t="s">
        <v>27</v>
      </c>
      <c r="G18" t="s">
        <v>105</v>
      </c>
    </row>
    <row r="19" spans="1:8">
      <c r="A19" t="s">
        <v>110</v>
      </c>
      <c r="B19" s="3">
        <f>0.55*(44/12)*(1-B11)</f>
        <v>2.0166666666666666</v>
      </c>
      <c r="D19" t="s">
        <v>7</v>
      </c>
      <c r="E19" t="s">
        <v>111</v>
      </c>
      <c r="F19" t="s">
        <v>27</v>
      </c>
      <c r="G19" t="s">
        <v>108</v>
      </c>
    </row>
    <row r="20" spans="1:8">
      <c r="A20" t="s">
        <v>39</v>
      </c>
      <c r="B20" s="3">
        <v>2.3256000000000001E-3</v>
      </c>
      <c r="D20" t="s">
        <v>37</v>
      </c>
      <c r="E20" t="s">
        <v>36</v>
      </c>
      <c r="F20" t="s">
        <v>27</v>
      </c>
      <c r="G20" t="s">
        <v>38</v>
      </c>
    </row>
    <row r="21" spans="1:8">
      <c r="G21" s="3"/>
    </row>
    <row r="22" spans="1:8" ht="15.75">
      <c r="A22" s="1" t="s">
        <v>0</v>
      </c>
      <c r="B22" s="47" t="s">
        <v>122</v>
      </c>
    </row>
    <row r="23" spans="1:8">
      <c r="A23" t="s">
        <v>1</v>
      </c>
      <c r="B23" s="3" t="s">
        <v>104</v>
      </c>
    </row>
    <row r="24" spans="1:8">
      <c r="A24" t="s">
        <v>2</v>
      </c>
      <c r="B24" s="3">
        <v>1</v>
      </c>
    </row>
    <row r="25" spans="1:8">
      <c r="A25" t="s">
        <v>3</v>
      </c>
      <c r="B25" s="3" t="s">
        <v>123</v>
      </c>
    </row>
    <row r="26" spans="1:8">
      <c r="A26" t="s">
        <v>4</v>
      </c>
      <c r="B26" s="3" t="s">
        <v>5</v>
      </c>
    </row>
    <row r="27" spans="1:8">
      <c r="A27" t="s">
        <v>6</v>
      </c>
      <c r="B27" s="3" t="s">
        <v>17</v>
      </c>
    </row>
    <row r="28" spans="1:8">
      <c r="A28" t="s">
        <v>260</v>
      </c>
      <c r="B28" s="23">
        <f>0.37*66%</f>
        <v>0.2442</v>
      </c>
    </row>
    <row r="29" spans="1:8">
      <c r="A29" t="s">
        <v>8</v>
      </c>
      <c r="B29" s="3" t="s">
        <v>121</v>
      </c>
    </row>
    <row r="30" spans="1:8">
      <c r="A30" t="s">
        <v>9</v>
      </c>
      <c r="B30" s="3" t="s">
        <v>127</v>
      </c>
    </row>
    <row r="31" spans="1:8" ht="15.75">
      <c r="A31" s="1" t="s">
        <v>10</v>
      </c>
    </row>
    <row r="32" spans="1:8">
      <c r="A32" t="s">
        <v>11</v>
      </c>
      <c r="B32" s="3" t="s">
        <v>12</v>
      </c>
      <c r="C32" t="s">
        <v>1</v>
      </c>
      <c r="D32" t="s">
        <v>6</v>
      </c>
      <c r="E32" t="s">
        <v>13</v>
      </c>
      <c r="F32" t="s">
        <v>4</v>
      </c>
      <c r="G32" t="s">
        <v>9</v>
      </c>
      <c r="H32" t="s">
        <v>3</v>
      </c>
    </row>
    <row r="33" spans="1:8">
      <c r="A33" s="3" t="str">
        <f>B22</f>
        <v>heat production, from incineration of plastic waste mixture, energy allocation</v>
      </c>
      <c r="B33" s="3">
        <v>1</v>
      </c>
      <c r="C33" s="3" t="str">
        <f>B23</f>
        <v>CH</v>
      </c>
      <c r="D33" s="3" t="str">
        <f>B27</f>
        <v>megajoule</v>
      </c>
      <c r="F33" t="s">
        <v>15</v>
      </c>
      <c r="G33" t="s">
        <v>16</v>
      </c>
      <c r="H33" s="3" t="str">
        <f>B25</f>
        <v>heat, from incineration of plastic waste mixture, energy allocation</v>
      </c>
    </row>
    <row r="34" spans="1:8">
      <c r="A34" t="s">
        <v>148</v>
      </c>
      <c r="B34" s="3">
        <v>1.2699741156169109E-4</v>
      </c>
      <c r="C34" s="3" t="s">
        <v>103</v>
      </c>
      <c r="D34" t="s">
        <v>7</v>
      </c>
      <c r="F34" t="s">
        <v>18</v>
      </c>
      <c r="G34" s="2"/>
      <c r="H34" t="s">
        <v>169</v>
      </c>
    </row>
    <row r="35" spans="1:8">
      <c r="A35" t="s">
        <v>149</v>
      </c>
      <c r="B35" s="3">
        <v>3.4647972389991371E-7</v>
      </c>
      <c r="C35" s="3" t="s">
        <v>103</v>
      </c>
      <c r="D35" t="s">
        <v>7</v>
      </c>
      <c r="F35" t="s">
        <v>18</v>
      </c>
      <c r="G35" s="2"/>
      <c r="H35" t="s">
        <v>170</v>
      </c>
    </row>
    <row r="36" spans="1:8">
      <c r="A36" t="s">
        <v>167</v>
      </c>
      <c r="B36" s="3">
        <v>2.8979292493528904E-4</v>
      </c>
      <c r="C36" s="3" t="s">
        <v>104</v>
      </c>
      <c r="D36" t="s">
        <v>7</v>
      </c>
      <c r="F36" t="s">
        <v>18</v>
      </c>
      <c r="G36" s="2"/>
      <c r="H36" t="s">
        <v>185</v>
      </c>
    </row>
    <row r="37" spans="1:8">
      <c r="A37" t="s">
        <v>150</v>
      </c>
      <c r="B37" s="3">
        <v>2.6754961173425365E-5</v>
      </c>
      <c r="C37" s="3" t="s">
        <v>24</v>
      </c>
      <c r="D37" t="s">
        <v>7</v>
      </c>
      <c r="F37" t="s">
        <v>18</v>
      </c>
      <c r="G37" s="2"/>
      <c r="H37" t="s">
        <v>171</v>
      </c>
    </row>
    <row r="38" spans="1:8">
      <c r="A38" t="s">
        <v>151</v>
      </c>
      <c r="B38" s="3">
        <v>1.5343399482312336E-6</v>
      </c>
      <c r="C38" s="3" t="s">
        <v>24</v>
      </c>
      <c r="D38" t="s">
        <v>7</v>
      </c>
      <c r="F38" t="s">
        <v>18</v>
      </c>
      <c r="G38" s="2"/>
      <c r="H38" t="s">
        <v>172</v>
      </c>
    </row>
    <row r="39" spans="1:8">
      <c r="A39" t="s">
        <v>493</v>
      </c>
      <c r="B39" s="3">
        <v>1.623727351164797E-7</v>
      </c>
      <c r="C39" s="3" t="s">
        <v>24</v>
      </c>
      <c r="D39" t="s">
        <v>7</v>
      </c>
      <c r="F39" t="s">
        <v>18</v>
      </c>
      <c r="G39" s="2"/>
      <c r="H39" t="s">
        <v>494</v>
      </c>
    </row>
    <row r="40" spans="1:8">
      <c r="A40" t="s">
        <v>168</v>
      </c>
      <c r="B40" s="3">
        <v>2.3748058671268332E-2</v>
      </c>
      <c r="C40" s="3" t="s">
        <v>104</v>
      </c>
      <c r="D40" t="s">
        <v>17</v>
      </c>
      <c r="F40" t="s">
        <v>18</v>
      </c>
      <c r="G40" s="2"/>
      <c r="H40" t="s">
        <v>186</v>
      </c>
    </row>
    <row r="41" spans="1:8">
      <c r="A41" t="s">
        <v>152</v>
      </c>
      <c r="B41" s="3">
        <v>2.6030198446937014E-5</v>
      </c>
      <c r="C41" s="3" t="s">
        <v>103</v>
      </c>
      <c r="D41" t="s">
        <v>7</v>
      </c>
      <c r="F41" t="s">
        <v>18</v>
      </c>
      <c r="G41" s="2"/>
      <c r="H41" t="s">
        <v>173</v>
      </c>
    </row>
    <row r="42" spans="1:8">
      <c r="A42" t="s">
        <v>153</v>
      </c>
      <c r="B42" s="3">
        <v>4.8353753235547878E-5</v>
      </c>
      <c r="C42" s="3" t="s">
        <v>103</v>
      </c>
      <c r="D42" t="s">
        <v>7</v>
      </c>
      <c r="F42" t="s">
        <v>18</v>
      </c>
      <c r="G42" s="2"/>
      <c r="H42" t="s">
        <v>174</v>
      </c>
    </row>
    <row r="43" spans="1:8">
      <c r="A43" t="s">
        <v>154</v>
      </c>
      <c r="B43" s="3">
        <v>4.1976704055220016E-6</v>
      </c>
      <c r="C43" s="3" t="s">
        <v>24</v>
      </c>
      <c r="D43" t="s">
        <v>7</v>
      </c>
      <c r="F43" t="s">
        <v>18</v>
      </c>
      <c r="G43" s="2"/>
      <c r="H43" t="s">
        <v>474</v>
      </c>
    </row>
    <row r="44" spans="1:8">
      <c r="A44" t="s">
        <v>155</v>
      </c>
      <c r="B44" s="3">
        <v>-3.8813632441760132E-4</v>
      </c>
      <c r="C44" s="3" t="s">
        <v>24</v>
      </c>
      <c r="D44" t="s">
        <v>7</v>
      </c>
      <c r="F44" t="s">
        <v>18</v>
      </c>
      <c r="G44" s="2"/>
      <c r="H44" t="s">
        <v>175</v>
      </c>
    </row>
    <row r="45" spans="1:8">
      <c r="A45" t="s">
        <v>156</v>
      </c>
      <c r="B45" s="3">
        <v>2.157031924072476E-11</v>
      </c>
      <c r="C45" s="3" t="s">
        <v>104</v>
      </c>
      <c r="D45" t="s">
        <v>6</v>
      </c>
      <c r="F45" t="s">
        <v>18</v>
      </c>
      <c r="G45" s="2"/>
      <c r="H45" t="s">
        <v>176</v>
      </c>
    </row>
    <row r="46" spans="1:8">
      <c r="A46" t="s">
        <v>157</v>
      </c>
      <c r="B46" s="3">
        <v>1.4444348576358927E-3</v>
      </c>
      <c r="C46" s="3" t="s">
        <v>104</v>
      </c>
      <c r="D46" t="s">
        <v>7</v>
      </c>
      <c r="F46" t="s">
        <v>18</v>
      </c>
      <c r="G46" s="2"/>
      <c r="H46" t="s">
        <v>157</v>
      </c>
    </row>
    <row r="47" spans="1:8">
      <c r="A47" t="s">
        <v>158</v>
      </c>
      <c r="B47" s="3">
        <v>2.2925798101811907E-3</v>
      </c>
      <c r="C47" s="3" t="s">
        <v>104</v>
      </c>
      <c r="D47" t="s">
        <v>7</v>
      </c>
      <c r="F47" t="s">
        <v>18</v>
      </c>
      <c r="G47" s="2"/>
      <c r="H47" t="s">
        <v>158</v>
      </c>
    </row>
    <row r="48" spans="1:8">
      <c r="A48" t="s">
        <v>159</v>
      </c>
      <c r="B48" s="3">
        <v>8.0711820534943907E-4</v>
      </c>
      <c r="C48" s="3" t="s">
        <v>103</v>
      </c>
      <c r="D48" t="s">
        <v>7</v>
      </c>
      <c r="F48" t="s">
        <v>18</v>
      </c>
      <c r="G48" s="2"/>
      <c r="H48" t="s">
        <v>177</v>
      </c>
    </row>
    <row r="49" spans="1:8">
      <c r="A49" t="s">
        <v>160</v>
      </c>
      <c r="B49" s="3">
        <v>3.0092320966350298E-12</v>
      </c>
      <c r="C49" s="3" t="s">
        <v>104</v>
      </c>
      <c r="D49" t="s">
        <v>6</v>
      </c>
      <c r="F49" t="s">
        <v>18</v>
      </c>
      <c r="G49" s="2"/>
      <c r="H49" t="s">
        <v>178</v>
      </c>
    </row>
    <row r="50" spans="1:8">
      <c r="A50" t="s">
        <v>161</v>
      </c>
      <c r="B50" s="3">
        <v>4.0756686798964627E-12</v>
      </c>
      <c r="C50" s="3" t="s">
        <v>104</v>
      </c>
      <c r="D50" t="s">
        <v>6</v>
      </c>
      <c r="F50" t="s">
        <v>18</v>
      </c>
      <c r="G50" s="2"/>
      <c r="H50" t="s">
        <v>179</v>
      </c>
    </row>
    <row r="51" spans="1:8">
      <c r="A51" t="s">
        <v>162</v>
      </c>
      <c r="B51" s="3">
        <v>2.151768766177739E-4</v>
      </c>
      <c r="C51" s="3" t="s">
        <v>266</v>
      </c>
      <c r="D51" t="s">
        <v>7</v>
      </c>
      <c r="F51" t="s">
        <v>18</v>
      </c>
      <c r="G51" s="2"/>
      <c r="H51" t="s">
        <v>180</v>
      </c>
    </row>
    <row r="52" spans="1:8">
      <c r="A52" t="s">
        <v>163</v>
      </c>
      <c r="B52" s="3">
        <v>-3.6471958584987054E-7</v>
      </c>
      <c r="C52" s="3" t="s">
        <v>24</v>
      </c>
      <c r="D52" t="s">
        <v>7</v>
      </c>
      <c r="F52" t="s">
        <v>18</v>
      </c>
      <c r="G52" s="2"/>
      <c r="H52" t="s">
        <v>181</v>
      </c>
    </row>
    <row r="53" spans="1:8">
      <c r="A53" t="s">
        <v>164</v>
      </c>
      <c r="B53" s="3">
        <v>7.9564279551337343E-6</v>
      </c>
      <c r="C53" s="3" t="s">
        <v>103</v>
      </c>
      <c r="D53" t="s">
        <v>7</v>
      </c>
      <c r="F53" t="s">
        <v>18</v>
      </c>
      <c r="G53" s="2"/>
      <c r="H53" t="s">
        <v>182</v>
      </c>
    </row>
    <row r="54" spans="1:8">
      <c r="A54" t="s">
        <v>81</v>
      </c>
      <c r="B54" s="3">
        <v>1.3596203623813632E-4</v>
      </c>
      <c r="C54" s="3" t="s">
        <v>103</v>
      </c>
      <c r="D54" t="s">
        <v>28</v>
      </c>
      <c r="F54" t="s">
        <v>18</v>
      </c>
      <c r="G54" s="2"/>
      <c r="H54" t="s">
        <v>82</v>
      </c>
    </row>
    <row r="55" spans="1:8">
      <c r="A55" t="s">
        <v>165</v>
      </c>
      <c r="B55" s="3">
        <v>-7.2448662640207061E-4</v>
      </c>
      <c r="C55" s="3" t="s">
        <v>104</v>
      </c>
      <c r="D55" t="s">
        <v>7</v>
      </c>
      <c r="F55" t="s">
        <v>18</v>
      </c>
      <c r="G55" s="2"/>
      <c r="H55" t="s">
        <v>183</v>
      </c>
    </row>
    <row r="56" spans="1:8">
      <c r="A56" t="s">
        <v>166</v>
      </c>
      <c r="B56" s="3">
        <v>0.31717860224331318</v>
      </c>
      <c r="C56" s="3" t="s">
        <v>104</v>
      </c>
      <c r="D56" t="s">
        <v>7</v>
      </c>
      <c r="F56" t="s">
        <v>18</v>
      </c>
      <c r="G56" s="2"/>
      <c r="H56" t="s">
        <v>184</v>
      </c>
    </row>
    <row r="57" spans="1:8">
      <c r="A57" t="s">
        <v>187</v>
      </c>
      <c r="B57" s="3">
        <v>1.3128559102674717E-11</v>
      </c>
      <c r="C57" s="3"/>
      <c r="D57" t="s">
        <v>7</v>
      </c>
      <c r="E57" t="s">
        <v>243</v>
      </c>
      <c r="F57" t="s">
        <v>27</v>
      </c>
      <c r="G57" s="2"/>
    </row>
    <row r="58" spans="1:8">
      <c r="A58" t="s">
        <v>188</v>
      </c>
      <c r="B58" s="3">
        <v>1.4930974978429678E-7</v>
      </c>
      <c r="C58" s="3"/>
      <c r="D58" t="s">
        <v>7</v>
      </c>
      <c r="E58" t="s">
        <v>243</v>
      </c>
      <c r="F58" t="s">
        <v>27</v>
      </c>
      <c r="G58" s="2"/>
    </row>
    <row r="59" spans="1:8">
      <c r="A59" t="s">
        <v>189</v>
      </c>
      <c r="B59" s="3">
        <v>2.7710957722174288E-12</v>
      </c>
      <c r="C59" s="3"/>
      <c r="D59" t="s">
        <v>7</v>
      </c>
      <c r="E59" t="s">
        <v>243</v>
      </c>
      <c r="F59" t="s">
        <v>27</v>
      </c>
      <c r="G59" s="2"/>
    </row>
    <row r="60" spans="1:8">
      <c r="A60" t="s">
        <v>190</v>
      </c>
      <c r="B60" s="3">
        <v>1.1982743744607419E-9</v>
      </c>
      <c r="C60" s="3"/>
      <c r="D60" t="s">
        <v>7</v>
      </c>
      <c r="E60" t="s">
        <v>243</v>
      </c>
      <c r="F60" t="s">
        <v>27</v>
      </c>
      <c r="G60" s="2"/>
    </row>
    <row r="61" spans="1:8">
      <c r="A61" t="s">
        <v>191</v>
      </c>
      <c r="B61" s="3">
        <v>5.8936151855047445E-8</v>
      </c>
      <c r="C61" s="3"/>
      <c r="D61" t="s">
        <v>7</v>
      </c>
      <c r="E61" t="s">
        <v>243</v>
      </c>
      <c r="F61" t="s">
        <v>27</v>
      </c>
      <c r="G61" s="2"/>
    </row>
    <row r="62" spans="1:8">
      <c r="A62" t="s">
        <v>192</v>
      </c>
      <c r="B62" s="3">
        <v>1.2956859361518551E-9</v>
      </c>
      <c r="C62" s="3"/>
      <c r="D62" t="s">
        <v>7</v>
      </c>
      <c r="E62" t="s">
        <v>243</v>
      </c>
      <c r="F62" t="s">
        <v>27</v>
      </c>
      <c r="G62" s="2"/>
    </row>
    <row r="63" spans="1:8">
      <c r="A63" t="s">
        <v>193</v>
      </c>
      <c r="B63" s="3">
        <v>2.7093183779119927E-12</v>
      </c>
      <c r="C63" s="3"/>
      <c r="D63" t="s">
        <v>7</v>
      </c>
      <c r="E63" t="s">
        <v>243</v>
      </c>
      <c r="F63" t="s">
        <v>27</v>
      </c>
      <c r="G63" s="2"/>
    </row>
    <row r="64" spans="1:8">
      <c r="A64" t="s">
        <v>477</v>
      </c>
      <c r="B64" s="3">
        <v>6.8457290767903355E-12</v>
      </c>
      <c r="C64" s="3"/>
      <c r="D64" t="s">
        <v>7</v>
      </c>
      <c r="E64" t="s">
        <v>243</v>
      </c>
      <c r="F64" t="s">
        <v>27</v>
      </c>
      <c r="G64" s="2"/>
    </row>
    <row r="65" spans="1:7">
      <c r="A65" t="s">
        <v>194</v>
      </c>
      <c r="B65" s="3">
        <v>2.8834339948231233E-14</v>
      </c>
      <c r="C65" s="3"/>
      <c r="D65" t="s">
        <v>7</v>
      </c>
      <c r="E65" t="s">
        <v>243</v>
      </c>
      <c r="F65" t="s">
        <v>27</v>
      </c>
      <c r="G65" s="2"/>
    </row>
    <row r="66" spans="1:7">
      <c r="A66" t="s">
        <v>195</v>
      </c>
      <c r="B66" s="3">
        <v>2.815099223468507E-9</v>
      </c>
      <c r="C66" s="3"/>
      <c r="D66" t="s">
        <v>7</v>
      </c>
      <c r="E66" t="s">
        <v>243</v>
      </c>
      <c r="F66" t="s">
        <v>27</v>
      </c>
      <c r="G66" s="2"/>
    </row>
    <row r="67" spans="1:7">
      <c r="A67" t="s">
        <v>196</v>
      </c>
      <c r="B67" s="3">
        <v>3.3329594477998272E-9</v>
      </c>
      <c r="C67" s="3"/>
      <c r="D67" t="s">
        <v>7</v>
      </c>
      <c r="E67" t="s">
        <v>243</v>
      </c>
      <c r="F67" t="s">
        <v>27</v>
      </c>
      <c r="G67" s="2"/>
    </row>
    <row r="68" spans="1:7">
      <c r="A68" t="s">
        <v>143</v>
      </c>
      <c r="B68" s="3">
        <v>0.19924072476272647</v>
      </c>
      <c r="C68" s="3"/>
      <c r="D68" t="s">
        <v>7</v>
      </c>
      <c r="E68" t="s">
        <v>243</v>
      </c>
      <c r="F68" t="s">
        <v>27</v>
      </c>
      <c r="G68" s="2"/>
    </row>
    <row r="69" spans="1:7">
      <c r="A69" t="s">
        <v>197</v>
      </c>
      <c r="B69" s="3">
        <v>2.2025884383088867E-6</v>
      </c>
      <c r="C69" s="3"/>
      <c r="D69" t="s">
        <v>7</v>
      </c>
      <c r="E69" t="s">
        <v>243</v>
      </c>
      <c r="F69" t="s">
        <v>27</v>
      </c>
      <c r="G69" s="2"/>
    </row>
    <row r="70" spans="1:7">
      <c r="A70" t="s">
        <v>198</v>
      </c>
      <c r="B70" s="3">
        <v>2.872993960310612E-9</v>
      </c>
      <c r="C70" s="3"/>
      <c r="D70" t="s">
        <v>7</v>
      </c>
      <c r="E70" t="s">
        <v>243</v>
      </c>
      <c r="F70" t="s">
        <v>27</v>
      </c>
      <c r="G70" s="2"/>
    </row>
    <row r="71" spans="1:7">
      <c r="A71" t="s">
        <v>199</v>
      </c>
      <c r="B71" s="3">
        <v>4.6255392579810181E-9</v>
      </c>
      <c r="C71" s="3"/>
      <c r="D71" t="s">
        <v>7</v>
      </c>
      <c r="E71" t="s">
        <v>243</v>
      </c>
      <c r="F71" t="s">
        <v>27</v>
      </c>
      <c r="G71" s="2"/>
    </row>
    <row r="72" spans="1:7">
      <c r="A72" t="s">
        <v>200</v>
      </c>
      <c r="B72" s="3">
        <v>2.3423641069887831E-9</v>
      </c>
      <c r="C72" s="3"/>
      <c r="D72" t="s">
        <v>7</v>
      </c>
      <c r="E72" t="s">
        <v>243</v>
      </c>
      <c r="F72" t="s">
        <v>27</v>
      </c>
      <c r="G72" s="2"/>
    </row>
    <row r="73" spans="1:7">
      <c r="A73" t="s">
        <v>201</v>
      </c>
      <c r="B73" s="3">
        <v>1.6898188093183777E-6</v>
      </c>
      <c r="C73" s="3"/>
      <c r="D73" t="s">
        <v>7</v>
      </c>
      <c r="E73" t="s">
        <v>243</v>
      </c>
      <c r="F73" t="s">
        <v>27</v>
      </c>
      <c r="G73" s="2"/>
    </row>
    <row r="74" spans="1:7">
      <c r="A74" t="s">
        <v>202</v>
      </c>
      <c r="B74" s="3">
        <v>7.8652286453839509E-6</v>
      </c>
      <c r="C74" s="3"/>
      <c r="D74" t="s">
        <v>7</v>
      </c>
      <c r="E74" t="s">
        <v>243</v>
      </c>
      <c r="F74" t="s">
        <v>27</v>
      </c>
      <c r="G74" s="2"/>
    </row>
    <row r="75" spans="1:7">
      <c r="A75" t="s">
        <v>203</v>
      </c>
      <c r="B75" s="3">
        <v>2.591285591026747E-15</v>
      </c>
      <c r="C75" s="3"/>
      <c r="D75" t="s">
        <v>7</v>
      </c>
      <c r="E75" t="s">
        <v>243</v>
      </c>
      <c r="F75" t="s">
        <v>27</v>
      </c>
      <c r="G75" s="2"/>
    </row>
    <row r="76" spans="1:7">
      <c r="A76" t="s">
        <v>204</v>
      </c>
      <c r="B76" s="3">
        <v>2.1375323554788608</v>
      </c>
      <c r="C76" s="3"/>
      <c r="D76" t="s">
        <v>17</v>
      </c>
      <c r="E76" t="s">
        <v>243</v>
      </c>
      <c r="F76" t="s">
        <v>27</v>
      </c>
      <c r="G76" s="2"/>
    </row>
    <row r="77" spans="1:7">
      <c r="A77" t="s">
        <v>205</v>
      </c>
      <c r="B77" s="3">
        <v>8.9266609145815352E-7</v>
      </c>
      <c r="C77" s="3"/>
      <c r="D77" t="s">
        <v>7</v>
      </c>
      <c r="E77" t="s">
        <v>243</v>
      </c>
      <c r="F77" t="s">
        <v>27</v>
      </c>
      <c r="G77" s="2"/>
    </row>
    <row r="78" spans="1:7">
      <c r="A78" t="s">
        <v>206</v>
      </c>
      <c r="B78" s="3">
        <v>7.9848144952545281E-9</v>
      </c>
      <c r="C78" s="3"/>
      <c r="D78" t="s">
        <v>7</v>
      </c>
      <c r="E78" t="s">
        <v>243</v>
      </c>
      <c r="F78" t="s">
        <v>27</v>
      </c>
      <c r="G78" s="2"/>
    </row>
    <row r="79" spans="1:7">
      <c r="A79" t="s">
        <v>207</v>
      </c>
      <c r="B79" s="3">
        <v>5.3757549611734245E-10</v>
      </c>
      <c r="C79" s="3"/>
      <c r="D79" t="s">
        <v>7</v>
      </c>
      <c r="E79" t="s">
        <v>243</v>
      </c>
      <c r="F79" t="s">
        <v>27</v>
      </c>
      <c r="G79" s="2"/>
    </row>
    <row r="80" spans="1:7">
      <c r="A80" t="s">
        <v>208</v>
      </c>
      <c r="B80" s="3">
        <v>3.0978429680759274E-9</v>
      </c>
      <c r="C80" s="3"/>
      <c r="D80" t="s">
        <v>7</v>
      </c>
      <c r="E80" t="s">
        <v>243</v>
      </c>
      <c r="F80" t="s">
        <v>27</v>
      </c>
      <c r="G80" s="2"/>
    </row>
    <row r="81" spans="1:7">
      <c r="A81" t="s">
        <v>209</v>
      </c>
      <c r="B81" s="3">
        <v>1.228817946505608E-9</v>
      </c>
      <c r="C81" s="3"/>
      <c r="D81" t="s">
        <v>7</v>
      </c>
      <c r="E81" t="s">
        <v>243</v>
      </c>
      <c r="F81" t="s">
        <v>27</v>
      </c>
      <c r="G81" s="2"/>
    </row>
    <row r="82" spans="1:7">
      <c r="A82" t="s">
        <v>210</v>
      </c>
      <c r="B82" s="3">
        <v>1.9383951682484898E-9</v>
      </c>
      <c r="C82" s="3"/>
      <c r="D82" t="s">
        <v>7</v>
      </c>
      <c r="E82" t="s">
        <v>243</v>
      </c>
      <c r="F82" t="s">
        <v>27</v>
      </c>
      <c r="G82" s="2"/>
    </row>
    <row r="83" spans="1:7">
      <c r="A83" t="s">
        <v>211</v>
      </c>
      <c r="B83" s="3">
        <v>1.9435720448662638E-8</v>
      </c>
      <c r="C83" s="3"/>
      <c r="D83" t="s">
        <v>7</v>
      </c>
      <c r="E83" t="s">
        <v>243</v>
      </c>
      <c r="F83" t="s">
        <v>27</v>
      </c>
      <c r="G83" s="2"/>
    </row>
    <row r="84" spans="1:7">
      <c r="A84" t="s">
        <v>212</v>
      </c>
      <c r="B84" s="3">
        <v>5.8968075927523725E-8</v>
      </c>
      <c r="C84" s="3"/>
      <c r="D84" t="s">
        <v>7</v>
      </c>
      <c r="E84" t="s">
        <v>243</v>
      </c>
      <c r="F84" t="s">
        <v>27</v>
      </c>
      <c r="G84" s="2"/>
    </row>
    <row r="85" spans="1:7">
      <c r="A85" t="s">
        <v>213</v>
      </c>
      <c r="B85" s="3">
        <v>2.0834339948231234E-9</v>
      </c>
      <c r="C85" s="3"/>
      <c r="D85" t="s">
        <v>7</v>
      </c>
      <c r="E85" t="s">
        <v>243</v>
      </c>
      <c r="F85" t="s">
        <v>27</v>
      </c>
      <c r="G85" s="2"/>
    </row>
    <row r="86" spans="1:7">
      <c r="A86" t="s">
        <v>214</v>
      </c>
      <c r="B86" s="3">
        <v>4.7282139775668672E-5</v>
      </c>
      <c r="C86" s="3"/>
      <c r="D86" t="s">
        <v>7</v>
      </c>
      <c r="E86" t="s">
        <v>243</v>
      </c>
      <c r="F86" t="s">
        <v>27</v>
      </c>
      <c r="G86" s="2"/>
    </row>
    <row r="87" spans="1:7">
      <c r="A87" t="s">
        <v>215</v>
      </c>
      <c r="B87" s="3">
        <v>1.5470232959447798E-7</v>
      </c>
      <c r="C87" s="3"/>
      <c r="D87" t="s">
        <v>7</v>
      </c>
      <c r="E87" t="s">
        <v>243</v>
      </c>
      <c r="F87" t="s">
        <v>27</v>
      </c>
      <c r="G87" s="2"/>
    </row>
    <row r="88" spans="1:7">
      <c r="A88" t="s">
        <v>216</v>
      </c>
      <c r="B88" s="3">
        <v>7.7737704918032776E-10</v>
      </c>
      <c r="C88" s="3"/>
      <c r="D88" t="s">
        <v>7</v>
      </c>
      <c r="E88" t="s">
        <v>243</v>
      </c>
      <c r="F88" t="s">
        <v>27</v>
      </c>
      <c r="G88" s="2"/>
    </row>
    <row r="89" spans="1:7">
      <c r="A89" t="s">
        <v>217</v>
      </c>
      <c r="B89" s="3">
        <v>5.642709232096634E-13</v>
      </c>
      <c r="C89" s="3"/>
      <c r="D89" t="s">
        <v>7</v>
      </c>
      <c r="E89" t="s">
        <v>243</v>
      </c>
      <c r="F89" t="s">
        <v>27</v>
      </c>
      <c r="G89" s="2"/>
    </row>
    <row r="90" spans="1:7">
      <c r="A90" t="s">
        <v>218</v>
      </c>
      <c r="B90" s="3">
        <v>2.0169974115616912E-9</v>
      </c>
      <c r="C90" s="3"/>
      <c r="D90" t="s">
        <v>7</v>
      </c>
      <c r="E90" t="s">
        <v>243</v>
      </c>
      <c r="F90" t="s">
        <v>27</v>
      </c>
      <c r="G90" s="2"/>
    </row>
    <row r="91" spans="1:7">
      <c r="A91" t="s">
        <v>219</v>
      </c>
      <c r="B91" s="3">
        <v>9.6867989646246756E-7</v>
      </c>
      <c r="C91" s="3"/>
      <c r="D91" t="s">
        <v>7</v>
      </c>
      <c r="E91" t="s">
        <v>243</v>
      </c>
      <c r="F91" t="s">
        <v>27</v>
      </c>
      <c r="G91" s="2"/>
    </row>
    <row r="92" spans="1:7">
      <c r="A92" t="s">
        <v>220</v>
      </c>
      <c r="B92" s="3">
        <v>7.1252804141501287E-10</v>
      </c>
      <c r="C92" s="3"/>
      <c r="D92" t="s">
        <v>7</v>
      </c>
      <c r="E92" t="s">
        <v>243</v>
      </c>
      <c r="F92" t="s">
        <v>27</v>
      </c>
      <c r="G92" s="2"/>
    </row>
    <row r="93" spans="1:7">
      <c r="A93" t="s">
        <v>221</v>
      </c>
      <c r="B93" s="3">
        <v>1.2907679033649697E-6</v>
      </c>
      <c r="C93" s="3"/>
      <c r="D93" t="s">
        <v>7</v>
      </c>
      <c r="E93" t="s">
        <v>243</v>
      </c>
      <c r="F93" t="s">
        <v>27</v>
      </c>
      <c r="G93" s="2"/>
    </row>
    <row r="94" spans="1:7">
      <c r="A94" t="s">
        <v>222</v>
      </c>
      <c r="B94" s="3">
        <v>3.2204486626402068E-11</v>
      </c>
      <c r="C94" s="3"/>
      <c r="D94" t="s">
        <v>7</v>
      </c>
      <c r="E94" t="s">
        <v>243</v>
      </c>
      <c r="F94" t="s">
        <v>27</v>
      </c>
      <c r="G94" s="2"/>
    </row>
    <row r="95" spans="1:7">
      <c r="A95" t="s">
        <v>223</v>
      </c>
      <c r="B95" s="3">
        <v>1.3781708369283865E-12</v>
      </c>
      <c r="C95" s="3"/>
      <c r="D95" t="s">
        <v>7</v>
      </c>
      <c r="E95" t="s">
        <v>243</v>
      </c>
      <c r="F95" t="s">
        <v>27</v>
      </c>
      <c r="G95" s="2"/>
    </row>
    <row r="96" spans="1:7">
      <c r="A96" t="s">
        <v>224</v>
      </c>
      <c r="B96" s="3">
        <v>6.679637618636755E-8</v>
      </c>
      <c r="C96" s="3"/>
      <c r="D96" t="s">
        <v>7</v>
      </c>
      <c r="E96" t="s">
        <v>243</v>
      </c>
      <c r="F96" t="s">
        <v>27</v>
      </c>
      <c r="G96" s="2"/>
    </row>
    <row r="97" spans="1:7">
      <c r="A97" t="s">
        <v>225</v>
      </c>
      <c r="B97" s="3">
        <v>2.5914581535806724E-9</v>
      </c>
      <c r="C97" s="3"/>
      <c r="D97" t="s">
        <v>7</v>
      </c>
      <c r="E97" t="s">
        <v>243</v>
      </c>
      <c r="F97" t="s">
        <v>27</v>
      </c>
      <c r="G97" s="2"/>
    </row>
    <row r="98" spans="1:7">
      <c r="A98" t="s">
        <v>226</v>
      </c>
      <c r="B98" s="3">
        <v>4.920362381363243E-7</v>
      </c>
      <c r="C98" s="3"/>
      <c r="D98" t="s">
        <v>7</v>
      </c>
      <c r="E98" t="s">
        <v>243</v>
      </c>
      <c r="F98" t="s">
        <v>27</v>
      </c>
      <c r="G98" s="2"/>
    </row>
    <row r="99" spans="1:7">
      <c r="A99" t="s">
        <v>227</v>
      </c>
      <c r="B99" s="3">
        <v>2.9460681622088005E-4</v>
      </c>
      <c r="C99" s="3"/>
      <c r="D99" t="s">
        <v>37</v>
      </c>
      <c r="E99" t="s">
        <v>243</v>
      </c>
      <c r="F99" t="s">
        <v>27</v>
      </c>
      <c r="G99" s="2"/>
    </row>
    <row r="100" spans="1:7">
      <c r="A100" t="s">
        <v>228</v>
      </c>
      <c r="B100" s="3">
        <v>3.0169974115616903E-8</v>
      </c>
      <c r="C100" s="3"/>
      <c r="D100" t="s">
        <v>7</v>
      </c>
      <c r="E100" t="s">
        <v>243</v>
      </c>
      <c r="F100" t="s">
        <v>27</v>
      </c>
      <c r="G100" s="2"/>
    </row>
    <row r="101" spans="1:7">
      <c r="A101" t="s">
        <v>187</v>
      </c>
      <c r="B101" s="3">
        <v>1.500776531492666E-5</v>
      </c>
      <c r="C101" s="3"/>
      <c r="D101" t="s">
        <v>7</v>
      </c>
      <c r="E101" t="s">
        <v>244</v>
      </c>
      <c r="F101" t="s">
        <v>27</v>
      </c>
      <c r="G101" s="2"/>
    </row>
    <row r="102" spans="1:7">
      <c r="A102" t="s">
        <v>187</v>
      </c>
      <c r="B102" s="3">
        <v>5.4982743744607411E-9</v>
      </c>
      <c r="C102" s="3"/>
      <c r="D102" t="s">
        <v>7</v>
      </c>
      <c r="E102" t="s">
        <v>245</v>
      </c>
      <c r="F102" t="s">
        <v>27</v>
      </c>
      <c r="G102" s="2"/>
    </row>
    <row r="103" spans="1:7">
      <c r="A103" t="s">
        <v>189</v>
      </c>
      <c r="B103" s="3">
        <v>1.4037100949094044E-6</v>
      </c>
      <c r="C103" s="3"/>
      <c r="D103" t="s">
        <v>7</v>
      </c>
      <c r="E103" t="s">
        <v>244</v>
      </c>
      <c r="F103" t="s">
        <v>27</v>
      </c>
      <c r="G103" s="2"/>
    </row>
    <row r="104" spans="1:7">
      <c r="A104" t="s">
        <v>189</v>
      </c>
      <c r="B104" s="3">
        <v>6.7987057808455564E-7</v>
      </c>
      <c r="C104" s="3"/>
      <c r="D104" t="s">
        <v>7</v>
      </c>
      <c r="E104" t="s">
        <v>245</v>
      </c>
      <c r="F104" t="s">
        <v>27</v>
      </c>
      <c r="G104" s="2"/>
    </row>
    <row r="105" spans="1:7">
      <c r="A105" t="s">
        <v>190</v>
      </c>
      <c r="B105" s="3">
        <v>9.3261432269197588E-8</v>
      </c>
      <c r="C105" s="3"/>
      <c r="D105" t="s">
        <v>7</v>
      </c>
      <c r="E105" t="s">
        <v>244</v>
      </c>
      <c r="F105" t="s">
        <v>27</v>
      </c>
      <c r="G105" s="2"/>
    </row>
    <row r="106" spans="1:7">
      <c r="A106" t="s">
        <v>190</v>
      </c>
      <c r="B106" s="3">
        <v>5.9814495254529765E-8</v>
      </c>
      <c r="C106" s="3"/>
      <c r="D106" t="s">
        <v>7</v>
      </c>
      <c r="E106" t="s">
        <v>245</v>
      </c>
      <c r="F106" t="s">
        <v>27</v>
      </c>
      <c r="G106" s="2"/>
    </row>
    <row r="107" spans="1:7">
      <c r="A107" t="s">
        <v>229</v>
      </c>
      <c r="B107" s="3">
        <v>1.3251078515962033E-4</v>
      </c>
      <c r="C107" s="3"/>
      <c r="D107" t="s">
        <v>7</v>
      </c>
      <c r="E107" t="s">
        <v>244</v>
      </c>
      <c r="F107" t="s">
        <v>27</v>
      </c>
      <c r="G107" s="2"/>
    </row>
    <row r="108" spans="1:7">
      <c r="A108" t="s">
        <v>229</v>
      </c>
      <c r="B108" s="3">
        <v>4.0669542709232094E-5</v>
      </c>
      <c r="C108" s="3"/>
      <c r="D108" t="s">
        <v>7</v>
      </c>
      <c r="E108" t="s">
        <v>245</v>
      </c>
      <c r="F108" t="s">
        <v>27</v>
      </c>
      <c r="G108" s="2"/>
    </row>
    <row r="109" spans="1:7">
      <c r="A109" t="s">
        <v>191</v>
      </c>
      <c r="B109" s="3">
        <v>1.0969801553062984E-5</v>
      </c>
      <c r="C109" s="3"/>
      <c r="D109" t="s">
        <v>7</v>
      </c>
      <c r="E109" t="s">
        <v>244</v>
      </c>
      <c r="F109" t="s">
        <v>27</v>
      </c>
      <c r="G109" s="2"/>
    </row>
    <row r="110" spans="1:7">
      <c r="A110" t="s">
        <v>191</v>
      </c>
      <c r="B110" s="3">
        <v>6.3710094909404658E-9</v>
      </c>
      <c r="C110" s="3"/>
      <c r="D110" t="s">
        <v>7</v>
      </c>
      <c r="E110" t="s">
        <v>245</v>
      </c>
      <c r="F110" t="s">
        <v>27</v>
      </c>
      <c r="G110" s="2"/>
    </row>
    <row r="111" spans="1:7">
      <c r="A111" t="s">
        <v>230</v>
      </c>
      <c r="B111" s="3">
        <v>3.777911993097497E-8</v>
      </c>
      <c r="C111" s="3"/>
      <c r="D111" t="s">
        <v>7</v>
      </c>
      <c r="E111" t="s">
        <v>244</v>
      </c>
      <c r="F111" t="s">
        <v>27</v>
      </c>
      <c r="G111" s="2"/>
    </row>
    <row r="112" spans="1:7">
      <c r="A112" t="s">
        <v>230</v>
      </c>
      <c r="B112" s="3">
        <v>2.5052631578947369E-11</v>
      </c>
      <c r="C112" s="3"/>
      <c r="D112" t="s">
        <v>7</v>
      </c>
      <c r="E112" t="s">
        <v>245</v>
      </c>
      <c r="F112" t="s">
        <v>27</v>
      </c>
      <c r="G112" s="2"/>
    </row>
    <row r="113" spans="1:7">
      <c r="A113" t="s">
        <v>195</v>
      </c>
      <c r="B113" s="3">
        <v>2.9215703192407247E-7</v>
      </c>
      <c r="C113" s="3"/>
      <c r="D113" t="s">
        <v>7</v>
      </c>
      <c r="E113" t="s">
        <v>244</v>
      </c>
      <c r="F113" t="s">
        <v>27</v>
      </c>
      <c r="G113" s="2"/>
    </row>
    <row r="114" spans="1:7">
      <c r="A114" t="s">
        <v>195</v>
      </c>
      <c r="B114" s="3">
        <v>5.2295081967213105E-6</v>
      </c>
      <c r="C114" s="3"/>
      <c r="D114" t="s">
        <v>7</v>
      </c>
      <c r="E114" t="s">
        <v>245</v>
      </c>
      <c r="F114" t="s">
        <v>27</v>
      </c>
      <c r="G114" s="2"/>
    </row>
    <row r="115" spans="1:7">
      <c r="A115" t="s">
        <v>231</v>
      </c>
      <c r="B115" s="3">
        <v>4.0510785159620358E-4</v>
      </c>
      <c r="C115" s="3"/>
      <c r="D115" t="s">
        <v>7</v>
      </c>
      <c r="E115" t="s">
        <v>244</v>
      </c>
      <c r="F115" t="s">
        <v>27</v>
      </c>
      <c r="G115" s="2"/>
    </row>
    <row r="116" spans="1:7">
      <c r="A116" t="s">
        <v>231</v>
      </c>
      <c r="B116" s="3">
        <v>4.1559102674719583E-5</v>
      </c>
      <c r="C116" s="3"/>
      <c r="D116" t="s">
        <v>7</v>
      </c>
      <c r="E116" t="s">
        <v>245</v>
      </c>
      <c r="F116" t="s">
        <v>27</v>
      </c>
      <c r="G116" s="2"/>
    </row>
    <row r="117" spans="1:7">
      <c r="A117" t="s">
        <v>196</v>
      </c>
      <c r="B117" s="3">
        <v>1.0484037963761862E-6</v>
      </c>
      <c r="C117" s="3"/>
      <c r="D117" t="s">
        <v>7</v>
      </c>
      <c r="E117" t="s">
        <v>244</v>
      </c>
      <c r="F117" t="s">
        <v>27</v>
      </c>
      <c r="G117" s="2"/>
    </row>
    <row r="118" spans="1:7">
      <c r="A118" t="s">
        <v>196</v>
      </c>
      <c r="B118" s="3">
        <v>1.1622088006902501E-9</v>
      </c>
      <c r="C118" s="3"/>
      <c r="D118" t="s">
        <v>7</v>
      </c>
      <c r="E118" t="s">
        <v>245</v>
      </c>
      <c r="F118" t="s">
        <v>27</v>
      </c>
      <c r="G118" s="2"/>
    </row>
    <row r="119" spans="1:7">
      <c r="A119" t="s">
        <v>232</v>
      </c>
      <c r="B119" s="3">
        <v>1.2359792924935289E-5</v>
      </c>
      <c r="C119" s="3"/>
      <c r="D119" t="s">
        <v>7</v>
      </c>
      <c r="E119" t="s">
        <v>244</v>
      </c>
      <c r="F119" t="s">
        <v>27</v>
      </c>
      <c r="G119" s="2"/>
    </row>
    <row r="120" spans="1:7">
      <c r="A120" t="s">
        <v>232</v>
      </c>
      <c r="B120" s="3">
        <v>2.0633304572907679E-8</v>
      </c>
      <c r="C120" s="3"/>
      <c r="D120" t="s">
        <v>7</v>
      </c>
      <c r="E120" t="s">
        <v>245</v>
      </c>
      <c r="F120" t="s">
        <v>27</v>
      </c>
      <c r="G120" s="2"/>
    </row>
    <row r="121" spans="1:7">
      <c r="A121" t="s">
        <v>233</v>
      </c>
      <c r="B121" s="3">
        <v>1.9704918032786882E-4</v>
      </c>
      <c r="C121" s="3"/>
      <c r="D121" t="s">
        <v>7</v>
      </c>
      <c r="E121" t="s">
        <v>244</v>
      </c>
      <c r="F121" t="s">
        <v>27</v>
      </c>
      <c r="G121" s="2"/>
    </row>
    <row r="122" spans="1:7">
      <c r="A122" t="s">
        <v>233</v>
      </c>
      <c r="B122" s="3">
        <v>1.3287316652286453E-3</v>
      </c>
      <c r="C122" s="3"/>
      <c r="D122" t="s">
        <v>7</v>
      </c>
      <c r="E122" t="s">
        <v>245</v>
      </c>
      <c r="F122" t="s">
        <v>27</v>
      </c>
      <c r="G122" s="2"/>
    </row>
    <row r="123" spans="1:7">
      <c r="A123" t="s">
        <v>198</v>
      </c>
      <c r="B123" s="3">
        <v>4.2713546160483174E-10</v>
      </c>
      <c r="C123" s="3"/>
      <c r="D123" t="s">
        <v>7</v>
      </c>
      <c r="E123" t="s">
        <v>245</v>
      </c>
      <c r="F123" t="s">
        <v>27</v>
      </c>
      <c r="G123" s="2"/>
    </row>
    <row r="124" spans="1:7">
      <c r="A124" t="s">
        <v>234</v>
      </c>
      <c r="B124" s="3">
        <v>1.7395168248490077E-7</v>
      </c>
      <c r="C124" s="3"/>
      <c r="D124" t="s">
        <v>7</v>
      </c>
      <c r="E124" t="s">
        <v>244</v>
      </c>
      <c r="F124" t="s">
        <v>27</v>
      </c>
      <c r="G124" s="2"/>
    </row>
    <row r="125" spans="1:7">
      <c r="A125" t="s">
        <v>234</v>
      </c>
      <c r="B125" s="3">
        <v>5.0064710957722166E-8</v>
      </c>
      <c r="C125" s="3"/>
      <c r="D125" t="s">
        <v>7</v>
      </c>
      <c r="E125" t="s">
        <v>245</v>
      </c>
      <c r="F125" t="s">
        <v>27</v>
      </c>
      <c r="G125" s="2"/>
    </row>
    <row r="126" spans="1:7">
      <c r="A126" t="s">
        <v>199</v>
      </c>
      <c r="B126" s="3">
        <v>2.2249352890422776E-6</v>
      </c>
      <c r="C126" s="3"/>
      <c r="D126" t="s">
        <v>7</v>
      </c>
      <c r="E126" t="s">
        <v>244</v>
      </c>
      <c r="F126" t="s">
        <v>27</v>
      </c>
      <c r="G126" s="2"/>
    </row>
    <row r="127" spans="1:7">
      <c r="A127" t="s">
        <v>199</v>
      </c>
      <c r="B127" s="3">
        <v>4.1891285591026745E-10</v>
      </c>
      <c r="C127" s="3"/>
      <c r="D127" t="s">
        <v>7</v>
      </c>
      <c r="E127" t="s">
        <v>245</v>
      </c>
      <c r="F127" t="s">
        <v>27</v>
      </c>
      <c r="G127" s="2"/>
    </row>
    <row r="128" spans="1:7">
      <c r="A128" t="s">
        <v>200</v>
      </c>
      <c r="B128" s="3">
        <v>2.4094046591889557E-5</v>
      </c>
      <c r="C128" s="3"/>
      <c r="D128" t="s">
        <v>7</v>
      </c>
      <c r="E128" t="s">
        <v>244</v>
      </c>
      <c r="F128" t="s">
        <v>27</v>
      </c>
      <c r="G128" s="2"/>
    </row>
    <row r="129" spans="1:7">
      <c r="A129" t="s">
        <v>200</v>
      </c>
      <c r="B129" s="3">
        <v>2.2126833477135459E-9</v>
      </c>
      <c r="C129" s="3"/>
      <c r="D129" t="s">
        <v>7</v>
      </c>
      <c r="E129" t="s">
        <v>245</v>
      </c>
      <c r="F129" t="s">
        <v>27</v>
      </c>
      <c r="G129" s="2"/>
    </row>
    <row r="130" spans="1:7">
      <c r="A130" t="s">
        <v>235</v>
      </c>
      <c r="B130" s="3">
        <v>1.6030198446937013E-4</v>
      </c>
      <c r="C130" s="3"/>
      <c r="D130" t="s">
        <v>7</v>
      </c>
      <c r="E130" t="s">
        <v>244</v>
      </c>
      <c r="F130" t="s">
        <v>27</v>
      </c>
      <c r="G130" s="2"/>
    </row>
    <row r="131" spans="1:7">
      <c r="A131" t="s">
        <v>235</v>
      </c>
      <c r="B131" s="3">
        <v>1.8126833477135459E-5</v>
      </c>
      <c r="C131" s="3"/>
      <c r="D131" t="s">
        <v>7</v>
      </c>
      <c r="E131" t="s">
        <v>245</v>
      </c>
      <c r="F131" t="s">
        <v>27</v>
      </c>
      <c r="G131" s="2"/>
    </row>
    <row r="132" spans="1:7">
      <c r="A132" t="s">
        <v>236</v>
      </c>
      <c r="B132" s="3">
        <v>7.896031061259706E-7</v>
      </c>
      <c r="C132" s="3"/>
      <c r="D132" t="s">
        <v>7</v>
      </c>
      <c r="E132" t="s">
        <v>244</v>
      </c>
      <c r="F132" t="s">
        <v>27</v>
      </c>
      <c r="G132" s="2"/>
    </row>
    <row r="133" spans="1:7">
      <c r="A133" t="s">
        <v>236</v>
      </c>
      <c r="B133" s="3">
        <v>3.4446074201898184E-7</v>
      </c>
      <c r="C133" s="3"/>
      <c r="D133" t="s">
        <v>7</v>
      </c>
      <c r="E133" t="s">
        <v>245</v>
      </c>
      <c r="F133" t="s">
        <v>27</v>
      </c>
      <c r="G133" s="2"/>
    </row>
    <row r="134" spans="1:7">
      <c r="A134" t="s">
        <v>204</v>
      </c>
      <c r="B134" s="3">
        <v>0.54251941328731657</v>
      </c>
      <c r="C134" s="3"/>
      <c r="D134" t="s">
        <v>17</v>
      </c>
      <c r="E134" t="s">
        <v>245</v>
      </c>
      <c r="F134" t="s">
        <v>27</v>
      </c>
      <c r="G134" s="2"/>
    </row>
    <row r="135" spans="1:7">
      <c r="A135" t="s">
        <v>207</v>
      </c>
      <c r="B135" s="3">
        <v>1.5352027610008627E-4</v>
      </c>
      <c r="C135" s="3"/>
      <c r="D135" t="s">
        <v>7</v>
      </c>
      <c r="E135" t="s">
        <v>244</v>
      </c>
      <c r="F135" t="s">
        <v>27</v>
      </c>
      <c r="G135" s="2"/>
    </row>
    <row r="136" spans="1:7">
      <c r="A136" t="s">
        <v>207</v>
      </c>
      <c r="B136" s="3">
        <v>5.7875754961173422E-9</v>
      </c>
      <c r="C136" s="3"/>
      <c r="D136" t="s">
        <v>7</v>
      </c>
      <c r="E136" t="s">
        <v>245</v>
      </c>
      <c r="F136" t="s">
        <v>27</v>
      </c>
      <c r="G136" s="2"/>
    </row>
    <row r="137" spans="1:7">
      <c r="A137" t="s">
        <v>208</v>
      </c>
      <c r="B137" s="3">
        <v>2.647540983606557E-5</v>
      </c>
      <c r="C137" s="3"/>
      <c r="D137" t="s">
        <v>7</v>
      </c>
      <c r="E137" t="s">
        <v>244</v>
      </c>
      <c r="F137" t="s">
        <v>27</v>
      </c>
      <c r="G137" s="2"/>
    </row>
    <row r="138" spans="1:7">
      <c r="A138" t="s">
        <v>208</v>
      </c>
      <c r="B138" s="3">
        <v>2.560569456427955E-9</v>
      </c>
      <c r="C138" s="3"/>
      <c r="D138" t="s">
        <v>7</v>
      </c>
      <c r="E138" t="s">
        <v>245</v>
      </c>
      <c r="F138" t="s">
        <v>27</v>
      </c>
      <c r="G138" s="2"/>
    </row>
    <row r="139" spans="1:7">
      <c r="A139" t="s">
        <v>209</v>
      </c>
      <c r="B139" s="3">
        <v>5.1015530629853312E-6</v>
      </c>
      <c r="C139" s="3"/>
      <c r="D139" t="s">
        <v>7</v>
      </c>
      <c r="E139" t="s">
        <v>244</v>
      </c>
      <c r="F139" t="s">
        <v>27</v>
      </c>
      <c r="G139" s="2"/>
    </row>
    <row r="140" spans="1:7">
      <c r="A140" t="s">
        <v>209</v>
      </c>
      <c r="B140" s="3">
        <v>7.8650560828300248E-10</v>
      </c>
      <c r="C140" s="3"/>
      <c r="D140" t="s">
        <v>7</v>
      </c>
      <c r="E140" t="s">
        <v>245</v>
      </c>
      <c r="F140" t="s">
        <v>27</v>
      </c>
      <c r="G140" s="2"/>
    </row>
    <row r="141" spans="1:7">
      <c r="A141" t="s">
        <v>210</v>
      </c>
      <c r="B141" s="3">
        <v>1.4357204486626402E-8</v>
      </c>
      <c r="C141" s="3"/>
      <c r="D141" t="s">
        <v>7</v>
      </c>
      <c r="E141" t="s">
        <v>244</v>
      </c>
      <c r="F141" t="s">
        <v>27</v>
      </c>
      <c r="G141" s="2"/>
    </row>
    <row r="142" spans="1:7">
      <c r="A142" t="s">
        <v>210</v>
      </c>
      <c r="B142" s="3">
        <v>3.6377049180327864E-10</v>
      </c>
      <c r="C142" s="3"/>
      <c r="D142" t="s">
        <v>7</v>
      </c>
      <c r="E142" t="s">
        <v>245</v>
      </c>
      <c r="F142" t="s">
        <v>27</v>
      </c>
      <c r="G142" s="2"/>
    </row>
    <row r="143" spans="1:7">
      <c r="A143" t="s">
        <v>213</v>
      </c>
      <c r="B143" s="3">
        <v>1.6223468507333906E-6</v>
      </c>
      <c r="C143" s="3"/>
      <c r="D143" t="s">
        <v>7</v>
      </c>
      <c r="E143" t="s">
        <v>244</v>
      </c>
      <c r="F143" t="s">
        <v>27</v>
      </c>
      <c r="G143" s="2"/>
    </row>
    <row r="144" spans="1:7">
      <c r="A144" t="s">
        <v>213</v>
      </c>
      <c r="B144" s="3">
        <v>1.0992234685073338E-9</v>
      </c>
      <c r="C144" s="3"/>
      <c r="D144" t="s">
        <v>7</v>
      </c>
      <c r="E144" t="s">
        <v>245</v>
      </c>
      <c r="F144" t="s">
        <v>27</v>
      </c>
      <c r="G144" s="2"/>
    </row>
    <row r="145" spans="1:7">
      <c r="A145" t="s">
        <v>237</v>
      </c>
      <c r="B145" s="3">
        <v>1.8914581535806728E-5</v>
      </c>
      <c r="C145" s="3"/>
      <c r="D145" t="s">
        <v>7</v>
      </c>
      <c r="E145" t="s">
        <v>244</v>
      </c>
      <c r="F145" t="s">
        <v>27</v>
      </c>
      <c r="G145" s="2"/>
    </row>
    <row r="146" spans="1:7">
      <c r="A146" t="s">
        <v>237</v>
      </c>
      <c r="B146" s="3">
        <v>6.7752372735116468E-6</v>
      </c>
      <c r="C146" s="3"/>
      <c r="D146" t="s">
        <v>7</v>
      </c>
      <c r="E146" t="s">
        <v>245</v>
      </c>
      <c r="F146" t="s">
        <v>27</v>
      </c>
      <c r="G146" s="2"/>
    </row>
    <row r="147" spans="1:7">
      <c r="A147" t="s">
        <v>218</v>
      </c>
      <c r="B147" s="3">
        <v>1.2974978429680756E-7</v>
      </c>
      <c r="C147" s="3"/>
      <c r="D147" t="s">
        <v>7</v>
      </c>
      <c r="E147" t="s">
        <v>244</v>
      </c>
      <c r="F147" t="s">
        <v>27</v>
      </c>
      <c r="G147" s="2"/>
    </row>
    <row r="148" spans="1:7">
      <c r="A148" t="s">
        <v>218</v>
      </c>
      <c r="B148" s="3">
        <v>3.3685936151855048E-8</v>
      </c>
      <c r="C148" s="3"/>
      <c r="D148" t="s">
        <v>7</v>
      </c>
      <c r="E148" t="s">
        <v>245</v>
      </c>
      <c r="F148" t="s">
        <v>27</v>
      </c>
      <c r="G148" s="2"/>
    </row>
    <row r="149" spans="1:7">
      <c r="A149" t="s">
        <v>238</v>
      </c>
      <c r="B149" s="3">
        <v>2.9781708369283863E-5</v>
      </c>
      <c r="C149" s="3"/>
      <c r="D149" t="s">
        <v>7</v>
      </c>
      <c r="E149" t="s">
        <v>244</v>
      </c>
      <c r="F149" t="s">
        <v>27</v>
      </c>
      <c r="G149" s="2"/>
    </row>
    <row r="150" spans="1:7">
      <c r="A150" t="s">
        <v>238</v>
      </c>
      <c r="B150" s="3">
        <v>6.712855910267472E-8</v>
      </c>
      <c r="C150" s="3"/>
      <c r="D150" t="s">
        <v>7</v>
      </c>
      <c r="E150" t="s">
        <v>245</v>
      </c>
      <c r="F150" t="s">
        <v>27</v>
      </c>
      <c r="G150" s="2"/>
    </row>
    <row r="151" spans="1:7">
      <c r="A151" t="s">
        <v>239</v>
      </c>
      <c r="B151" s="3">
        <v>7.7221742881794639E-5</v>
      </c>
      <c r="C151" s="3"/>
      <c r="D151" t="s">
        <v>7</v>
      </c>
      <c r="E151" t="s">
        <v>244</v>
      </c>
      <c r="F151" t="s">
        <v>27</v>
      </c>
      <c r="G151" s="2"/>
    </row>
    <row r="152" spans="1:7">
      <c r="A152" t="s">
        <v>239</v>
      </c>
      <c r="B152" s="3">
        <v>3.883002588438309E-5</v>
      </c>
      <c r="C152" s="3"/>
      <c r="D152" t="s">
        <v>7</v>
      </c>
      <c r="E152" t="s">
        <v>245</v>
      </c>
      <c r="F152" t="s">
        <v>27</v>
      </c>
      <c r="G152" s="2"/>
    </row>
    <row r="153" spans="1:7">
      <c r="A153" t="s">
        <v>220</v>
      </c>
      <c r="B153" s="3">
        <v>7.1176013805004302E-6</v>
      </c>
      <c r="C153" s="3"/>
      <c r="D153" t="s">
        <v>7</v>
      </c>
      <c r="E153" t="s">
        <v>244</v>
      </c>
      <c r="F153" t="s">
        <v>27</v>
      </c>
      <c r="G153" s="2"/>
    </row>
    <row r="154" spans="1:7">
      <c r="A154" t="s">
        <v>220</v>
      </c>
      <c r="B154" s="3">
        <v>4.6582398619499563E-9</v>
      </c>
      <c r="C154" s="3"/>
      <c r="D154" t="s">
        <v>7</v>
      </c>
      <c r="E154" t="s">
        <v>245</v>
      </c>
      <c r="F154" t="s">
        <v>27</v>
      </c>
      <c r="G154" s="2"/>
    </row>
    <row r="155" spans="1:7">
      <c r="A155" t="s">
        <v>240</v>
      </c>
      <c r="B155" s="3">
        <v>2.9019844693701461E-4</v>
      </c>
      <c r="C155" s="3"/>
      <c r="D155" t="s">
        <v>7</v>
      </c>
      <c r="E155" t="s">
        <v>244</v>
      </c>
      <c r="F155" t="s">
        <v>27</v>
      </c>
      <c r="G155" s="2"/>
    </row>
    <row r="156" spans="1:7">
      <c r="A156" t="s">
        <v>240</v>
      </c>
      <c r="B156" s="3">
        <v>4.9598792062122516E-5</v>
      </c>
      <c r="C156" s="3"/>
      <c r="D156" t="s">
        <v>7</v>
      </c>
      <c r="E156" t="s">
        <v>245</v>
      </c>
      <c r="F156" t="s">
        <v>27</v>
      </c>
      <c r="G156" s="2"/>
    </row>
    <row r="157" spans="1:7">
      <c r="A157" t="s">
        <v>241</v>
      </c>
      <c r="B157" s="3">
        <v>1.6030198446937013E-4</v>
      </c>
      <c r="C157" s="3"/>
      <c r="D157" t="s">
        <v>7</v>
      </c>
      <c r="E157" t="s">
        <v>244</v>
      </c>
      <c r="F157" t="s">
        <v>27</v>
      </c>
      <c r="G157" s="2"/>
    </row>
    <row r="158" spans="1:7">
      <c r="A158" t="s">
        <v>241</v>
      </c>
      <c r="B158" s="3">
        <v>1.8126833477135459E-5</v>
      </c>
      <c r="C158" s="3"/>
      <c r="D158" t="s">
        <v>7</v>
      </c>
      <c r="E158" t="s">
        <v>245</v>
      </c>
      <c r="F158" t="s">
        <v>27</v>
      </c>
      <c r="G158" s="2"/>
    </row>
    <row r="159" spans="1:7">
      <c r="A159" t="s">
        <v>222</v>
      </c>
      <c r="B159" s="3">
        <v>2.4691975841242447E-8</v>
      </c>
      <c r="C159" s="3"/>
      <c r="D159" t="s">
        <v>7</v>
      </c>
      <c r="E159" t="s">
        <v>244</v>
      </c>
      <c r="F159" t="s">
        <v>27</v>
      </c>
      <c r="G159" s="2"/>
    </row>
    <row r="160" spans="1:7">
      <c r="A160" t="s">
        <v>222</v>
      </c>
      <c r="B160" s="3">
        <v>2.2882657463330455E-11</v>
      </c>
      <c r="C160" s="3"/>
      <c r="D160" t="s">
        <v>7</v>
      </c>
      <c r="E160" t="s">
        <v>245</v>
      </c>
      <c r="F160" t="s">
        <v>27</v>
      </c>
      <c r="G160" s="2"/>
    </row>
    <row r="161" spans="1:10">
      <c r="A161" t="s">
        <v>223</v>
      </c>
      <c r="B161" s="3">
        <v>1.4002588438308886E-6</v>
      </c>
      <c r="C161" s="3"/>
      <c r="D161" t="s">
        <v>7</v>
      </c>
      <c r="E161" t="s">
        <v>244</v>
      </c>
      <c r="F161" t="s">
        <v>27</v>
      </c>
      <c r="G161" s="2"/>
    </row>
    <row r="162" spans="1:10">
      <c r="A162" t="s">
        <v>223</v>
      </c>
      <c r="B162" s="3">
        <v>1.9071613459879204E-9</v>
      </c>
      <c r="C162" s="3"/>
      <c r="D162" t="s">
        <v>7</v>
      </c>
      <c r="E162" t="s">
        <v>245</v>
      </c>
      <c r="F162" t="s">
        <v>27</v>
      </c>
      <c r="G162" s="2"/>
    </row>
    <row r="163" spans="1:10">
      <c r="A163" t="s">
        <v>224</v>
      </c>
      <c r="B163" s="3">
        <v>2.4094046591889557E-5</v>
      </c>
      <c r="C163" s="3"/>
      <c r="D163" t="s">
        <v>7</v>
      </c>
      <c r="E163" t="s">
        <v>244</v>
      </c>
      <c r="F163" t="s">
        <v>27</v>
      </c>
      <c r="G163" s="2"/>
    </row>
    <row r="164" spans="1:10">
      <c r="A164" t="s">
        <v>224</v>
      </c>
      <c r="B164" s="3">
        <v>1.639085418464193E-8</v>
      </c>
      <c r="C164" s="3"/>
      <c r="D164" t="s">
        <v>7</v>
      </c>
      <c r="E164" t="s">
        <v>245</v>
      </c>
      <c r="F164" t="s">
        <v>27</v>
      </c>
      <c r="G164" s="2"/>
    </row>
    <row r="165" spans="1:10">
      <c r="A165" t="s">
        <v>226</v>
      </c>
      <c r="B165" s="3">
        <v>6.8428817946505594E-6</v>
      </c>
      <c r="C165" s="3"/>
      <c r="D165" t="s">
        <v>7</v>
      </c>
      <c r="E165" t="s">
        <v>244</v>
      </c>
      <c r="F165" t="s">
        <v>27</v>
      </c>
      <c r="G165" s="2"/>
    </row>
    <row r="166" spans="1:10">
      <c r="A166" t="s">
        <v>226</v>
      </c>
      <c r="B166" s="3">
        <v>2.6989646246764449E-8</v>
      </c>
      <c r="C166" s="3"/>
      <c r="D166" t="s">
        <v>7</v>
      </c>
      <c r="E166" t="s">
        <v>245</v>
      </c>
      <c r="F166" t="s">
        <v>27</v>
      </c>
      <c r="G166" s="2"/>
    </row>
    <row r="167" spans="1:10">
      <c r="A167" t="s">
        <v>227</v>
      </c>
      <c r="B167" s="3">
        <v>1.0867894736842104E-4</v>
      </c>
      <c r="C167" s="3"/>
      <c r="D167" t="s">
        <v>37</v>
      </c>
      <c r="E167" t="s">
        <v>245</v>
      </c>
      <c r="F167" t="s">
        <v>27</v>
      </c>
      <c r="G167" s="2"/>
    </row>
    <row r="168" spans="1:10">
      <c r="A168" t="s">
        <v>228</v>
      </c>
      <c r="B168" s="3">
        <v>2.0211389128559101E-5</v>
      </c>
      <c r="C168" s="3"/>
      <c r="D168" t="s">
        <v>7</v>
      </c>
      <c r="E168" t="s">
        <v>244</v>
      </c>
      <c r="F168" t="s">
        <v>27</v>
      </c>
      <c r="G168" s="2"/>
    </row>
    <row r="169" spans="1:10">
      <c r="A169" t="s">
        <v>228</v>
      </c>
      <c r="B169" s="3">
        <v>2.7497842968075925E-9</v>
      </c>
      <c r="C169" s="3"/>
      <c r="D169" t="s">
        <v>7</v>
      </c>
      <c r="E169" t="s">
        <v>245</v>
      </c>
      <c r="F169" t="s">
        <v>27</v>
      </c>
      <c r="G169" s="2"/>
    </row>
    <row r="170" spans="1:10">
      <c r="A170" t="s">
        <v>242</v>
      </c>
      <c r="B170" s="3">
        <v>0.21389991371872299</v>
      </c>
      <c r="C170" s="3"/>
      <c r="D170" t="s">
        <v>7</v>
      </c>
      <c r="E170" t="s">
        <v>111</v>
      </c>
      <c r="F170" t="s">
        <v>27</v>
      </c>
      <c r="G170" s="2"/>
    </row>
    <row r="171" spans="1:10" s="50" customFormat="1">
      <c r="A171" s="50" t="s">
        <v>484</v>
      </c>
      <c r="B171" s="51">
        <f>6.1/43.4</f>
        <v>0.14055299539170507</v>
      </c>
      <c r="D171" s="50" t="s">
        <v>7</v>
      </c>
      <c r="E171" s="50" t="s">
        <v>485</v>
      </c>
      <c r="F171" s="50" t="s">
        <v>27</v>
      </c>
      <c r="G171" s="50" t="s">
        <v>488</v>
      </c>
      <c r="J171" s="51"/>
    </row>
    <row r="173" spans="1:10" ht="15.75">
      <c r="A173" s="1" t="s">
        <v>0</v>
      </c>
      <c r="B173" s="47" t="s">
        <v>124</v>
      </c>
    </row>
    <row r="174" spans="1:10">
      <c r="A174" t="s">
        <v>1</v>
      </c>
      <c r="B174" s="3" t="s">
        <v>104</v>
      </c>
    </row>
    <row r="175" spans="1:10">
      <c r="A175" t="s">
        <v>2</v>
      </c>
      <c r="B175" s="3">
        <v>1</v>
      </c>
    </row>
    <row r="176" spans="1:10">
      <c r="A176" t="s">
        <v>3</v>
      </c>
      <c r="B176" s="3" t="s">
        <v>126</v>
      </c>
    </row>
    <row r="177" spans="1:8">
      <c r="A177" t="s">
        <v>4</v>
      </c>
      <c r="B177" s="3" t="s">
        <v>5</v>
      </c>
    </row>
    <row r="178" spans="1:8">
      <c r="A178" t="s">
        <v>6</v>
      </c>
      <c r="B178" s="3" t="s">
        <v>125</v>
      </c>
    </row>
    <row r="179" spans="1:8">
      <c r="A179" t="s">
        <v>260</v>
      </c>
      <c r="B179" s="23">
        <f>0.37*33%</f>
        <v>0.1221</v>
      </c>
    </row>
    <row r="180" spans="1:8">
      <c r="A180" t="s">
        <v>8</v>
      </c>
      <c r="B180" s="3" t="s">
        <v>121</v>
      </c>
    </row>
    <row r="181" spans="1:8">
      <c r="A181" t="s">
        <v>9</v>
      </c>
      <c r="B181" s="3" t="s">
        <v>128</v>
      </c>
    </row>
    <row r="182" spans="1:8" ht="15.75">
      <c r="A182" s="1" t="s">
        <v>10</v>
      </c>
    </row>
    <row r="183" spans="1:8">
      <c r="A183" t="s">
        <v>11</v>
      </c>
      <c r="B183" s="3" t="s">
        <v>12</v>
      </c>
      <c r="C183" t="s">
        <v>1</v>
      </c>
      <c r="D183" t="s">
        <v>6</v>
      </c>
      <c r="E183" t="s">
        <v>13</v>
      </c>
      <c r="F183" t="s">
        <v>4</v>
      </c>
      <c r="G183" t="s">
        <v>9</v>
      </c>
      <c r="H183" t="s">
        <v>3</v>
      </c>
    </row>
    <row r="184" spans="1:8">
      <c r="A184" s="3" t="str">
        <f>B173</f>
        <v>electricity production, from incineration of plastic waste mixture, energy allocation</v>
      </c>
      <c r="B184" s="3">
        <v>1</v>
      </c>
      <c r="C184" s="3" t="str">
        <f>B174</f>
        <v>CH</v>
      </c>
      <c r="D184" s="3" t="str">
        <f>B178</f>
        <v>kilowatt hour</v>
      </c>
      <c r="F184" t="s">
        <v>15</v>
      </c>
      <c r="G184" t="s">
        <v>16</v>
      </c>
      <c r="H184" s="3" t="str">
        <f>B176</f>
        <v>electricity, from incineration of plastic waste mixture, energy allocation</v>
      </c>
    </row>
    <row r="185" spans="1:8">
      <c r="A185" t="s">
        <v>148</v>
      </c>
      <c r="B185" s="3">
        <v>4.5719068162208799E-4</v>
      </c>
      <c r="C185" s="3" t="s">
        <v>103</v>
      </c>
      <c r="D185" t="s">
        <v>7</v>
      </c>
      <c r="F185" t="s">
        <v>18</v>
      </c>
      <c r="G185" s="2"/>
      <c r="H185" t="s">
        <v>169</v>
      </c>
    </row>
    <row r="186" spans="1:8">
      <c r="A186" t="s">
        <v>149</v>
      </c>
      <c r="B186" s="3">
        <v>1.2473270060396895E-6</v>
      </c>
      <c r="C186" s="3" t="s">
        <v>103</v>
      </c>
      <c r="D186" t="s">
        <v>7</v>
      </c>
      <c r="F186" t="s">
        <v>18</v>
      </c>
      <c r="G186" s="2"/>
      <c r="H186" t="s">
        <v>170</v>
      </c>
    </row>
    <row r="187" spans="1:8">
      <c r="A187" t="s">
        <v>167</v>
      </c>
      <c r="B187" s="3">
        <v>1.0432545297670405E-3</v>
      </c>
      <c r="C187" s="3" t="s">
        <v>104</v>
      </c>
      <c r="D187" t="s">
        <v>7</v>
      </c>
      <c r="F187" t="s">
        <v>18</v>
      </c>
      <c r="G187" s="2"/>
      <c r="H187" t="s">
        <v>185</v>
      </c>
    </row>
    <row r="188" spans="1:8">
      <c r="A188" t="s">
        <v>150</v>
      </c>
      <c r="B188" s="3">
        <v>9.6317860224331322E-5</v>
      </c>
      <c r="C188" s="3" t="s">
        <v>24</v>
      </c>
      <c r="D188" t="s">
        <v>7</v>
      </c>
      <c r="F188" t="s">
        <v>18</v>
      </c>
      <c r="G188" s="2"/>
      <c r="H188" t="s">
        <v>171</v>
      </c>
    </row>
    <row r="189" spans="1:8">
      <c r="A189" t="s">
        <v>151</v>
      </c>
      <c r="B189" s="3">
        <v>5.5236238136324412E-6</v>
      </c>
      <c r="C189" s="3" t="s">
        <v>24</v>
      </c>
      <c r="D189" t="s">
        <v>7</v>
      </c>
      <c r="F189" t="s">
        <v>18</v>
      </c>
      <c r="G189" s="2"/>
      <c r="H189" t="s">
        <v>172</v>
      </c>
    </row>
    <row r="190" spans="1:8">
      <c r="A190" t="s">
        <v>493</v>
      </c>
      <c r="B190" s="3">
        <v>5.8454184641932699E-7</v>
      </c>
      <c r="C190" s="3" t="s">
        <v>24</v>
      </c>
      <c r="D190" t="s">
        <v>7</v>
      </c>
      <c r="F190" t="s">
        <v>18</v>
      </c>
      <c r="G190" s="2"/>
      <c r="H190" t="s">
        <v>494</v>
      </c>
    </row>
    <row r="191" spans="1:8">
      <c r="A191" t="s">
        <v>168</v>
      </c>
      <c r="B191" s="3">
        <v>8.5493011216565995E-2</v>
      </c>
      <c r="C191" s="3" t="s">
        <v>104</v>
      </c>
      <c r="D191" t="s">
        <v>17</v>
      </c>
      <c r="F191" t="s">
        <v>18</v>
      </c>
      <c r="G191" s="2"/>
      <c r="H191" t="s">
        <v>186</v>
      </c>
    </row>
    <row r="192" spans="1:8">
      <c r="A192" t="s">
        <v>152</v>
      </c>
      <c r="B192" s="3">
        <v>9.3708714408973254E-5</v>
      </c>
      <c r="C192" s="3" t="s">
        <v>103</v>
      </c>
      <c r="D192" t="s">
        <v>7</v>
      </c>
      <c r="F192" t="s">
        <v>18</v>
      </c>
      <c r="G192" s="2"/>
      <c r="H192" t="s">
        <v>173</v>
      </c>
    </row>
    <row r="193" spans="1:8">
      <c r="A193" t="s">
        <v>153</v>
      </c>
      <c r="B193" s="3">
        <v>1.7407351164797237E-4</v>
      </c>
      <c r="C193" s="3" t="s">
        <v>103</v>
      </c>
      <c r="D193" t="s">
        <v>7</v>
      </c>
      <c r="F193" t="s">
        <v>18</v>
      </c>
      <c r="G193" s="2"/>
      <c r="H193" t="s">
        <v>174</v>
      </c>
    </row>
    <row r="194" spans="1:8">
      <c r="A194" t="s">
        <v>154</v>
      </c>
      <c r="B194" s="3">
        <v>1.5111613459879205E-5</v>
      </c>
      <c r="C194" s="3" t="s">
        <v>24</v>
      </c>
      <c r="D194" t="s">
        <v>7</v>
      </c>
      <c r="F194" t="s">
        <v>18</v>
      </c>
      <c r="G194" s="2"/>
      <c r="H194" t="s">
        <v>474</v>
      </c>
    </row>
    <row r="195" spans="1:8">
      <c r="A195" t="s">
        <v>155</v>
      </c>
      <c r="B195" s="3">
        <v>-1.3972907679033648E-3</v>
      </c>
      <c r="C195" s="3" t="s">
        <v>24</v>
      </c>
      <c r="D195" t="s">
        <v>7</v>
      </c>
      <c r="F195" t="s">
        <v>18</v>
      </c>
      <c r="G195" s="2"/>
      <c r="H195" t="s">
        <v>175</v>
      </c>
    </row>
    <row r="196" spans="1:8">
      <c r="A196" t="s">
        <v>156</v>
      </c>
      <c r="B196" s="3">
        <v>7.7653149266609152E-11</v>
      </c>
      <c r="C196" s="3" t="s">
        <v>104</v>
      </c>
      <c r="D196" t="s">
        <v>6</v>
      </c>
      <c r="F196" t="s">
        <v>18</v>
      </c>
      <c r="G196" s="2"/>
      <c r="H196" t="s">
        <v>176</v>
      </c>
    </row>
    <row r="197" spans="1:8">
      <c r="A197" t="s">
        <v>157</v>
      </c>
      <c r="B197" s="3">
        <v>5.1999654874892139E-3</v>
      </c>
      <c r="C197" s="3" t="s">
        <v>104</v>
      </c>
      <c r="D197" t="s">
        <v>7</v>
      </c>
      <c r="F197" t="s">
        <v>18</v>
      </c>
      <c r="G197" s="2"/>
      <c r="H197" t="s">
        <v>157</v>
      </c>
    </row>
    <row r="198" spans="1:8">
      <c r="A198" t="s">
        <v>158</v>
      </c>
      <c r="B198" s="3">
        <v>8.2532873166522858E-3</v>
      </c>
      <c r="C198" s="3" t="s">
        <v>104</v>
      </c>
      <c r="D198" t="s">
        <v>7</v>
      </c>
      <c r="F198" t="s">
        <v>18</v>
      </c>
      <c r="G198" s="2"/>
      <c r="H198" t="s">
        <v>158</v>
      </c>
    </row>
    <row r="199" spans="1:8">
      <c r="A199" t="s">
        <v>159</v>
      </c>
      <c r="B199" s="3">
        <v>2.9056255392579809E-3</v>
      </c>
      <c r="C199" s="3" t="s">
        <v>103</v>
      </c>
      <c r="D199" t="s">
        <v>7</v>
      </c>
      <c r="F199" t="s">
        <v>18</v>
      </c>
      <c r="G199" s="2"/>
      <c r="H199" t="s">
        <v>177</v>
      </c>
    </row>
    <row r="200" spans="1:8">
      <c r="A200" t="s">
        <v>160</v>
      </c>
      <c r="B200" s="3">
        <v>1.0833235547886107E-11</v>
      </c>
      <c r="C200" s="3" t="s">
        <v>104</v>
      </c>
      <c r="D200" t="s">
        <v>6</v>
      </c>
      <c r="F200" t="s">
        <v>18</v>
      </c>
      <c r="G200" s="2"/>
      <c r="H200" t="s">
        <v>178</v>
      </c>
    </row>
    <row r="201" spans="1:8">
      <c r="A201" t="s">
        <v>161</v>
      </c>
      <c r="B201" s="3">
        <v>1.4672407247627266E-11</v>
      </c>
      <c r="C201" s="3" t="s">
        <v>104</v>
      </c>
      <c r="D201" t="s">
        <v>6</v>
      </c>
      <c r="F201" t="s">
        <v>18</v>
      </c>
      <c r="G201" s="2"/>
      <c r="H201" t="s">
        <v>179</v>
      </c>
    </row>
    <row r="202" spans="1:8">
      <c r="A202" t="s">
        <v>162</v>
      </c>
      <c r="B202" s="3">
        <v>7.7463675582398607E-4</v>
      </c>
      <c r="C202" s="3" t="s">
        <v>266</v>
      </c>
      <c r="D202" t="s">
        <v>7</v>
      </c>
      <c r="F202" t="s">
        <v>18</v>
      </c>
      <c r="G202" s="2"/>
      <c r="H202" t="s">
        <v>180</v>
      </c>
    </row>
    <row r="203" spans="1:8">
      <c r="A203" t="s">
        <v>163</v>
      </c>
      <c r="B203" s="3">
        <v>-1.3129905090595339E-6</v>
      </c>
      <c r="C203" s="3" t="s">
        <v>24</v>
      </c>
      <c r="D203" t="s">
        <v>7</v>
      </c>
      <c r="F203" t="s">
        <v>18</v>
      </c>
      <c r="G203" s="2"/>
      <c r="H203" t="s">
        <v>181</v>
      </c>
    </row>
    <row r="204" spans="1:8">
      <c r="A204" t="s">
        <v>164</v>
      </c>
      <c r="B204" s="3">
        <v>2.8643140638481448E-5</v>
      </c>
      <c r="C204" s="3" t="s">
        <v>103</v>
      </c>
      <c r="D204" t="s">
        <v>7</v>
      </c>
      <c r="F204" t="s">
        <v>18</v>
      </c>
      <c r="G204" s="2"/>
      <c r="H204" t="s">
        <v>182</v>
      </c>
    </row>
    <row r="205" spans="1:8">
      <c r="A205" t="s">
        <v>81</v>
      </c>
      <c r="B205" s="3">
        <v>4.8946333045729075E-4</v>
      </c>
      <c r="C205" s="3" t="s">
        <v>103</v>
      </c>
      <c r="D205" t="s">
        <v>28</v>
      </c>
      <c r="F205" t="s">
        <v>18</v>
      </c>
      <c r="G205" s="2"/>
      <c r="H205" t="s">
        <v>82</v>
      </c>
    </row>
    <row r="206" spans="1:8">
      <c r="A206" t="s">
        <v>165</v>
      </c>
      <c r="B206" s="3">
        <v>-2.6081518550474542E-3</v>
      </c>
      <c r="C206" s="3" t="s">
        <v>104</v>
      </c>
      <c r="D206" t="s">
        <v>7</v>
      </c>
      <c r="F206" t="s">
        <v>18</v>
      </c>
      <c r="G206" s="2"/>
      <c r="H206" t="s">
        <v>183</v>
      </c>
    </row>
    <row r="207" spans="1:8">
      <c r="A207" t="s">
        <v>166</v>
      </c>
      <c r="B207" s="3">
        <v>1.1418429680759274</v>
      </c>
      <c r="C207" s="3" t="s">
        <v>104</v>
      </c>
      <c r="D207" t="s">
        <v>7</v>
      </c>
      <c r="F207" t="s">
        <v>18</v>
      </c>
      <c r="G207" s="2"/>
      <c r="H207" t="s">
        <v>184</v>
      </c>
    </row>
    <row r="208" spans="1:8">
      <c r="A208" t="s">
        <v>187</v>
      </c>
      <c r="B208" s="3">
        <v>4.7262812769628986E-11</v>
      </c>
      <c r="C208" s="3"/>
      <c r="D208" t="s">
        <v>7</v>
      </c>
      <c r="E208" t="s">
        <v>243</v>
      </c>
      <c r="F208" t="s">
        <v>27</v>
      </c>
      <c r="G208" s="2"/>
    </row>
    <row r="209" spans="1:7">
      <c r="A209" t="s">
        <v>188</v>
      </c>
      <c r="B209" s="3">
        <v>5.3751509922346844E-7</v>
      </c>
      <c r="C209" s="3"/>
      <c r="D209" t="s">
        <v>7</v>
      </c>
      <c r="E209" t="s">
        <v>243</v>
      </c>
      <c r="F209" t="s">
        <v>27</v>
      </c>
      <c r="G209" s="2"/>
    </row>
    <row r="210" spans="1:7">
      <c r="A210" t="s">
        <v>189</v>
      </c>
      <c r="B210" s="3">
        <v>9.9759447799827437E-12</v>
      </c>
      <c r="C210" s="3"/>
      <c r="D210" t="s">
        <v>7</v>
      </c>
      <c r="E210" t="s">
        <v>243</v>
      </c>
      <c r="F210" t="s">
        <v>27</v>
      </c>
      <c r="G210" s="2"/>
    </row>
    <row r="211" spans="1:7">
      <c r="A211" t="s">
        <v>190</v>
      </c>
      <c r="B211" s="3">
        <v>4.3137877480586708E-9</v>
      </c>
      <c r="C211" s="3"/>
      <c r="D211" t="s">
        <v>7</v>
      </c>
      <c r="E211" t="s">
        <v>243</v>
      </c>
      <c r="F211" t="s">
        <v>27</v>
      </c>
      <c r="G211" s="2"/>
    </row>
    <row r="212" spans="1:7">
      <c r="A212" t="s">
        <v>191</v>
      </c>
      <c r="B212" s="3">
        <v>2.1217014667817081E-7</v>
      </c>
      <c r="C212" s="3"/>
      <c r="D212" t="s">
        <v>7</v>
      </c>
      <c r="E212" t="s">
        <v>243</v>
      </c>
      <c r="F212" t="s">
        <v>27</v>
      </c>
      <c r="G212" s="2"/>
    </row>
    <row r="213" spans="1:7">
      <c r="A213" t="s">
        <v>192</v>
      </c>
      <c r="B213" s="3">
        <v>4.6644693701466782E-9</v>
      </c>
      <c r="C213" s="3"/>
      <c r="D213" t="s">
        <v>7</v>
      </c>
      <c r="E213" t="s">
        <v>243</v>
      </c>
      <c r="F213" t="s">
        <v>27</v>
      </c>
      <c r="G213" s="2"/>
    </row>
    <row r="214" spans="1:7">
      <c r="A214" t="s">
        <v>193</v>
      </c>
      <c r="B214" s="3">
        <v>9.7535461604831737E-12</v>
      </c>
      <c r="C214" s="3"/>
      <c r="D214" t="s">
        <v>7</v>
      </c>
      <c r="E214" t="s">
        <v>243</v>
      </c>
      <c r="F214" t="s">
        <v>27</v>
      </c>
      <c r="G214" s="2"/>
    </row>
    <row r="215" spans="1:7">
      <c r="A215" t="s">
        <v>477</v>
      </c>
      <c r="B215" s="3">
        <v>2.464462467644521E-11</v>
      </c>
      <c r="C215" s="3"/>
      <c r="D215" t="s">
        <v>7</v>
      </c>
      <c r="E215" t="s">
        <v>243</v>
      </c>
      <c r="F215" t="s">
        <v>27</v>
      </c>
      <c r="G215" s="2"/>
    </row>
    <row r="216" spans="1:7">
      <c r="A216" t="s">
        <v>194</v>
      </c>
      <c r="B216" s="3">
        <v>1.0380362381363244E-13</v>
      </c>
      <c r="C216" s="3"/>
      <c r="D216" t="s">
        <v>7</v>
      </c>
      <c r="E216" t="s">
        <v>243</v>
      </c>
      <c r="F216" t="s">
        <v>27</v>
      </c>
      <c r="G216" s="2"/>
    </row>
    <row r="217" spans="1:7">
      <c r="A217" t="s">
        <v>195</v>
      </c>
      <c r="B217" s="3">
        <v>1.0134357204486626E-8</v>
      </c>
      <c r="C217" s="3"/>
      <c r="D217" t="s">
        <v>7</v>
      </c>
      <c r="E217" t="s">
        <v>243</v>
      </c>
      <c r="F217" t="s">
        <v>27</v>
      </c>
      <c r="G217" s="2"/>
    </row>
    <row r="218" spans="1:7">
      <c r="A218" t="s">
        <v>196</v>
      </c>
      <c r="B218" s="3">
        <v>1.1998654012079379E-8</v>
      </c>
      <c r="C218" s="3"/>
      <c r="D218" t="s">
        <v>7</v>
      </c>
      <c r="E218" t="s">
        <v>243</v>
      </c>
      <c r="F218" t="s">
        <v>27</v>
      </c>
      <c r="G218" s="2"/>
    </row>
    <row r="219" spans="1:7">
      <c r="A219" t="s">
        <v>143</v>
      </c>
      <c r="B219" s="3">
        <v>0.71726660914581541</v>
      </c>
      <c r="C219" s="3"/>
      <c r="D219" t="s">
        <v>7</v>
      </c>
      <c r="E219" t="s">
        <v>243</v>
      </c>
      <c r="F219" t="s">
        <v>27</v>
      </c>
      <c r="G219" s="2"/>
    </row>
    <row r="220" spans="1:7">
      <c r="A220" t="s">
        <v>197</v>
      </c>
      <c r="B220" s="3">
        <v>7.9293183779119924E-6</v>
      </c>
      <c r="C220" s="3"/>
      <c r="D220" t="s">
        <v>7</v>
      </c>
      <c r="E220" t="s">
        <v>243</v>
      </c>
      <c r="F220" t="s">
        <v>27</v>
      </c>
      <c r="G220" s="2"/>
    </row>
    <row r="221" spans="1:7">
      <c r="A221" t="s">
        <v>198</v>
      </c>
      <c r="B221" s="3">
        <v>1.0342778257118203E-8</v>
      </c>
      <c r="C221" s="3"/>
      <c r="D221" t="s">
        <v>7</v>
      </c>
      <c r="E221" t="s">
        <v>243</v>
      </c>
      <c r="F221" t="s">
        <v>27</v>
      </c>
      <c r="G221" s="2"/>
    </row>
    <row r="222" spans="1:7">
      <c r="A222" t="s">
        <v>199</v>
      </c>
      <c r="B222" s="3">
        <v>1.6651941328731664E-8</v>
      </c>
      <c r="C222" s="3"/>
      <c r="D222" t="s">
        <v>7</v>
      </c>
      <c r="E222" t="s">
        <v>243</v>
      </c>
      <c r="F222" t="s">
        <v>27</v>
      </c>
      <c r="G222" s="2"/>
    </row>
    <row r="223" spans="1:7">
      <c r="A223" t="s">
        <v>200</v>
      </c>
      <c r="B223" s="3">
        <v>8.4325107851596202E-9</v>
      </c>
      <c r="C223" s="3"/>
      <c r="D223" t="s">
        <v>7</v>
      </c>
      <c r="E223" t="s">
        <v>243</v>
      </c>
      <c r="F223" t="s">
        <v>27</v>
      </c>
      <c r="G223" s="2"/>
    </row>
    <row r="224" spans="1:7">
      <c r="A224" t="s">
        <v>201</v>
      </c>
      <c r="B224" s="3">
        <v>6.0833477135461605E-6</v>
      </c>
      <c r="C224" s="3"/>
      <c r="D224" t="s">
        <v>7</v>
      </c>
      <c r="E224" t="s">
        <v>243</v>
      </c>
      <c r="F224" t="s">
        <v>27</v>
      </c>
      <c r="G224" s="2"/>
    </row>
    <row r="225" spans="1:7">
      <c r="A225" t="s">
        <v>202</v>
      </c>
      <c r="B225" s="3">
        <v>2.8314823123382222E-5</v>
      </c>
      <c r="C225" s="3"/>
      <c r="D225" t="s">
        <v>7</v>
      </c>
      <c r="E225" t="s">
        <v>243</v>
      </c>
      <c r="F225" t="s">
        <v>27</v>
      </c>
      <c r="G225" s="2"/>
    </row>
    <row r="226" spans="1:7">
      <c r="A226" t="s">
        <v>203</v>
      </c>
      <c r="B226" s="3">
        <v>9.3286281276962901E-15</v>
      </c>
      <c r="C226" s="3"/>
      <c r="D226" t="s">
        <v>7</v>
      </c>
      <c r="E226" t="s">
        <v>243</v>
      </c>
      <c r="F226" t="s">
        <v>27</v>
      </c>
      <c r="G226" s="2"/>
    </row>
    <row r="227" spans="1:7">
      <c r="A227" t="s">
        <v>204</v>
      </c>
      <c r="B227" s="3">
        <v>7.6951164797239002</v>
      </c>
      <c r="C227" s="3"/>
      <c r="D227" t="s">
        <v>17</v>
      </c>
      <c r="E227" t="s">
        <v>243</v>
      </c>
      <c r="F227" t="s">
        <v>27</v>
      </c>
      <c r="G227" s="2"/>
    </row>
    <row r="228" spans="1:7">
      <c r="A228" t="s">
        <v>205</v>
      </c>
      <c r="B228" s="3">
        <v>3.213597929249353E-6</v>
      </c>
      <c r="C228" s="3"/>
      <c r="D228" t="s">
        <v>7</v>
      </c>
      <c r="E228" t="s">
        <v>243</v>
      </c>
      <c r="F228" t="s">
        <v>27</v>
      </c>
      <c r="G228" s="2"/>
    </row>
    <row r="229" spans="1:7">
      <c r="A229" t="s">
        <v>206</v>
      </c>
      <c r="B229" s="3">
        <v>2.8745332182916305E-8</v>
      </c>
      <c r="C229" s="3"/>
      <c r="D229" t="s">
        <v>7</v>
      </c>
      <c r="E229" t="s">
        <v>243</v>
      </c>
      <c r="F229" t="s">
        <v>27</v>
      </c>
      <c r="G229" s="2"/>
    </row>
    <row r="230" spans="1:7">
      <c r="A230" t="s">
        <v>207</v>
      </c>
      <c r="B230" s="3">
        <v>1.9352717860224329E-9</v>
      </c>
      <c r="C230" s="3"/>
      <c r="D230" t="s">
        <v>7</v>
      </c>
      <c r="E230" t="s">
        <v>243</v>
      </c>
      <c r="F230" t="s">
        <v>27</v>
      </c>
      <c r="G230" s="2"/>
    </row>
    <row r="231" spans="1:7">
      <c r="A231" t="s">
        <v>208</v>
      </c>
      <c r="B231" s="3">
        <v>1.1152234685073339E-8</v>
      </c>
      <c r="C231" s="3"/>
      <c r="D231" t="s">
        <v>7</v>
      </c>
      <c r="E231" t="s">
        <v>243</v>
      </c>
      <c r="F231" t="s">
        <v>27</v>
      </c>
      <c r="G231" s="2"/>
    </row>
    <row r="232" spans="1:7">
      <c r="A232" t="s">
        <v>209</v>
      </c>
      <c r="B232" s="3">
        <v>4.423744607420189E-9</v>
      </c>
      <c r="C232" s="3"/>
      <c r="D232" t="s">
        <v>7</v>
      </c>
      <c r="E232" t="s">
        <v>243</v>
      </c>
      <c r="F232" t="s">
        <v>27</v>
      </c>
      <c r="G232" s="2"/>
    </row>
    <row r="233" spans="1:7">
      <c r="A233" t="s">
        <v>210</v>
      </c>
      <c r="B233" s="3">
        <v>6.978222605694564E-9</v>
      </c>
      <c r="C233" s="3"/>
      <c r="D233" t="s">
        <v>7</v>
      </c>
      <c r="E233" t="s">
        <v>243</v>
      </c>
      <c r="F233" t="s">
        <v>27</v>
      </c>
      <c r="G233" s="2"/>
    </row>
    <row r="234" spans="1:7">
      <c r="A234" t="s">
        <v>211</v>
      </c>
      <c r="B234" s="3">
        <v>6.99685936151855E-8</v>
      </c>
      <c r="C234" s="3"/>
      <c r="D234" t="s">
        <v>7</v>
      </c>
      <c r="E234" t="s">
        <v>243</v>
      </c>
      <c r="F234" t="s">
        <v>27</v>
      </c>
      <c r="G234" s="2"/>
    </row>
    <row r="235" spans="1:7">
      <c r="A235" t="s">
        <v>212</v>
      </c>
      <c r="B235" s="3">
        <v>2.1228507333908542E-7</v>
      </c>
      <c r="C235" s="3"/>
      <c r="D235" t="s">
        <v>7</v>
      </c>
      <c r="E235" t="s">
        <v>243</v>
      </c>
      <c r="F235" t="s">
        <v>27</v>
      </c>
      <c r="G235" s="2"/>
    </row>
    <row r="236" spans="1:7">
      <c r="A236" t="s">
        <v>213</v>
      </c>
      <c r="B236" s="3">
        <v>7.5003623813632443E-9</v>
      </c>
      <c r="C236" s="3"/>
      <c r="D236" t="s">
        <v>7</v>
      </c>
      <c r="E236" t="s">
        <v>243</v>
      </c>
      <c r="F236" t="s">
        <v>27</v>
      </c>
      <c r="G236" s="2"/>
    </row>
    <row r="237" spans="1:7">
      <c r="A237" t="s">
        <v>214</v>
      </c>
      <c r="B237" s="3">
        <v>1.7021570319240723E-4</v>
      </c>
      <c r="C237" s="3"/>
      <c r="D237" t="s">
        <v>7</v>
      </c>
      <c r="E237" t="s">
        <v>243</v>
      </c>
      <c r="F237" t="s">
        <v>27</v>
      </c>
      <c r="G237" s="2"/>
    </row>
    <row r="238" spans="1:7">
      <c r="A238" t="s">
        <v>215</v>
      </c>
      <c r="B238" s="3">
        <v>5.569283865401208E-7</v>
      </c>
      <c r="C238" s="3"/>
      <c r="D238" t="s">
        <v>7</v>
      </c>
      <c r="E238" t="s">
        <v>243</v>
      </c>
      <c r="F238" t="s">
        <v>27</v>
      </c>
      <c r="G238" s="2"/>
    </row>
    <row r="239" spans="1:7">
      <c r="A239" t="s">
        <v>216</v>
      </c>
      <c r="B239" s="3">
        <v>2.7985573770491802E-9</v>
      </c>
      <c r="C239" s="3"/>
      <c r="D239" t="s">
        <v>7</v>
      </c>
      <c r="E239" t="s">
        <v>243</v>
      </c>
      <c r="F239" t="s">
        <v>27</v>
      </c>
      <c r="G239" s="2"/>
    </row>
    <row r="240" spans="1:7">
      <c r="A240" t="s">
        <v>217</v>
      </c>
      <c r="B240" s="3">
        <v>2.0313753235547885E-12</v>
      </c>
      <c r="C240" s="3"/>
      <c r="D240" t="s">
        <v>7</v>
      </c>
      <c r="E240" t="s">
        <v>243</v>
      </c>
      <c r="F240" t="s">
        <v>27</v>
      </c>
      <c r="G240" s="2"/>
    </row>
    <row r="241" spans="1:7">
      <c r="A241" t="s">
        <v>218</v>
      </c>
      <c r="B241" s="3">
        <v>7.2611906816220883E-9</v>
      </c>
      <c r="C241" s="3"/>
      <c r="D241" t="s">
        <v>7</v>
      </c>
      <c r="E241" t="s">
        <v>243</v>
      </c>
      <c r="F241" t="s">
        <v>27</v>
      </c>
      <c r="G241" s="2"/>
    </row>
    <row r="242" spans="1:7">
      <c r="A242" t="s">
        <v>219</v>
      </c>
      <c r="B242" s="3">
        <v>3.4872476272648832E-6</v>
      </c>
      <c r="C242" s="3"/>
      <c r="D242" t="s">
        <v>7</v>
      </c>
      <c r="E242" t="s">
        <v>243</v>
      </c>
      <c r="F242" t="s">
        <v>27</v>
      </c>
      <c r="G242" s="2"/>
    </row>
    <row r="243" spans="1:7">
      <c r="A243" t="s">
        <v>220</v>
      </c>
      <c r="B243" s="3">
        <v>2.5651009490940462E-9</v>
      </c>
      <c r="C243" s="3"/>
      <c r="D243" t="s">
        <v>7</v>
      </c>
      <c r="E243" t="s">
        <v>243</v>
      </c>
      <c r="F243" t="s">
        <v>27</v>
      </c>
      <c r="G243" s="2"/>
    </row>
    <row r="244" spans="1:7">
      <c r="A244" t="s">
        <v>221</v>
      </c>
      <c r="B244" s="3">
        <v>4.6467644521138916E-6</v>
      </c>
      <c r="C244" s="3"/>
      <c r="D244" t="s">
        <v>7</v>
      </c>
      <c r="E244" t="s">
        <v>243</v>
      </c>
      <c r="F244" t="s">
        <v>27</v>
      </c>
      <c r="G244" s="2"/>
    </row>
    <row r="245" spans="1:7">
      <c r="A245" t="s">
        <v>222</v>
      </c>
      <c r="B245" s="3">
        <v>1.1593615185504745E-10</v>
      </c>
      <c r="C245" s="3"/>
      <c r="D245" t="s">
        <v>7</v>
      </c>
      <c r="E245" t="s">
        <v>243</v>
      </c>
      <c r="F245" t="s">
        <v>27</v>
      </c>
      <c r="G245" s="2"/>
    </row>
    <row r="246" spans="1:7">
      <c r="A246" t="s">
        <v>223</v>
      </c>
      <c r="B246" s="3">
        <v>4.9614150129421915E-12</v>
      </c>
      <c r="C246" s="3"/>
      <c r="D246" t="s">
        <v>7</v>
      </c>
      <c r="E246" t="s">
        <v>243</v>
      </c>
      <c r="F246" t="s">
        <v>27</v>
      </c>
      <c r="G246" s="2"/>
    </row>
    <row r="247" spans="1:7">
      <c r="A247" t="s">
        <v>224</v>
      </c>
      <c r="B247" s="3">
        <v>2.4046695427092317E-7</v>
      </c>
      <c r="C247" s="3"/>
      <c r="D247" t="s">
        <v>7</v>
      </c>
      <c r="E247" t="s">
        <v>243</v>
      </c>
      <c r="F247" t="s">
        <v>27</v>
      </c>
      <c r="G247" s="2"/>
    </row>
    <row r="248" spans="1:7">
      <c r="A248" t="s">
        <v>225</v>
      </c>
      <c r="B248" s="3">
        <v>9.3292493528904218E-9</v>
      </c>
      <c r="C248" s="3"/>
      <c r="D248" t="s">
        <v>7</v>
      </c>
      <c r="E248" t="s">
        <v>243</v>
      </c>
      <c r="F248" t="s">
        <v>27</v>
      </c>
      <c r="G248" s="2"/>
    </row>
    <row r="249" spans="1:7">
      <c r="A249" t="s">
        <v>226</v>
      </c>
      <c r="B249" s="3">
        <v>1.7713304572907677E-6</v>
      </c>
      <c r="C249" s="3"/>
      <c r="D249" t="s">
        <v>7</v>
      </c>
      <c r="E249" t="s">
        <v>243</v>
      </c>
      <c r="F249" t="s">
        <v>27</v>
      </c>
      <c r="G249" s="2"/>
    </row>
    <row r="250" spans="1:7">
      <c r="A250" t="s">
        <v>227</v>
      </c>
      <c r="B250" s="3">
        <v>1.0605845383951683E-3</v>
      </c>
      <c r="C250" s="3"/>
      <c r="D250" t="s">
        <v>37</v>
      </c>
      <c r="E250" t="s">
        <v>243</v>
      </c>
      <c r="F250" t="s">
        <v>27</v>
      </c>
      <c r="G250" s="2"/>
    </row>
    <row r="251" spans="1:7">
      <c r="A251" t="s">
        <v>228</v>
      </c>
      <c r="B251" s="3">
        <v>1.0861190681622086E-7</v>
      </c>
      <c r="C251" s="3"/>
      <c r="D251" t="s">
        <v>7</v>
      </c>
      <c r="E251" t="s">
        <v>243</v>
      </c>
      <c r="F251" t="s">
        <v>27</v>
      </c>
      <c r="G251" s="2"/>
    </row>
    <row r="252" spans="1:7">
      <c r="A252" t="s">
        <v>187</v>
      </c>
      <c r="B252" s="3">
        <v>5.4027955133735981E-5</v>
      </c>
      <c r="C252" s="3"/>
      <c r="D252" t="s">
        <v>7</v>
      </c>
      <c r="E252" t="s">
        <v>244</v>
      </c>
      <c r="F252" t="s">
        <v>27</v>
      </c>
      <c r="G252" s="2"/>
    </row>
    <row r="253" spans="1:7">
      <c r="A253" t="s">
        <v>187</v>
      </c>
      <c r="B253" s="3">
        <v>1.9793787748058669E-8</v>
      </c>
      <c r="C253" s="3"/>
      <c r="D253" t="s">
        <v>7</v>
      </c>
      <c r="E253" t="s">
        <v>245</v>
      </c>
      <c r="F253" t="s">
        <v>27</v>
      </c>
      <c r="G253" s="2"/>
    </row>
    <row r="254" spans="1:7">
      <c r="A254" t="s">
        <v>189</v>
      </c>
      <c r="B254" s="3">
        <v>5.0533563416738567E-6</v>
      </c>
      <c r="C254" s="3"/>
      <c r="D254" t="s">
        <v>7</v>
      </c>
      <c r="E254" t="s">
        <v>244</v>
      </c>
      <c r="F254" t="s">
        <v>27</v>
      </c>
      <c r="G254" s="2"/>
    </row>
    <row r="255" spans="1:7">
      <c r="A255" t="s">
        <v>189</v>
      </c>
      <c r="B255" s="3">
        <v>2.4475340811044003E-6</v>
      </c>
      <c r="C255" s="3"/>
      <c r="D255" t="s">
        <v>7</v>
      </c>
      <c r="E255" t="s">
        <v>245</v>
      </c>
      <c r="F255" t="s">
        <v>27</v>
      </c>
      <c r="G255" s="2"/>
    </row>
    <row r="256" spans="1:7">
      <c r="A256" t="s">
        <v>190</v>
      </c>
      <c r="B256" s="3">
        <v>3.3574115616911132E-7</v>
      </c>
      <c r="C256" s="3"/>
      <c r="D256" t="s">
        <v>7</v>
      </c>
      <c r="E256" t="s">
        <v>244</v>
      </c>
      <c r="F256" t="s">
        <v>27</v>
      </c>
      <c r="G256" s="2"/>
    </row>
    <row r="257" spans="1:7">
      <c r="A257" t="s">
        <v>190</v>
      </c>
      <c r="B257" s="3">
        <v>2.1533218291630715E-7</v>
      </c>
      <c r="C257" s="3"/>
      <c r="D257" t="s">
        <v>7</v>
      </c>
      <c r="E257" t="s">
        <v>245</v>
      </c>
      <c r="F257" t="s">
        <v>27</v>
      </c>
      <c r="G257" s="2"/>
    </row>
    <row r="258" spans="1:7">
      <c r="A258" t="s">
        <v>229</v>
      </c>
      <c r="B258" s="3">
        <v>4.7703882657463328E-4</v>
      </c>
      <c r="C258" s="3"/>
      <c r="D258" t="s">
        <v>7</v>
      </c>
      <c r="E258" t="s">
        <v>244</v>
      </c>
      <c r="F258" t="s">
        <v>27</v>
      </c>
      <c r="G258" s="2"/>
    </row>
    <row r="259" spans="1:7">
      <c r="A259" t="s">
        <v>229</v>
      </c>
      <c r="B259" s="3">
        <v>1.4641035375323553E-4</v>
      </c>
      <c r="C259" s="3"/>
      <c r="D259" t="s">
        <v>7</v>
      </c>
      <c r="E259" t="s">
        <v>245</v>
      </c>
      <c r="F259" t="s">
        <v>27</v>
      </c>
      <c r="G259" s="2"/>
    </row>
    <row r="260" spans="1:7">
      <c r="A260" t="s">
        <v>191</v>
      </c>
      <c r="B260" s="3">
        <v>3.9491285591026744E-5</v>
      </c>
      <c r="C260" s="3"/>
      <c r="D260" t="s">
        <v>7</v>
      </c>
      <c r="E260" t="s">
        <v>244</v>
      </c>
      <c r="F260" t="s">
        <v>27</v>
      </c>
      <c r="G260" s="2"/>
    </row>
    <row r="261" spans="1:7">
      <c r="A261" t="s">
        <v>191</v>
      </c>
      <c r="B261" s="3">
        <v>2.2935634167385678E-8</v>
      </c>
      <c r="C261" s="3"/>
      <c r="D261" t="s">
        <v>7</v>
      </c>
      <c r="E261" t="s">
        <v>245</v>
      </c>
      <c r="F261" t="s">
        <v>27</v>
      </c>
      <c r="G261" s="2"/>
    </row>
    <row r="262" spans="1:7">
      <c r="A262" t="s">
        <v>230</v>
      </c>
      <c r="B262" s="3">
        <v>1.3600483175150992E-7</v>
      </c>
      <c r="C262" s="3"/>
      <c r="D262" t="s">
        <v>7</v>
      </c>
      <c r="E262" t="s">
        <v>244</v>
      </c>
      <c r="F262" t="s">
        <v>27</v>
      </c>
      <c r="G262" s="2"/>
    </row>
    <row r="263" spans="1:7">
      <c r="A263" t="s">
        <v>230</v>
      </c>
      <c r="B263" s="3">
        <v>9.0189473684210522E-11</v>
      </c>
      <c r="C263" s="3"/>
      <c r="D263" t="s">
        <v>7</v>
      </c>
      <c r="E263" t="s">
        <v>245</v>
      </c>
      <c r="F263" t="s">
        <v>27</v>
      </c>
      <c r="G263" s="2"/>
    </row>
    <row r="264" spans="1:7">
      <c r="A264" t="s">
        <v>195</v>
      </c>
      <c r="B264" s="3">
        <v>1.0517653149266608E-6</v>
      </c>
      <c r="C264" s="3"/>
      <c r="D264" t="s">
        <v>7</v>
      </c>
      <c r="E264" t="s">
        <v>244</v>
      </c>
      <c r="F264" t="s">
        <v>27</v>
      </c>
      <c r="G264" s="2"/>
    </row>
    <row r="265" spans="1:7">
      <c r="A265" t="s">
        <v>195</v>
      </c>
      <c r="B265" s="3">
        <v>1.8826229508196721E-5</v>
      </c>
      <c r="C265" s="3"/>
      <c r="D265" t="s">
        <v>7</v>
      </c>
      <c r="E265" t="s">
        <v>245</v>
      </c>
      <c r="F265" t="s">
        <v>27</v>
      </c>
      <c r="G265" s="2"/>
    </row>
    <row r="266" spans="1:7">
      <c r="A266" t="s">
        <v>231</v>
      </c>
      <c r="B266" s="3">
        <v>1.4583882657463331E-3</v>
      </c>
      <c r="C266" s="3"/>
      <c r="D266" t="s">
        <v>7</v>
      </c>
      <c r="E266" t="s">
        <v>244</v>
      </c>
      <c r="F266" t="s">
        <v>27</v>
      </c>
      <c r="G266" s="2"/>
    </row>
    <row r="267" spans="1:7">
      <c r="A267" t="s">
        <v>231</v>
      </c>
      <c r="B267" s="3">
        <v>1.4961276962899051E-4</v>
      </c>
      <c r="C267" s="3"/>
      <c r="D267" t="s">
        <v>7</v>
      </c>
      <c r="E267" t="s">
        <v>245</v>
      </c>
      <c r="F267" t="s">
        <v>27</v>
      </c>
      <c r="G267" s="2"/>
    </row>
    <row r="268" spans="1:7">
      <c r="A268" t="s">
        <v>196</v>
      </c>
      <c r="B268" s="3">
        <v>3.7742536669542706E-6</v>
      </c>
      <c r="C268" s="3"/>
      <c r="D268" t="s">
        <v>7</v>
      </c>
      <c r="E268" t="s">
        <v>244</v>
      </c>
      <c r="F268" t="s">
        <v>27</v>
      </c>
      <c r="G268" s="2"/>
    </row>
    <row r="269" spans="1:7">
      <c r="A269" t="s">
        <v>196</v>
      </c>
      <c r="B269" s="3">
        <v>4.1839516824849004E-9</v>
      </c>
      <c r="C269" s="3"/>
      <c r="D269" t="s">
        <v>7</v>
      </c>
      <c r="E269" t="s">
        <v>245</v>
      </c>
      <c r="F269" t="s">
        <v>27</v>
      </c>
      <c r="G269" s="2"/>
    </row>
    <row r="270" spans="1:7">
      <c r="A270" t="s">
        <v>232</v>
      </c>
      <c r="B270" s="3">
        <v>4.4495254529767041E-5</v>
      </c>
      <c r="C270" s="3"/>
      <c r="D270" t="s">
        <v>7</v>
      </c>
      <c r="E270" t="s">
        <v>244</v>
      </c>
      <c r="F270" t="s">
        <v>27</v>
      </c>
      <c r="G270" s="2"/>
    </row>
    <row r="271" spans="1:7">
      <c r="A271" t="s">
        <v>232</v>
      </c>
      <c r="B271" s="3">
        <v>7.4279896462467648E-8</v>
      </c>
      <c r="C271" s="3"/>
      <c r="D271" t="s">
        <v>7</v>
      </c>
      <c r="E271" t="s">
        <v>245</v>
      </c>
      <c r="F271" t="s">
        <v>27</v>
      </c>
      <c r="G271" s="2"/>
    </row>
    <row r="272" spans="1:7">
      <c r="A272" t="s">
        <v>233</v>
      </c>
      <c r="B272" s="3">
        <v>7.0937704918032786E-4</v>
      </c>
      <c r="C272" s="3"/>
      <c r="D272" t="s">
        <v>7</v>
      </c>
      <c r="E272" t="s">
        <v>244</v>
      </c>
      <c r="F272" t="s">
        <v>27</v>
      </c>
      <c r="G272" s="2"/>
    </row>
    <row r="273" spans="1:7">
      <c r="A273" t="s">
        <v>233</v>
      </c>
      <c r="B273" s="3">
        <v>4.7834339948231233E-3</v>
      </c>
      <c r="C273" s="3"/>
      <c r="D273" t="s">
        <v>7</v>
      </c>
      <c r="E273" t="s">
        <v>245</v>
      </c>
      <c r="F273" t="s">
        <v>27</v>
      </c>
      <c r="G273" s="2"/>
    </row>
    <row r="274" spans="1:7">
      <c r="A274" t="s">
        <v>198</v>
      </c>
      <c r="B274" s="3">
        <v>1.5376876617773942E-9</v>
      </c>
      <c r="C274" s="3"/>
      <c r="D274" t="s">
        <v>7</v>
      </c>
      <c r="E274" t="s">
        <v>245</v>
      </c>
      <c r="F274" t="s">
        <v>27</v>
      </c>
      <c r="G274" s="2"/>
    </row>
    <row r="275" spans="1:7">
      <c r="A275" t="s">
        <v>234</v>
      </c>
      <c r="B275" s="3">
        <v>6.2622605694564283E-7</v>
      </c>
      <c r="C275" s="3"/>
      <c r="D275" t="s">
        <v>7</v>
      </c>
      <c r="E275" t="s">
        <v>244</v>
      </c>
      <c r="F275" t="s">
        <v>27</v>
      </c>
      <c r="G275" s="2"/>
    </row>
    <row r="276" spans="1:7">
      <c r="A276" t="s">
        <v>234</v>
      </c>
      <c r="B276" s="3">
        <v>1.802329594477998E-7</v>
      </c>
      <c r="C276" s="3"/>
      <c r="D276" t="s">
        <v>7</v>
      </c>
      <c r="E276" t="s">
        <v>245</v>
      </c>
      <c r="F276" t="s">
        <v>27</v>
      </c>
      <c r="G276" s="2"/>
    </row>
    <row r="277" spans="1:7">
      <c r="A277" t="s">
        <v>199</v>
      </c>
      <c r="B277" s="3">
        <v>8.0097670405521992E-6</v>
      </c>
      <c r="C277" s="3"/>
      <c r="D277" t="s">
        <v>7</v>
      </c>
      <c r="E277" t="s">
        <v>244</v>
      </c>
      <c r="F277" t="s">
        <v>27</v>
      </c>
      <c r="G277" s="2"/>
    </row>
    <row r="278" spans="1:7">
      <c r="A278" t="s">
        <v>199</v>
      </c>
      <c r="B278" s="3">
        <v>1.5080862812769628E-9</v>
      </c>
      <c r="C278" s="3"/>
      <c r="D278" t="s">
        <v>7</v>
      </c>
      <c r="E278" t="s">
        <v>245</v>
      </c>
      <c r="F278" t="s">
        <v>27</v>
      </c>
      <c r="G278" s="2"/>
    </row>
    <row r="279" spans="1:7">
      <c r="A279" t="s">
        <v>200</v>
      </c>
      <c r="B279" s="3">
        <v>8.6738567730802401E-5</v>
      </c>
      <c r="C279" s="3"/>
      <c r="D279" t="s">
        <v>7</v>
      </c>
      <c r="E279" t="s">
        <v>244</v>
      </c>
      <c r="F279" t="s">
        <v>27</v>
      </c>
      <c r="G279" s="2"/>
    </row>
    <row r="280" spans="1:7">
      <c r="A280" t="s">
        <v>200</v>
      </c>
      <c r="B280" s="3">
        <v>7.9656600517687653E-9</v>
      </c>
      <c r="C280" s="3"/>
      <c r="D280" t="s">
        <v>7</v>
      </c>
      <c r="E280" t="s">
        <v>245</v>
      </c>
      <c r="F280" t="s">
        <v>27</v>
      </c>
      <c r="G280" s="2"/>
    </row>
    <row r="281" spans="1:7">
      <c r="A281" t="s">
        <v>235</v>
      </c>
      <c r="B281" s="3">
        <v>5.7708714408973255E-4</v>
      </c>
      <c r="C281" s="3"/>
      <c r="D281" t="s">
        <v>7</v>
      </c>
      <c r="E281" t="s">
        <v>244</v>
      </c>
      <c r="F281" t="s">
        <v>27</v>
      </c>
      <c r="G281" s="2"/>
    </row>
    <row r="282" spans="1:7">
      <c r="A282" t="s">
        <v>235</v>
      </c>
      <c r="B282" s="3">
        <v>6.525660051768766E-5</v>
      </c>
      <c r="C282" s="3"/>
      <c r="D282" t="s">
        <v>7</v>
      </c>
      <c r="E282" t="s">
        <v>245</v>
      </c>
      <c r="F282" t="s">
        <v>27</v>
      </c>
      <c r="G282" s="2"/>
    </row>
    <row r="283" spans="1:7">
      <c r="A283" t="s">
        <v>236</v>
      </c>
      <c r="B283" s="3">
        <v>2.8425711820534943E-6</v>
      </c>
      <c r="C283" s="3"/>
      <c r="D283" t="s">
        <v>7</v>
      </c>
      <c r="E283" t="s">
        <v>244</v>
      </c>
      <c r="F283" t="s">
        <v>27</v>
      </c>
      <c r="G283" s="2"/>
    </row>
    <row r="284" spans="1:7">
      <c r="A284" t="s">
        <v>236</v>
      </c>
      <c r="B284" s="3">
        <v>1.2400586712683346E-6</v>
      </c>
      <c r="C284" s="3"/>
      <c r="D284" t="s">
        <v>7</v>
      </c>
      <c r="E284" t="s">
        <v>245</v>
      </c>
      <c r="F284" t="s">
        <v>27</v>
      </c>
      <c r="G284" s="2"/>
    </row>
    <row r="285" spans="1:7">
      <c r="A285" t="s">
        <v>204</v>
      </c>
      <c r="B285" s="3">
        <v>1.9530698878343398</v>
      </c>
      <c r="C285" s="3"/>
      <c r="D285" t="s">
        <v>17</v>
      </c>
      <c r="E285" t="s">
        <v>245</v>
      </c>
      <c r="F285" t="s">
        <v>27</v>
      </c>
      <c r="G285" s="2"/>
    </row>
    <row r="286" spans="1:7">
      <c r="A286" t="s">
        <v>207</v>
      </c>
      <c r="B286" s="3">
        <v>5.5267299396031058E-4</v>
      </c>
      <c r="C286" s="3"/>
      <c r="D286" t="s">
        <v>7</v>
      </c>
      <c r="E286" t="s">
        <v>244</v>
      </c>
      <c r="F286" t="s">
        <v>27</v>
      </c>
      <c r="G286" s="2"/>
    </row>
    <row r="287" spans="1:7">
      <c r="A287" t="s">
        <v>207</v>
      </c>
      <c r="B287" s="3">
        <v>2.0835271786022433E-8</v>
      </c>
      <c r="C287" s="3"/>
      <c r="D287" t="s">
        <v>7</v>
      </c>
      <c r="E287" t="s">
        <v>245</v>
      </c>
      <c r="F287" t="s">
        <v>27</v>
      </c>
      <c r="G287" s="2"/>
    </row>
    <row r="288" spans="1:7">
      <c r="A288" t="s">
        <v>208</v>
      </c>
      <c r="B288" s="3">
        <v>9.531147540983606E-5</v>
      </c>
      <c r="C288" s="3"/>
      <c r="D288" t="s">
        <v>7</v>
      </c>
      <c r="E288" t="s">
        <v>244</v>
      </c>
      <c r="F288" t="s">
        <v>27</v>
      </c>
      <c r="G288" s="2"/>
    </row>
    <row r="289" spans="1:7">
      <c r="A289" t="s">
        <v>208</v>
      </c>
      <c r="B289" s="3">
        <v>9.2180500431406383E-9</v>
      </c>
      <c r="C289" s="3"/>
      <c r="D289" t="s">
        <v>7</v>
      </c>
      <c r="E289" t="s">
        <v>245</v>
      </c>
      <c r="F289" t="s">
        <v>27</v>
      </c>
      <c r="G289" s="2"/>
    </row>
    <row r="290" spans="1:7">
      <c r="A290" t="s">
        <v>209</v>
      </c>
      <c r="B290" s="3">
        <v>1.8365591026747194E-5</v>
      </c>
      <c r="C290" s="3"/>
      <c r="D290" t="s">
        <v>7</v>
      </c>
      <c r="E290" t="s">
        <v>244</v>
      </c>
      <c r="F290" t="s">
        <v>27</v>
      </c>
      <c r="G290" s="2"/>
    </row>
    <row r="291" spans="1:7">
      <c r="A291" t="s">
        <v>209</v>
      </c>
      <c r="B291" s="3">
        <v>2.8314201898188093E-9</v>
      </c>
      <c r="C291" s="3"/>
      <c r="D291" t="s">
        <v>7</v>
      </c>
      <c r="E291" t="s">
        <v>245</v>
      </c>
      <c r="F291" t="s">
        <v>27</v>
      </c>
      <c r="G291" s="2"/>
    </row>
    <row r="292" spans="1:7">
      <c r="A292" t="s">
        <v>210</v>
      </c>
      <c r="B292" s="3">
        <v>5.1685936151855044E-8</v>
      </c>
      <c r="C292" s="3"/>
      <c r="D292" t="s">
        <v>7</v>
      </c>
      <c r="E292" t="s">
        <v>244</v>
      </c>
      <c r="F292" t="s">
        <v>27</v>
      </c>
      <c r="G292" s="2"/>
    </row>
    <row r="293" spans="1:7">
      <c r="A293" t="s">
        <v>210</v>
      </c>
      <c r="B293" s="3">
        <v>1.3095737704918032E-9</v>
      </c>
      <c r="C293" s="3"/>
      <c r="D293" t="s">
        <v>7</v>
      </c>
      <c r="E293" t="s">
        <v>245</v>
      </c>
      <c r="F293" t="s">
        <v>27</v>
      </c>
      <c r="G293" s="2"/>
    </row>
    <row r="294" spans="1:7">
      <c r="A294" t="s">
        <v>213</v>
      </c>
      <c r="B294" s="3">
        <v>5.8404486626402067E-6</v>
      </c>
      <c r="C294" s="3"/>
      <c r="D294" t="s">
        <v>7</v>
      </c>
      <c r="E294" t="s">
        <v>244</v>
      </c>
      <c r="F294" t="s">
        <v>27</v>
      </c>
      <c r="G294" s="2"/>
    </row>
    <row r="295" spans="1:7">
      <c r="A295" t="s">
        <v>213</v>
      </c>
      <c r="B295" s="3">
        <v>3.9572044866264021E-9</v>
      </c>
      <c r="C295" s="3"/>
      <c r="D295" t="s">
        <v>7</v>
      </c>
      <c r="E295" t="s">
        <v>245</v>
      </c>
      <c r="F295" t="s">
        <v>27</v>
      </c>
      <c r="G295" s="2"/>
    </row>
    <row r="296" spans="1:7">
      <c r="A296" t="s">
        <v>237</v>
      </c>
      <c r="B296" s="3">
        <v>6.8092493528904225E-5</v>
      </c>
      <c r="C296" s="3"/>
      <c r="D296" t="s">
        <v>7</v>
      </c>
      <c r="E296" t="s">
        <v>244</v>
      </c>
      <c r="F296" t="s">
        <v>27</v>
      </c>
      <c r="G296" s="2"/>
    </row>
    <row r="297" spans="1:7">
      <c r="A297" t="s">
        <v>237</v>
      </c>
      <c r="B297" s="3">
        <v>2.4390854184641932E-5</v>
      </c>
      <c r="C297" s="3"/>
      <c r="D297" t="s">
        <v>7</v>
      </c>
      <c r="E297" t="s">
        <v>245</v>
      </c>
      <c r="F297" t="s">
        <v>27</v>
      </c>
      <c r="G297" s="2"/>
    </row>
    <row r="298" spans="1:7">
      <c r="A298" t="s">
        <v>218</v>
      </c>
      <c r="B298" s="3">
        <v>4.670992234685073E-7</v>
      </c>
      <c r="C298" s="3"/>
      <c r="D298" t="s">
        <v>7</v>
      </c>
      <c r="E298" t="s">
        <v>244</v>
      </c>
      <c r="F298" t="s">
        <v>27</v>
      </c>
      <c r="G298" s="2"/>
    </row>
    <row r="299" spans="1:7">
      <c r="A299" t="s">
        <v>218</v>
      </c>
      <c r="B299" s="3">
        <v>1.2126937014667817E-7</v>
      </c>
      <c r="C299" s="3"/>
      <c r="D299" t="s">
        <v>7</v>
      </c>
      <c r="E299" t="s">
        <v>245</v>
      </c>
      <c r="F299" t="s">
        <v>27</v>
      </c>
      <c r="G299" s="2"/>
    </row>
    <row r="300" spans="1:7">
      <c r="A300" t="s">
        <v>238</v>
      </c>
      <c r="B300" s="3">
        <v>1.0721415012942191E-4</v>
      </c>
      <c r="C300" s="3"/>
      <c r="D300" t="s">
        <v>7</v>
      </c>
      <c r="E300" t="s">
        <v>244</v>
      </c>
      <c r="F300" t="s">
        <v>27</v>
      </c>
      <c r="G300" s="2"/>
    </row>
    <row r="301" spans="1:7">
      <c r="A301" t="s">
        <v>238</v>
      </c>
      <c r="B301" s="3">
        <v>2.41662812769629E-7</v>
      </c>
      <c r="C301" s="3"/>
      <c r="D301" t="s">
        <v>7</v>
      </c>
      <c r="E301" t="s">
        <v>245</v>
      </c>
      <c r="F301" t="s">
        <v>27</v>
      </c>
      <c r="G301" s="2"/>
    </row>
    <row r="302" spans="1:7">
      <c r="A302" t="s">
        <v>239</v>
      </c>
      <c r="B302" s="3">
        <v>2.7799827437446071E-4</v>
      </c>
      <c r="C302" s="3"/>
      <c r="D302" t="s">
        <v>7</v>
      </c>
      <c r="E302" t="s">
        <v>244</v>
      </c>
      <c r="F302" t="s">
        <v>27</v>
      </c>
      <c r="G302" s="2"/>
    </row>
    <row r="303" spans="1:7">
      <c r="A303" t="s">
        <v>239</v>
      </c>
      <c r="B303" s="3">
        <v>1.3978809318377912E-4</v>
      </c>
      <c r="C303" s="3"/>
      <c r="D303" t="s">
        <v>7</v>
      </c>
      <c r="E303" t="s">
        <v>245</v>
      </c>
      <c r="F303" t="s">
        <v>27</v>
      </c>
      <c r="G303" s="2"/>
    </row>
    <row r="304" spans="1:7">
      <c r="A304" t="s">
        <v>220</v>
      </c>
      <c r="B304" s="3">
        <v>2.5623364969801551E-5</v>
      </c>
      <c r="C304" s="3"/>
      <c r="D304" t="s">
        <v>7</v>
      </c>
      <c r="E304" t="s">
        <v>244</v>
      </c>
      <c r="F304" t="s">
        <v>27</v>
      </c>
      <c r="G304" s="2"/>
    </row>
    <row r="305" spans="1:7">
      <c r="A305" t="s">
        <v>220</v>
      </c>
      <c r="B305" s="3">
        <v>1.6769663503019845E-8</v>
      </c>
      <c r="C305" s="3"/>
      <c r="D305" t="s">
        <v>7</v>
      </c>
      <c r="E305" t="s">
        <v>245</v>
      </c>
      <c r="F305" t="s">
        <v>27</v>
      </c>
      <c r="G305" s="2"/>
    </row>
    <row r="306" spans="1:7">
      <c r="A306" t="s">
        <v>240</v>
      </c>
      <c r="B306" s="3">
        <v>1.0447144089732528E-3</v>
      </c>
      <c r="C306" s="3"/>
      <c r="D306" t="s">
        <v>7</v>
      </c>
      <c r="E306" t="s">
        <v>244</v>
      </c>
      <c r="F306" t="s">
        <v>27</v>
      </c>
      <c r="G306" s="2"/>
    </row>
    <row r="307" spans="1:7">
      <c r="A307" t="s">
        <v>240</v>
      </c>
      <c r="B307" s="3">
        <v>1.7855565142364108E-4</v>
      </c>
      <c r="C307" s="3"/>
      <c r="D307" t="s">
        <v>7</v>
      </c>
      <c r="E307" t="s">
        <v>245</v>
      </c>
      <c r="F307" t="s">
        <v>27</v>
      </c>
      <c r="G307" s="2"/>
    </row>
    <row r="308" spans="1:7">
      <c r="A308" t="s">
        <v>241</v>
      </c>
      <c r="B308" s="3">
        <v>5.7708714408973255E-4</v>
      </c>
      <c r="C308" s="3"/>
      <c r="D308" t="s">
        <v>7</v>
      </c>
      <c r="E308" t="s">
        <v>244</v>
      </c>
      <c r="F308" t="s">
        <v>27</v>
      </c>
      <c r="G308" s="2"/>
    </row>
    <row r="309" spans="1:7">
      <c r="A309" t="s">
        <v>241</v>
      </c>
      <c r="B309" s="3">
        <v>6.525660051768766E-5</v>
      </c>
      <c r="C309" s="3"/>
      <c r="D309" t="s">
        <v>7</v>
      </c>
      <c r="E309" t="s">
        <v>245</v>
      </c>
      <c r="F309" t="s">
        <v>27</v>
      </c>
      <c r="G309" s="2"/>
    </row>
    <row r="310" spans="1:7">
      <c r="A310" t="s">
        <v>222</v>
      </c>
      <c r="B310" s="3">
        <v>8.8891113028472812E-8</v>
      </c>
      <c r="C310" s="3"/>
      <c r="D310" t="s">
        <v>7</v>
      </c>
      <c r="E310" t="s">
        <v>244</v>
      </c>
      <c r="F310" t="s">
        <v>27</v>
      </c>
      <c r="G310" s="2"/>
    </row>
    <row r="311" spans="1:7">
      <c r="A311" t="s">
        <v>222</v>
      </c>
      <c r="B311" s="3">
        <v>8.237756686798964E-11</v>
      </c>
      <c r="C311" s="3"/>
      <c r="D311" t="s">
        <v>7</v>
      </c>
      <c r="E311" t="s">
        <v>245</v>
      </c>
      <c r="F311" t="s">
        <v>27</v>
      </c>
      <c r="G311" s="2"/>
    </row>
    <row r="312" spans="1:7">
      <c r="A312" t="s">
        <v>223</v>
      </c>
      <c r="B312" s="3">
        <v>5.0409318377911987E-6</v>
      </c>
      <c r="C312" s="3"/>
      <c r="D312" t="s">
        <v>7</v>
      </c>
      <c r="E312" t="s">
        <v>244</v>
      </c>
      <c r="F312" t="s">
        <v>27</v>
      </c>
      <c r="G312" s="2"/>
    </row>
    <row r="313" spans="1:7">
      <c r="A313" t="s">
        <v>223</v>
      </c>
      <c r="B313" s="3">
        <v>6.8657808455565145E-9</v>
      </c>
      <c r="C313" s="3"/>
      <c r="D313" t="s">
        <v>7</v>
      </c>
      <c r="E313" t="s">
        <v>245</v>
      </c>
      <c r="F313" t="s">
        <v>27</v>
      </c>
      <c r="G313" s="2"/>
    </row>
    <row r="314" spans="1:7">
      <c r="A314" t="s">
        <v>224</v>
      </c>
      <c r="B314" s="3">
        <v>8.6738567730802401E-5</v>
      </c>
      <c r="C314" s="3"/>
      <c r="D314" t="s">
        <v>7</v>
      </c>
      <c r="E314" t="s">
        <v>244</v>
      </c>
      <c r="F314" t="s">
        <v>27</v>
      </c>
      <c r="G314" s="2"/>
    </row>
    <row r="315" spans="1:7">
      <c r="A315" t="s">
        <v>224</v>
      </c>
      <c r="B315" s="3">
        <v>5.9007075064710956E-8</v>
      </c>
      <c r="C315" s="3"/>
      <c r="D315" t="s">
        <v>7</v>
      </c>
      <c r="E315" t="s">
        <v>245</v>
      </c>
      <c r="F315" t="s">
        <v>27</v>
      </c>
      <c r="G315" s="2"/>
    </row>
    <row r="316" spans="1:7">
      <c r="A316" t="s">
        <v>226</v>
      </c>
      <c r="B316" s="3">
        <v>2.4634374460742018E-5</v>
      </c>
      <c r="C316" s="3"/>
      <c r="D316" t="s">
        <v>7</v>
      </c>
      <c r="E316" t="s">
        <v>244</v>
      </c>
      <c r="F316" t="s">
        <v>27</v>
      </c>
      <c r="G316" s="2"/>
    </row>
    <row r="317" spans="1:7">
      <c r="A317" t="s">
        <v>226</v>
      </c>
      <c r="B317" s="3">
        <v>9.7162726488352022E-8</v>
      </c>
      <c r="C317" s="3"/>
      <c r="D317" t="s">
        <v>7</v>
      </c>
      <c r="E317" t="s">
        <v>245</v>
      </c>
      <c r="F317" t="s">
        <v>27</v>
      </c>
      <c r="G317" s="2"/>
    </row>
    <row r="318" spans="1:7">
      <c r="A318" t="s">
        <v>227</v>
      </c>
      <c r="B318" s="3">
        <v>3.9124421052631574E-4</v>
      </c>
      <c r="C318" s="3"/>
      <c r="D318" t="s">
        <v>37</v>
      </c>
      <c r="E318" t="s">
        <v>245</v>
      </c>
      <c r="F318" t="s">
        <v>27</v>
      </c>
      <c r="G318" s="2"/>
    </row>
    <row r="319" spans="1:7">
      <c r="A319" t="s">
        <v>228</v>
      </c>
      <c r="B319" s="3">
        <v>7.2761000862812768E-5</v>
      </c>
      <c r="C319" s="3"/>
      <c r="D319" t="s">
        <v>7</v>
      </c>
      <c r="E319" t="s">
        <v>244</v>
      </c>
      <c r="F319" t="s">
        <v>27</v>
      </c>
      <c r="G319" s="2"/>
    </row>
    <row r="320" spans="1:7">
      <c r="A320" t="s">
        <v>228</v>
      </c>
      <c r="B320" s="3">
        <v>9.8992234685073332E-9</v>
      </c>
      <c r="C320" s="3"/>
      <c r="D320" t="s">
        <v>7</v>
      </c>
      <c r="E320" t="s">
        <v>245</v>
      </c>
      <c r="F320" t="s">
        <v>27</v>
      </c>
      <c r="G320" s="2"/>
    </row>
    <row r="321" spans="1:8">
      <c r="A321" t="s">
        <v>242</v>
      </c>
      <c r="B321" s="3">
        <v>0.77003968938740286</v>
      </c>
      <c r="C321" s="3"/>
      <c r="D321" t="s">
        <v>7</v>
      </c>
      <c r="E321" t="s">
        <v>111</v>
      </c>
      <c r="F321" t="s">
        <v>27</v>
      </c>
      <c r="G321" s="2"/>
    </row>
    <row r="322" spans="1:8" s="50" customFormat="1">
      <c r="A322" s="50" t="s">
        <v>484</v>
      </c>
      <c r="B322" s="51">
        <f>9.3/43.4</f>
        <v>0.2142857142857143</v>
      </c>
      <c r="D322" s="50" t="s">
        <v>7</v>
      </c>
      <c r="E322" s="50" t="s">
        <v>485</v>
      </c>
      <c r="F322" s="50" t="s">
        <v>27</v>
      </c>
      <c r="G322" s="50" t="s">
        <v>489</v>
      </c>
    </row>
    <row r="324" spans="1:8" s="50" customFormat="1" ht="15.75">
      <c r="A324" s="49" t="s">
        <v>0</v>
      </c>
      <c r="B324" s="49" t="s">
        <v>139</v>
      </c>
    </row>
    <row r="325" spans="1:8" s="50" customFormat="1">
      <c r="A325" s="50" t="s">
        <v>1</v>
      </c>
      <c r="B325" s="50" t="s">
        <v>104</v>
      </c>
    </row>
    <row r="326" spans="1:8" s="50" customFormat="1">
      <c r="A326" s="50" t="s">
        <v>2</v>
      </c>
      <c r="B326" s="50">
        <v>1</v>
      </c>
    </row>
    <row r="327" spans="1:8" s="50" customFormat="1">
      <c r="A327" s="50" t="s">
        <v>9</v>
      </c>
      <c r="B327" s="50" t="s">
        <v>132</v>
      </c>
    </row>
    <row r="328" spans="1:8" s="50" customFormat="1">
      <c r="A328" s="50" t="s">
        <v>3</v>
      </c>
      <c r="B328" s="3" t="s">
        <v>141</v>
      </c>
    </row>
    <row r="329" spans="1:8" s="50" customFormat="1">
      <c r="A329" s="50" t="s">
        <v>4</v>
      </c>
      <c r="B329" s="50" t="s">
        <v>5</v>
      </c>
    </row>
    <row r="330" spans="1:8">
      <c r="A330" t="s">
        <v>260</v>
      </c>
      <c r="B330" s="23">
        <f>0.37*33%*90%</f>
        <v>0.10989</v>
      </c>
    </row>
    <row r="331" spans="1:8" s="50" customFormat="1">
      <c r="A331" s="50" t="s">
        <v>6</v>
      </c>
      <c r="B331" s="50" t="s">
        <v>125</v>
      </c>
    </row>
    <row r="332" spans="1:8" s="50" customFormat="1" ht="15.75">
      <c r="A332" s="49" t="s">
        <v>10</v>
      </c>
    </row>
    <row r="333" spans="1:8" s="50" customFormat="1">
      <c r="A333" s="50" t="s">
        <v>11</v>
      </c>
      <c r="B333" s="50" t="s">
        <v>12</v>
      </c>
      <c r="C333" s="50" t="s">
        <v>1</v>
      </c>
      <c r="D333" s="50" t="s">
        <v>6</v>
      </c>
      <c r="E333" s="50" t="s">
        <v>13</v>
      </c>
      <c r="F333" s="50" t="s">
        <v>4</v>
      </c>
      <c r="G333" s="50" t="s">
        <v>9</v>
      </c>
      <c r="H333" s="50" t="s">
        <v>3</v>
      </c>
    </row>
    <row r="334" spans="1:8" s="50" customFormat="1">
      <c r="A334" s="50" t="str">
        <f>B324</f>
        <v>electricity production, at co-generation plastic waste-fired power plant, post, pipeline 200km, storage 1000m</v>
      </c>
      <c r="B334" s="50">
        <v>1</v>
      </c>
      <c r="C334" s="50" t="str">
        <f>B325</f>
        <v>CH</v>
      </c>
      <c r="D334" s="50" t="s">
        <v>125</v>
      </c>
      <c r="F334" s="50" t="s">
        <v>15</v>
      </c>
      <c r="G334" s="50" t="s">
        <v>16</v>
      </c>
      <c r="H334" s="51" t="str">
        <f>B328</f>
        <v>electricity, from plastic waste mixture, municipal incineration, energy allocation</v>
      </c>
    </row>
    <row r="335" spans="1:8">
      <c r="A335" t="s">
        <v>148</v>
      </c>
      <c r="B335" s="3">
        <v>5.0290974978429678E-4</v>
      </c>
      <c r="C335" s="3" t="s">
        <v>103</v>
      </c>
      <c r="D335" t="s">
        <v>7</v>
      </c>
      <c r="F335" t="s">
        <v>18</v>
      </c>
      <c r="G335" s="2"/>
      <c r="H335" t="s">
        <v>169</v>
      </c>
    </row>
    <row r="336" spans="1:8">
      <c r="A336" t="s">
        <v>149</v>
      </c>
      <c r="B336" s="3">
        <v>1.3720597066436585E-6</v>
      </c>
      <c r="C336" s="3" t="s">
        <v>103</v>
      </c>
      <c r="D336" t="s">
        <v>7</v>
      </c>
      <c r="F336" t="s">
        <v>18</v>
      </c>
      <c r="G336" s="2"/>
      <c r="H336" t="s">
        <v>170</v>
      </c>
    </row>
    <row r="337" spans="1:8">
      <c r="A337" t="s">
        <v>167</v>
      </c>
      <c r="B337" s="3">
        <v>1.1475799827437446E-3</v>
      </c>
      <c r="C337" s="3" t="s">
        <v>104</v>
      </c>
      <c r="D337" t="s">
        <v>7</v>
      </c>
      <c r="F337" t="s">
        <v>18</v>
      </c>
      <c r="G337" s="2"/>
      <c r="H337" t="s">
        <v>185</v>
      </c>
    </row>
    <row r="338" spans="1:8">
      <c r="A338" t="s">
        <v>150</v>
      </c>
      <c r="B338" s="3">
        <v>1.0594964624676446E-4</v>
      </c>
      <c r="C338" s="3" t="s">
        <v>24</v>
      </c>
      <c r="D338" t="s">
        <v>7</v>
      </c>
      <c r="F338" t="s">
        <v>18</v>
      </c>
      <c r="G338" s="2"/>
      <c r="H338" t="s">
        <v>171</v>
      </c>
    </row>
    <row r="339" spans="1:8">
      <c r="A339" t="s">
        <v>151</v>
      </c>
      <c r="B339" s="3">
        <v>6.075986194995686E-6</v>
      </c>
      <c r="C339" s="3" t="s">
        <v>24</v>
      </c>
      <c r="D339" t="s">
        <v>7</v>
      </c>
      <c r="F339" t="s">
        <v>18</v>
      </c>
      <c r="G339" s="2"/>
      <c r="H339" t="s">
        <v>172</v>
      </c>
    </row>
    <row r="340" spans="1:8">
      <c r="A340" t="s">
        <v>493</v>
      </c>
      <c r="B340" s="3">
        <v>6.4299603106125978E-7</v>
      </c>
      <c r="C340" s="3" t="s">
        <v>24</v>
      </c>
      <c r="D340" t="s">
        <v>7</v>
      </c>
      <c r="F340" t="s">
        <v>18</v>
      </c>
      <c r="G340" s="2"/>
      <c r="H340" t="s">
        <v>494</v>
      </c>
    </row>
    <row r="341" spans="1:8">
      <c r="A341" t="s">
        <v>168</v>
      </c>
      <c r="B341" s="3">
        <v>9.4042312338222606E-2</v>
      </c>
      <c r="C341" s="3" t="s">
        <v>104</v>
      </c>
      <c r="D341" t="s">
        <v>17</v>
      </c>
      <c r="F341" t="s">
        <v>18</v>
      </c>
      <c r="G341" s="2"/>
      <c r="H341" t="s">
        <v>186</v>
      </c>
    </row>
    <row r="342" spans="1:8">
      <c r="A342" t="s">
        <v>152</v>
      </c>
      <c r="B342" s="3">
        <v>1.0307958584987059E-4</v>
      </c>
      <c r="C342" s="3" t="s">
        <v>103</v>
      </c>
      <c r="D342" t="s">
        <v>7</v>
      </c>
      <c r="F342" t="s">
        <v>18</v>
      </c>
      <c r="G342" s="2"/>
      <c r="H342" t="s">
        <v>173</v>
      </c>
    </row>
    <row r="343" spans="1:8">
      <c r="A343" t="s">
        <v>153</v>
      </c>
      <c r="B343" s="3">
        <v>1.9148086281276964E-4</v>
      </c>
      <c r="C343" s="3" t="s">
        <v>103</v>
      </c>
      <c r="D343" t="s">
        <v>7</v>
      </c>
      <c r="F343" t="s">
        <v>18</v>
      </c>
      <c r="G343" s="2"/>
      <c r="H343" t="s">
        <v>174</v>
      </c>
    </row>
    <row r="344" spans="1:8">
      <c r="A344" t="s">
        <v>154</v>
      </c>
      <c r="B344" s="3">
        <v>1.6622774805867127E-5</v>
      </c>
      <c r="C344" s="3" t="s">
        <v>24</v>
      </c>
      <c r="D344" t="s">
        <v>7</v>
      </c>
      <c r="F344" t="s">
        <v>18</v>
      </c>
      <c r="G344" s="2"/>
      <c r="H344" t="s">
        <v>474</v>
      </c>
    </row>
    <row r="345" spans="1:8">
      <c r="A345" t="s">
        <v>155</v>
      </c>
      <c r="B345" s="3">
        <v>-1.5370198446937014E-3</v>
      </c>
      <c r="C345" s="3" t="s">
        <v>24</v>
      </c>
      <c r="D345" t="s">
        <v>7</v>
      </c>
      <c r="F345" t="s">
        <v>18</v>
      </c>
      <c r="G345" s="2"/>
      <c r="H345" t="s">
        <v>175</v>
      </c>
    </row>
    <row r="346" spans="1:8">
      <c r="A346" t="s">
        <v>156</v>
      </c>
      <c r="B346" s="3">
        <v>8.5418464193270071E-11</v>
      </c>
      <c r="C346" s="3" t="s">
        <v>104</v>
      </c>
      <c r="D346" t="s">
        <v>6</v>
      </c>
      <c r="F346" t="s">
        <v>18</v>
      </c>
      <c r="G346" s="2"/>
      <c r="H346" t="s">
        <v>176</v>
      </c>
    </row>
    <row r="347" spans="1:8">
      <c r="A347" t="s">
        <v>157</v>
      </c>
      <c r="B347" s="3">
        <v>5.7199620362381361E-3</v>
      </c>
      <c r="C347" s="3" t="s">
        <v>104</v>
      </c>
      <c r="D347" t="s">
        <v>7</v>
      </c>
      <c r="F347" t="s">
        <v>18</v>
      </c>
      <c r="G347" s="2"/>
      <c r="H347" t="s">
        <v>157</v>
      </c>
    </row>
    <row r="348" spans="1:8">
      <c r="A348" t="s">
        <v>158</v>
      </c>
      <c r="B348" s="3">
        <v>9.0786160483175143E-3</v>
      </c>
      <c r="C348" s="3" t="s">
        <v>104</v>
      </c>
      <c r="D348" t="s">
        <v>7</v>
      </c>
      <c r="F348" t="s">
        <v>18</v>
      </c>
      <c r="G348" s="2"/>
      <c r="H348" t="s">
        <v>158</v>
      </c>
    </row>
    <row r="349" spans="1:8">
      <c r="A349" t="s">
        <v>159</v>
      </c>
      <c r="B349" s="3">
        <v>3.1961880931837792E-3</v>
      </c>
      <c r="C349" s="3" t="s">
        <v>103</v>
      </c>
      <c r="D349" t="s">
        <v>7</v>
      </c>
      <c r="F349" t="s">
        <v>18</v>
      </c>
      <c r="G349" s="2"/>
      <c r="H349" t="s">
        <v>177</v>
      </c>
    </row>
    <row r="350" spans="1:8">
      <c r="A350" t="s">
        <v>160</v>
      </c>
      <c r="B350" s="3">
        <v>1.1916559102674719E-11</v>
      </c>
      <c r="C350" s="3" t="s">
        <v>104</v>
      </c>
      <c r="D350" t="s">
        <v>6</v>
      </c>
      <c r="F350" t="s">
        <v>18</v>
      </c>
      <c r="G350" s="2"/>
      <c r="H350" t="s">
        <v>178</v>
      </c>
    </row>
    <row r="351" spans="1:8">
      <c r="A351" t="s">
        <v>161</v>
      </c>
      <c r="B351" s="3">
        <v>1.6139647972389993E-11</v>
      </c>
      <c r="C351" s="3" t="s">
        <v>104</v>
      </c>
      <c r="D351" t="s">
        <v>6</v>
      </c>
      <c r="F351" t="s">
        <v>18</v>
      </c>
      <c r="G351" s="2"/>
      <c r="H351" t="s">
        <v>179</v>
      </c>
    </row>
    <row r="352" spans="1:8">
      <c r="A352" t="s">
        <v>162</v>
      </c>
      <c r="B352" s="3">
        <v>8.5210043140638474E-4</v>
      </c>
      <c r="C352" s="3" t="s">
        <v>266</v>
      </c>
      <c r="D352" t="s">
        <v>7</v>
      </c>
      <c r="F352" t="s">
        <v>18</v>
      </c>
      <c r="G352" s="2"/>
      <c r="H352" t="s">
        <v>180</v>
      </c>
    </row>
    <row r="353" spans="1:8">
      <c r="A353" t="s">
        <v>163</v>
      </c>
      <c r="B353" s="3">
        <v>-1.4442895599654873E-6</v>
      </c>
      <c r="C353" s="3" t="s">
        <v>24</v>
      </c>
      <c r="D353" t="s">
        <v>7</v>
      </c>
      <c r="F353" t="s">
        <v>18</v>
      </c>
      <c r="G353" s="2"/>
      <c r="H353" t="s">
        <v>181</v>
      </c>
    </row>
    <row r="354" spans="1:8">
      <c r="A354" t="s">
        <v>164</v>
      </c>
      <c r="B354" s="3">
        <v>3.1507454702329596E-5</v>
      </c>
      <c r="C354" s="3" t="s">
        <v>103</v>
      </c>
      <c r="D354" t="s">
        <v>7</v>
      </c>
      <c r="F354" t="s">
        <v>18</v>
      </c>
      <c r="G354" s="2"/>
      <c r="H354" t="s">
        <v>182</v>
      </c>
    </row>
    <row r="355" spans="1:8">
      <c r="A355" t="s">
        <v>81</v>
      </c>
      <c r="B355" s="3">
        <v>5.3840966350301989E-4</v>
      </c>
      <c r="C355" s="3" t="s">
        <v>103</v>
      </c>
      <c r="D355" t="s">
        <v>28</v>
      </c>
      <c r="F355" t="s">
        <v>18</v>
      </c>
      <c r="G355" s="2"/>
      <c r="H355" t="s">
        <v>82</v>
      </c>
    </row>
    <row r="356" spans="1:8">
      <c r="A356" t="s">
        <v>165</v>
      </c>
      <c r="B356" s="3">
        <v>-2.8689670405522001E-3</v>
      </c>
      <c r="C356" s="3" t="s">
        <v>104</v>
      </c>
      <c r="D356" t="s">
        <v>7</v>
      </c>
      <c r="F356" t="s">
        <v>18</v>
      </c>
      <c r="G356" s="2"/>
      <c r="H356" t="s">
        <v>183</v>
      </c>
    </row>
    <row r="357" spans="1:8">
      <c r="A357" t="s">
        <v>166</v>
      </c>
      <c r="B357" s="3">
        <v>1.2560272648835202</v>
      </c>
      <c r="C357" s="3" t="s">
        <v>104</v>
      </c>
      <c r="D357" t="s">
        <v>7</v>
      </c>
      <c r="F357" t="s">
        <v>18</v>
      </c>
      <c r="G357" s="2"/>
      <c r="H357" t="s">
        <v>184</v>
      </c>
    </row>
    <row r="358" spans="1:8">
      <c r="A358" t="s">
        <v>187</v>
      </c>
      <c r="B358" s="3">
        <v>5.1989094046591892E-11</v>
      </c>
      <c r="C358" s="3"/>
      <c r="D358" t="s">
        <v>7</v>
      </c>
      <c r="E358" t="s">
        <v>243</v>
      </c>
      <c r="F358" t="s">
        <v>27</v>
      </c>
      <c r="G358" s="2"/>
    </row>
    <row r="359" spans="1:8">
      <c r="A359" t="s">
        <v>188</v>
      </c>
      <c r="B359" s="3">
        <v>5.912666091458153E-7</v>
      </c>
      <c r="C359" s="3"/>
      <c r="D359" t="s">
        <v>7</v>
      </c>
      <c r="E359" t="s">
        <v>243</v>
      </c>
      <c r="F359" t="s">
        <v>27</v>
      </c>
      <c r="G359" s="2"/>
    </row>
    <row r="360" spans="1:8">
      <c r="A360" t="s">
        <v>189</v>
      </c>
      <c r="B360" s="3">
        <v>1.097353925798102E-11</v>
      </c>
      <c r="C360" s="3"/>
      <c r="D360" t="s">
        <v>7</v>
      </c>
      <c r="E360" t="s">
        <v>243</v>
      </c>
      <c r="F360" t="s">
        <v>27</v>
      </c>
      <c r="G360" s="2"/>
    </row>
    <row r="361" spans="1:8">
      <c r="A361" t="s">
        <v>190</v>
      </c>
      <c r="B361" s="3">
        <v>4.7451665228645383E-9</v>
      </c>
      <c r="C361" s="3"/>
      <c r="D361" t="s">
        <v>7</v>
      </c>
      <c r="E361" t="s">
        <v>243</v>
      </c>
      <c r="F361" t="s">
        <v>27</v>
      </c>
      <c r="G361" s="2"/>
    </row>
    <row r="362" spans="1:8">
      <c r="A362" t="s">
        <v>191</v>
      </c>
      <c r="B362" s="3">
        <v>2.3338716134598792E-7</v>
      </c>
      <c r="C362" s="3"/>
      <c r="D362" t="s">
        <v>7</v>
      </c>
      <c r="E362" t="s">
        <v>243</v>
      </c>
      <c r="F362" t="s">
        <v>27</v>
      </c>
      <c r="G362" s="2"/>
    </row>
    <row r="363" spans="1:8">
      <c r="A363" t="s">
        <v>192</v>
      </c>
      <c r="B363" s="3">
        <v>5.1309163071613463E-9</v>
      </c>
      <c r="C363" s="3"/>
      <c r="D363" t="s">
        <v>7</v>
      </c>
      <c r="E363" t="s">
        <v>243</v>
      </c>
      <c r="F363" t="s">
        <v>27</v>
      </c>
      <c r="G363" s="2"/>
    </row>
    <row r="364" spans="1:8">
      <c r="A364" t="s">
        <v>193</v>
      </c>
      <c r="B364" s="3">
        <v>1.0728900776531492E-11</v>
      </c>
      <c r="C364" s="3"/>
      <c r="D364" t="s">
        <v>7</v>
      </c>
      <c r="E364" t="s">
        <v>243</v>
      </c>
      <c r="F364" t="s">
        <v>27</v>
      </c>
      <c r="G364" s="2"/>
    </row>
    <row r="365" spans="1:8">
      <c r="A365" t="s">
        <v>477</v>
      </c>
      <c r="B365" s="3">
        <v>2.7109087144089735E-11</v>
      </c>
      <c r="C365" s="3"/>
      <c r="D365" t="s">
        <v>7</v>
      </c>
      <c r="E365" t="s">
        <v>243</v>
      </c>
      <c r="F365" t="s">
        <v>27</v>
      </c>
      <c r="G365" s="2"/>
    </row>
    <row r="366" spans="1:8">
      <c r="A366" t="s">
        <v>194</v>
      </c>
      <c r="B366" s="3">
        <v>1.1418398619499569E-13</v>
      </c>
      <c r="C366" s="3"/>
      <c r="D366" t="s">
        <v>7</v>
      </c>
      <c r="E366" t="s">
        <v>243</v>
      </c>
      <c r="F366" t="s">
        <v>27</v>
      </c>
      <c r="G366" s="2"/>
    </row>
    <row r="367" spans="1:8">
      <c r="A367" t="s">
        <v>195</v>
      </c>
      <c r="B367" s="3">
        <v>1.1147792924935289E-8</v>
      </c>
      <c r="C367" s="3"/>
      <c r="D367" t="s">
        <v>7</v>
      </c>
      <c r="E367" t="s">
        <v>243</v>
      </c>
      <c r="F367" t="s">
        <v>27</v>
      </c>
      <c r="G367" s="2"/>
    </row>
    <row r="368" spans="1:8">
      <c r="A368" t="s">
        <v>196</v>
      </c>
      <c r="B368" s="3">
        <v>1.3198519413287318E-8</v>
      </c>
      <c r="C368" s="3"/>
      <c r="D368" t="s">
        <v>7</v>
      </c>
      <c r="E368" t="s">
        <v>243</v>
      </c>
      <c r="F368" t="s">
        <v>27</v>
      </c>
      <c r="G368" s="2"/>
    </row>
    <row r="369" spans="1:7">
      <c r="A369" t="s">
        <v>197</v>
      </c>
      <c r="B369" s="3">
        <v>8.7222502157031922E-6</v>
      </c>
      <c r="C369" s="3"/>
      <c r="D369" t="s">
        <v>7</v>
      </c>
      <c r="E369" t="s">
        <v>243</v>
      </c>
      <c r="F369" t="s">
        <v>27</v>
      </c>
      <c r="G369" s="2"/>
    </row>
    <row r="370" spans="1:7">
      <c r="A370" t="s">
        <v>198</v>
      </c>
      <c r="B370" s="3">
        <v>1.1377056082830025E-8</v>
      </c>
      <c r="C370" s="3"/>
      <c r="D370" t="s">
        <v>7</v>
      </c>
      <c r="E370" t="s">
        <v>243</v>
      </c>
      <c r="F370" t="s">
        <v>27</v>
      </c>
      <c r="G370" s="2"/>
    </row>
    <row r="371" spans="1:7">
      <c r="A371" t="s">
        <v>199</v>
      </c>
      <c r="B371" s="3">
        <v>1.8317135461604833E-8</v>
      </c>
      <c r="C371" s="3"/>
      <c r="D371" t="s">
        <v>7</v>
      </c>
      <c r="E371" t="s">
        <v>243</v>
      </c>
      <c r="F371" t="s">
        <v>27</v>
      </c>
      <c r="G371" s="2"/>
    </row>
    <row r="372" spans="1:7">
      <c r="A372" t="s">
        <v>200</v>
      </c>
      <c r="B372" s="3">
        <v>9.2757618636755827E-9</v>
      </c>
      <c r="C372" s="3"/>
      <c r="D372" t="s">
        <v>7</v>
      </c>
      <c r="E372" t="s">
        <v>243</v>
      </c>
      <c r="F372" t="s">
        <v>27</v>
      </c>
      <c r="G372" s="2"/>
    </row>
    <row r="373" spans="1:7">
      <c r="A373" t="s">
        <v>201</v>
      </c>
      <c r="B373" s="3">
        <v>6.6916824849007774E-6</v>
      </c>
      <c r="C373" s="3"/>
      <c r="D373" t="s">
        <v>7</v>
      </c>
      <c r="E373" t="s">
        <v>243</v>
      </c>
      <c r="F373" t="s">
        <v>27</v>
      </c>
      <c r="G373" s="2"/>
    </row>
    <row r="374" spans="1:7">
      <c r="A374" t="s">
        <v>202</v>
      </c>
      <c r="B374" s="3">
        <v>3.1146305435720447E-5</v>
      </c>
      <c r="C374" s="3"/>
      <c r="D374" t="s">
        <v>7</v>
      </c>
      <c r="E374" t="s">
        <v>243</v>
      </c>
      <c r="F374" t="s">
        <v>27</v>
      </c>
      <c r="G374" s="2"/>
    </row>
    <row r="375" spans="1:7">
      <c r="A375" t="s">
        <v>203</v>
      </c>
      <c r="B375" s="3">
        <v>1.026149094046592E-14</v>
      </c>
      <c r="C375" s="3"/>
      <c r="D375" t="s">
        <v>7</v>
      </c>
      <c r="E375" t="s">
        <v>243</v>
      </c>
      <c r="F375" t="s">
        <v>27</v>
      </c>
      <c r="G375" s="2"/>
    </row>
    <row r="376" spans="1:7">
      <c r="A376" t="s">
        <v>204</v>
      </c>
      <c r="B376" s="3">
        <v>8.4646281276962902</v>
      </c>
      <c r="C376" s="3"/>
      <c r="D376" t="s">
        <v>17</v>
      </c>
      <c r="E376" t="s">
        <v>243</v>
      </c>
      <c r="F376" t="s">
        <v>27</v>
      </c>
      <c r="G376" s="2"/>
    </row>
    <row r="377" spans="1:7">
      <c r="A377" t="s">
        <v>205</v>
      </c>
      <c r="B377" s="3">
        <v>3.5349577221742887E-6</v>
      </c>
      <c r="C377" s="3"/>
      <c r="D377" t="s">
        <v>7</v>
      </c>
      <c r="E377" t="s">
        <v>243</v>
      </c>
      <c r="F377" t="s">
        <v>27</v>
      </c>
      <c r="G377" s="2"/>
    </row>
    <row r="378" spans="1:7">
      <c r="A378" t="s">
        <v>206</v>
      </c>
      <c r="B378" s="3">
        <v>3.1619865401207937E-8</v>
      </c>
      <c r="C378" s="3"/>
      <c r="D378" t="s">
        <v>7</v>
      </c>
      <c r="E378" t="s">
        <v>243</v>
      </c>
      <c r="F378" t="s">
        <v>27</v>
      </c>
      <c r="G378" s="2"/>
    </row>
    <row r="379" spans="1:7">
      <c r="A379" t="s">
        <v>207</v>
      </c>
      <c r="B379" s="3">
        <v>2.1287989646246765E-9</v>
      </c>
      <c r="C379" s="3"/>
      <c r="D379" t="s">
        <v>7</v>
      </c>
      <c r="E379" t="s">
        <v>243</v>
      </c>
      <c r="F379" t="s">
        <v>27</v>
      </c>
      <c r="G379" s="2"/>
    </row>
    <row r="380" spans="1:7">
      <c r="A380" t="s">
        <v>208</v>
      </c>
      <c r="B380" s="3">
        <v>1.2267458153580674E-8</v>
      </c>
      <c r="C380" s="3"/>
      <c r="D380" t="s">
        <v>7</v>
      </c>
      <c r="E380" t="s">
        <v>243</v>
      </c>
      <c r="F380" t="s">
        <v>27</v>
      </c>
      <c r="G380" s="2"/>
    </row>
    <row r="381" spans="1:7">
      <c r="A381" t="s">
        <v>209</v>
      </c>
      <c r="B381" s="3">
        <v>4.8661190681622081E-9</v>
      </c>
      <c r="C381" s="3"/>
      <c r="D381" t="s">
        <v>7</v>
      </c>
      <c r="E381" t="s">
        <v>243</v>
      </c>
      <c r="F381" t="s">
        <v>27</v>
      </c>
      <c r="G381" s="2"/>
    </row>
    <row r="382" spans="1:7">
      <c r="A382" t="s">
        <v>210</v>
      </c>
      <c r="B382" s="3">
        <v>7.6760448662640209E-9</v>
      </c>
      <c r="C382" s="3"/>
      <c r="D382" t="s">
        <v>7</v>
      </c>
      <c r="E382" t="s">
        <v>243</v>
      </c>
      <c r="F382" t="s">
        <v>27</v>
      </c>
      <c r="G382" s="2"/>
    </row>
    <row r="383" spans="1:7">
      <c r="A383" t="s">
        <v>211</v>
      </c>
      <c r="B383" s="3">
        <v>7.6965452976704056E-8</v>
      </c>
      <c r="C383" s="3"/>
      <c r="D383" t="s">
        <v>7</v>
      </c>
      <c r="E383" t="s">
        <v>243</v>
      </c>
      <c r="F383" t="s">
        <v>27</v>
      </c>
      <c r="G383" s="2"/>
    </row>
    <row r="384" spans="1:7">
      <c r="A384" t="s">
        <v>212</v>
      </c>
      <c r="B384" s="3">
        <v>2.3351358067299398E-7</v>
      </c>
      <c r="C384" s="3"/>
      <c r="D384" t="s">
        <v>7</v>
      </c>
      <c r="E384" t="s">
        <v>243</v>
      </c>
      <c r="F384" t="s">
        <v>27</v>
      </c>
      <c r="G384" s="2"/>
    </row>
    <row r="385" spans="1:7">
      <c r="A385" t="s">
        <v>213</v>
      </c>
      <c r="B385" s="3">
        <v>8.2503986194995694E-9</v>
      </c>
      <c r="C385" s="3"/>
      <c r="D385" t="s">
        <v>7</v>
      </c>
      <c r="E385" t="s">
        <v>243</v>
      </c>
      <c r="F385" t="s">
        <v>27</v>
      </c>
      <c r="G385" s="2"/>
    </row>
    <row r="386" spans="1:7">
      <c r="A386" t="s">
        <v>214</v>
      </c>
      <c r="B386" s="3">
        <v>1.8723727351164796E-4</v>
      </c>
      <c r="C386" s="3"/>
      <c r="D386" t="s">
        <v>7</v>
      </c>
      <c r="E386" t="s">
        <v>243</v>
      </c>
      <c r="F386" t="s">
        <v>27</v>
      </c>
      <c r="G386" s="2"/>
    </row>
    <row r="387" spans="1:7">
      <c r="A387" t="s">
        <v>215</v>
      </c>
      <c r="B387" s="3">
        <v>6.1262122519413295E-7</v>
      </c>
      <c r="C387" s="3"/>
      <c r="D387" t="s">
        <v>7</v>
      </c>
      <c r="E387" t="s">
        <v>243</v>
      </c>
      <c r="F387" t="s">
        <v>27</v>
      </c>
      <c r="G387" s="2"/>
    </row>
    <row r="388" spans="1:7">
      <c r="A388" t="s">
        <v>216</v>
      </c>
      <c r="B388" s="3">
        <v>3.0784131147540985E-9</v>
      </c>
      <c r="C388" s="3"/>
      <c r="D388" t="s">
        <v>7</v>
      </c>
      <c r="E388" t="s">
        <v>243</v>
      </c>
      <c r="F388" t="s">
        <v>27</v>
      </c>
      <c r="G388" s="2"/>
    </row>
    <row r="389" spans="1:7">
      <c r="A389" t="s">
        <v>217</v>
      </c>
      <c r="B389" s="3">
        <v>2.2345128559102676E-12</v>
      </c>
      <c r="C389" s="3"/>
      <c r="D389" t="s">
        <v>7</v>
      </c>
      <c r="E389" t="s">
        <v>243</v>
      </c>
      <c r="F389" t="s">
        <v>27</v>
      </c>
      <c r="G389" s="2"/>
    </row>
    <row r="390" spans="1:7">
      <c r="A390" t="s">
        <v>218</v>
      </c>
      <c r="B390" s="3">
        <v>7.9873097497842971E-9</v>
      </c>
      <c r="C390" s="3"/>
      <c r="D390" t="s">
        <v>7</v>
      </c>
      <c r="E390" t="s">
        <v>243</v>
      </c>
      <c r="F390" t="s">
        <v>27</v>
      </c>
      <c r="G390" s="2"/>
    </row>
    <row r="391" spans="1:7">
      <c r="A391" t="s">
        <v>219</v>
      </c>
      <c r="B391" s="3">
        <v>3.8359723899913715E-6</v>
      </c>
      <c r="C391" s="3"/>
      <c r="D391" t="s">
        <v>7</v>
      </c>
      <c r="E391" t="s">
        <v>243</v>
      </c>
      <c r="F391" t="s">
        <v>27</v>
      </c>
      <c r="G391" s="2"/>
    </row>
    <row r="392" spans="1:7">
      <c r="A392" t="s">
        <v>220</v>
      </c>
      <c r="B392" s="3">
        <v>2.821611044003451E-9</v>
      </c>
      <c r="C392" s="3"/>
      <c r="D392" t="s">
        <v>7</v>
      </c>
      <c r="E392" t="s">
        <v>243</v>
      </c>
      <c r="F392" t="s">
        <v>27</v>
      </c>
      <c r="G392" s="2"/>
    </row>
    <row r="393" spans="1:7">
      <c r="A393" t="s">
        <v>221</v>
      </c>
      <c r="B393" s="3">
        <v>5.1114408973252813E-6</v>
      </c>
      <c r="C393" s="3"/>
      <c r="D393" t="s">
        <v>7</v>
      </c>
      <c r="E393" t="s">
        <v>243</v>
      </c>
      <c r="F393" t="s">
        <v>27</v>
      </c>
      <c r="G393" s="2"/>
    </row>
    <row r="394" spans="1:7">
      <c r="A394" t="s">
        <v>222</v>
      </c>
      <c r="B394" s="3">
        <v>1.2752976704055219E-10</v>
      </c>
      <c r="C394" s="3"/>
      <c r="D394" t="s">
        <v>7</v>
      </c>
      <c r="E394" t="s">
        <v>243</v>
      </c>
      <c r="F394" t="s">
        <v>27</v>
      </c>
      <c r="G394" s="2"/>
    </row>
    <row r="395" spans="1:7">
      <c r="A395" t="s">
        <v>223</v>
      </c>
      <c r="B395" s="3">
        <v>5.4575565142364113E-12</v>
      </c>
      <c r="C395" s="3"/>
      <c r="D395" t="s">
        <v>7</v>
      </c>
      <c r="E395" t="s">
        <v>243</v>
      </c>
      <c r="F395" t="s">
        <v>27</v>
      </c>
      <c r="G395" s="2"/>
    </row>
    <row r="396" spans="1:7">
      <c r="A396" t="s">
        <v>224</v>
      </c>
      <c r="B396" s="3">
        <v>2.6451364969801553E-7</v>
      </c>
      <c r="C396" s="3"/>
      <c r="D396" t="s">
        <v>7</v>
      </c>
      <c r="E396" t="s">
        <v>243</v>
      </c>
      <c r="F396" t="s">
        <v>27</v>
      </c>
      <c r="G396" s="2"/>
    </row>
    <row r="397" spans="1:7">
      <c r="A397" t="s">
        <v>225</v>
      </c>
      <c r="B397" s="3">
        <v>1.0262174288179465E-8</v>
      </c>
      <c r="C397" s="3"/>
      <c r="D397" t="s">
        <v>7</v>
      </c>
      <c r="E397" t="s">
        <v>243</v>
      </c>
      <c r="F397" t="s">
        <v>27</v>
      </c>
      <c r="G397" s="2"/>
    </row>
    <row r="398" spans="1:7">
      <c r="A398" t="s">
        <v>226</v>
      </c>
      <c r="B398" s="3">
        <v>1.9484635030198446E-6</v>
      </c>
      <c r="C398" s="3"/>
      <c r="D398" t="s">
        <v>7</v>
      </c>
      <c r="E398" t="s">
        <v>243</v>
      </c>
      <c r="F398" t="s">
        <v>27</v>
      </c>
      <c r="G398" s="2"/>
    </row>
    <row r="399" spans="1:7">
      <c r="A399" t="s">
        <v>227</v>
      </c>
      <c r="B399" s="3">
        <v>1.1666429922346853E-3</v>
      </c>
      <c r="C399" s="3"/>
      <c r="D399" t="s">
        <v>37</v>
      </c>
      <c r="E399" t="s">
        <v>243</v>
      </c>
      <c r="F399" t="s">
        <v>27</v>
      </c>
      <c r="G399" s="2"/>
    </row>
    <row r="400" spans="1:7">
      <c r="A400" t="s">
        <v>228</v>
      </c>
      <c r="B400" s="3">
        <v>1.1947309749784296E-7</v>
      </c>
      <c r="C400" s="3"/>
      <c r="D400" t="s">
        <v>7</v>
      </c>
      <c r="E400" t="s">
        <v>243</v>
      </c>
      <c r="F400" t="s">
        <v>27</v>
      </c>
      <c r="G400" s="2"/>
    </row>
    <row r="401" spans="1:7">
      <c r="A401" t="s">
        <v>187</v>
      </c>
      <c r="B401" s="3">
        <v>5.9430750647109587E-5</v>
      </c>
      <c r="C401" s="3"/>
      <c r="D401" t="s">
        <v>7</v>
      </c>
      <c r="E401" t="s">
        <v>244</v>
      </c>
      <c r="F401" t="s">
        <v>27</v>
      </c>
      <c r="G401" s="2"/>
    </row>
    <row r="402" spans="1:7">
      <c r="A402" t="s">
        <v>187</v>
      </c>
      <c r="B402" s="3">
        <v>2.1773166522864537E-8</v>
      </c>
      <c r="C402" s="3"/>
      <c r="D402" t="s">
        <v>7</v>
      </c>
      <c r="E402" t="s">
        <v>245</v>
      </c>
      <c r="F402" t="s">
        <v>27</v>
      </c>
      <c r="G402" s="2"/>
    </row>
    <row r="403" spans="1:7">
      <c r="A403" t="s">
        <v>189</v>
      </c>
      <c r="B403" s="3">
        <v>5.5586919758412427E-6</v>
      </c>
      <c r="C403" s="3"/>
      <c r="D403" t="s">
        <v>7</v>
      </c>
      <c r="E403" t="s">
        <v>244</v>
      </c>
      <c r="F403" t="s">
        <v>27</v>
      </c>
      <c r="G403" s="2"/>
    </row>
    <row r="404" spans="1:7">
      <c r="A404" t="s">
        <v>189</v>
      </c>
      <c r="B404" s="3">
        <v>2.6922874892148405E-6</v>
      </c>
      <c r="C404" s="3"/>
      <c r="D404" t="s">
        <v>7</v>
      </c>
      <c r="E404" t="s">
        <v>245</v>
      </c>
      <c r="F404" t="s">
        <v>27</v>
      </c>
      <c r="G404" s="2"/>
    </row>
    <row r="405" spans="1:7">
      <c r="A405" t="s">
        <v>190</v>
      </c>
      <c r="B405" s="3">
        <v>3.6931527178602246E-7</v>
      </c>
      <c r="C405" s="3"/>
      <c r="D405" t="s">
        <v>7</v>
      </c>
      <c r="E405" t="s">
        <v>244</v>
      </c>
      <c r="F405" t="s">
        <v>27</v>
      </c>
      <c r="G405" s="2"/>
    </row>
    <row r="406" spans="1:7">
      <c r="A406" t="s">
        <v>190</v>
      </c>
      <c r="B406" s="3">
        <v>2.3686540120793788E-7</v>
      </c>
      <c r="C406" s="3"/>
      <c r="D406" t="s">
        <v>7</v>
      </c>
      <c r="E406" t="s">
        <v>245</v>
      </c>
      <c r="F406" t="s">
        <v>27</v>
      </c>
      <c r="G406" s="2"/>
    </row>
    <row r="407" spans="1:7">
      <c r="A407" t="s">
        <v>229</v>
      </c>
      <c r="B407" s="3">
        <v>5.2474270923209669E-4</v>
      </c>
      <c r="C407" s="3"/>
      <c r="D407" t="s">
        <v>7</v>
      </c>
      <c r="E407" t="s">
        <v>244</v>
      </c>
      <c r="F407" t="s">
        <v>27</v>
      </c>
      <c r="G407" s="2"/>
    </row>
    <row r="408" spans="1:7">
      <c r="A408" t="s">
        <v>229</v>
      </c>
      <c r="B408" s="3">
        <v>1.610513891285591E-4</v>
      </c>
      <c r="C408" s="3"/>
      <c r="D408" t="s">
        <v>7</v>
      </c>
      <c r="E408" t="s">
        <v>245</v>
      </c>
      <c r="F408" t="s">
        <v>27</v>
      </c>
      <c r="G408" s="2"/>
    </row>
    <row r="409" spans="1:7">
      <c r="A409" t="s">
        <v>191</v>
      </c>
      <c r="B409" s="3">
        <v>4.3440414150129424E-5</v>
      </c>
      <c r="C409" s="3"/>
      <c r="D409" t="s">
        <v>7</v>
      </c>
      <c r="E409" t="s">
        <v>244</v>
      </c>
      <c r="F409" t="s">
        <v>27</v>
      </c>
      <c r="G409" s="2"/>
    </row>
    <row r="410" spans="1:7">
      <c r="A410" t="s">
        <v>191</v>
      </c>
      <c r="B410" s="3">
        <v>2.5229197584124247E-8</v>
      </c>
      <c r="C410" s="3"/>
      <c r="D410" t="s">
        <v>7</v>
      </c>
      <c r="E410" t="s">
        <v>245</v>
      </c>
      <c r="F410" t="s">
        <v>27</v>
      </c>
      <c r="G410" s="2"/>
    </row>
    <row r="411" spans="1:7">
      <c r="A411" t="s">
        <v>230</v>
      </c>
      <c r="B411" s="3">
        <v>1.4960531492666092E-7</v>
      </c>
      <c r="C411" s="3"/>
      <c r="D411" t="s">
        <v>7</v>
      </c>
      <c r="E411" t="s">
        <v>244</v>
      </c>
      <c r="F411" t="s">
        <v>27</v>
      </c>
      <c r="G411" s="2"/>
    </row>
    <row r="412" spans="1:7">
      <c r="A412" t="s">
        <v>230</v>
      </c>
      <c r="B412" s="3">
        <v>9.9208421052631588E-11</v>
      </c>
      <c r="C412" s="3"/>
      <c r="D412" t="s">
        <v>7</v>
      </c>
      <c r="E412" t="s">
        <v>245</v>
      </c>
      <c r="F412" t="s">
        <v>27</v>
      </c>
      <c r="G412" s="2"/>
    </row>
    <row r="413" spans="1:7">
      <c r="A413" t="s">
        <v>195</v>
      </c>
      <c r="B413" s="3">
        <v>1.1569418464193269E-6</v>
      </c>
      <c r="C413" s="3"/>
      <c r="D413" t="s">
        <v>7</v>
      </c>
      <c r="E413" t="s">
        <v>244</v>
      </c>
      <c r="F413" t="s">
        <v>27</v>
      </c>
      <c r="G413" s="2"/>
    </row>
    <row r="414" spans="1:7">
      <c r="A414" t="s">
        <v>195</v>
      </c>
      <c r="B414" s="3">
        <v>2.0708852459016393E-5</v>
      </c>
      <c r="C414" s="3"/>
      <c r="D414" t="s">
        <v>7</v>
      </c>
      <c r="E414" t="s">
        <v>245</v>
      </c>
      <c r="F414" t="s">
        <v>27</v>
      </c>
      <c r="G414" s="2"/>
    </row>
    <row r="415" spans="1:7">
      <c r="A415" t="s">
        <v>231</v>
      </c>
      <c r="B415" s="3">
        <v>1.6042270923209666E-3</v>
      </c>
      <c r="C415" s="3"/>
      <c r="D415" t="s">
        <v>7</v>
      </c>
      <c r="E415" t="s">
        <v>244</v>
      </c>
      <c r="F415" t="s">
        <v>27</v>
      </c>
      <c r="G415" s="2"/>
    </row>
    <row r="416" spans="1:7">
      <c r="A416" t="s">
        <v>231</v>
      </c>
      <c r="B416" s="3">
        <v>1.6457404659188957E-4</v>
      </c>
      <c r="C416" s="3"/>
      <c r="D416" t="s">
        <v>7</v>
      </c>
      <c r="E416" t="s">
        <v>245</v>
      </c>
      <c r="F416" t="s">
        <v>27</v>
      </c>
      <c r="G416" s="2"/>
    </row>
    <row r="417" spans="1:7">
      <c r="A417" t="s">
        <v>196</v>
      </c>
      <c r="B417" s="3">
        <v>4.151679033649698E-6</v>
      </c>
      <c r="C417" s="3"/>
      <c r="D417" t="s">
        <v>7</v>
      </c>
      <c r="E417" t="s">
        <v>244</v>
      </c>
      <c r="F417" t="s">
        <v>27</v>
      </c>
      <c r="G417" s="2"/>
    </row>
    <row r="418" spans="1:7">
      <c r="A418" t="s">
        <v>196</v>
      </c>
      <c r="B418" s="3">
        <v>4.6023468507333909E-9</v>
      </c>
      <c r="C418" s="3"/>
      <c r="D418" t="s">
        <v>7</v>
      </c>
      <c r="E418" t="s">
        <v>245</v>
      </c>
      <c r="F418" t="s">
        <v>27</v>
      </c>
      <c r="G418" s="2"/>
    </row>
    <row r="419" spans="1:7">
      <c r="A419" t="s">
        <v>232</v>
      </c>
      <c r="B419" s="3">
        <v>4.8944779982743748E-5</v>
      </c>
      <c r="C419" s="3"/>
      <c r="D419" t="s">
        <v>7</v>
      </c>
      <c r="E419" t="s">
        <v>244</v>
      </c>
      <c r="F419" t="s">
        <v>27</v>
      </c>
      <c r="G419" s="2"/>
    </row>
    <row r="420" spans="1:7">
      <c r="A420" t="s">
        <v>232</v>
      </c>
      <c r="B420" s="3">
        <v>8.1707886108714418E-8</v>
      </c>
      <c r="C420" s="3"/>
      <c r="D420" t="s">
        <v>7</v>
      </c>
      <c r="E420" t="s">
        <v>245</v>
      </c>
      <c r="F420" t="s">
        <v>27</v>
      </c>
      <c r="G420" s="2"/>
    </row>
    <row r="421" spans="1:7">
      <c r="A421" t="s">
        <v>233</v>
      </c>
      <c r="B421" s="3">
        <v>7.8031475409836074E-4</v>
      </c>
      <c r="C421" s="3"/>
      <c r="D421" t="s">
        <v>7</v>
      </c>
      <c r="E421" t="s">
        <v>244</v>
      </c>
      <c r="F421" t="s">
        <v>27</v>
      </c>
      <c r="G421" s="2"/>
    </row>
    <row r="422" spans="1:7">
      <c r="A422" t="s">
        <v>233</v>
      </c>
      <c r="B422" s="3">
        <v>5.261777394305436E-3</v>
      </c>
      <c r="C422" s="3"/>
      <c r="D422" t="s">
        <v>7</v>
      </c>
      <c r="E422" t="s">
        <v>245</v>
      </c>
      <c r="F422" t="s">
        <v>27</v>
      </c>
      <c r="G422" s="2"/>
    </row>
    <row r="423" spans="1:7">
      <c r="A423" t="s">
        <v>198</v>
      </c>
      <c r="B423" s="3">
        <v>1.6914564279551337E-9</v>
      </c>
      <c r="C423" s="3"/>
      <c r="D423" t="s">
        <v>7</v>
      </c>
      <c r="E423" t="s">
        <v>245</v>
      </c>
      <c r="F423" t="s">
        <v>27</v>
      </c>
      <c r="G423" s="2"/>
    </row>
    <row r="424" spans="1:7">
      <c r="A424" t="s">
        <v>234</v>
      </c>
      <c r="B424" s="3">
        <v>6.8884866264020719E-7</v>
      </c>
      <c r="C424" s="3"/>
      <c r="D424" t="s">
        <v>7</v>
      </c>
      <c r="E424" t="s">
        <v>244</v>
      </c>
      <c r="F424" t="s">
        <v>27</v>
      </c>
      <c r="G424" s="2"/>
    </row>
    <row r="425" spans="1:7">
      <c r="A425" t="s">
        <v>234</v>
      </c>
      <c r="B425" s="3">
        <v>1.9825625539257981E-7</v>
      </c>
      <c r="C425" s="3"/>
      <c r="D425" t="s">
        <v>7</v>
      </c>
      <c r="E425" t="s">
        <v>245</v>
      </c>
      <c r="F425" t="s">
        <v>27</v>
      </c>
      <c r="G425" s="2"/>
    </row>
    <row r="426" spans="1:7">
      <c r="A426" t="s">
        <v>199</v>
      </c>
      <c r="B426" s="3">
        <v>8.8107437446074205E-6</v>
      </c>
      <c r="C426" s="3"/>
      <c r="D426" t="s">
        <v>7</v>
      </c>
      <c r="E426" t="s">
        <v>244</v>
      </c>
      <c r="F426" t="s">
        <v>27</v>
      </c>
      <c r="G426" s="2"/>
    </row>
    <row r="427" spans="1:7">
      <c r="A427" t="s">
        <v>199</v>
      </c>
      <c r="B427" s="3">
        <v>1.6588949094046593E-9</v>
      </c>
      <c r="C427" s="3"/>
      <c r="D427" t="s">
        <v>7</v>
      </c>
      <c r="E427" t="s">
        <v>245</v>
      </c>
      <c r="F427" t="s">
        <v>27</v>
      </c>
      <c r="G427" s="2"/>
    </row>
    <row r="428" spans="1:7">
      <c r="A428" t="s">
        <v>200</v>
      </c>
      <c r="B428" s="3">
        <v>9.5412424503882648E-5</v>
      </c>
      <c r="C428" s="3"/>
      <c r="D428" t="s">
        <v>7</v>
      </c>
      <c r="E428" t="s">
        <v>244</v>
      </c>
      <c r="F428" t="s">
        <v>27</v>
      </c>
      <c r="G428" s="2"/>
    </row>
    <row r="429" spans="1:7">
      <c r="A429" t="s">
        <v>200</v>
      </c>
      <c r="B429" s="3">
        <v>8.7622260569456431E-9</v>
      </c>
      <c r="C429" s="3"/>
      <c r="D429" t="s">
        <v>7</v>
      </c>
      <c r="E429" t="s">
        <v>245</v>
      </c>
      <c r="F429" t="s">
        <v>27</v>
      </c>
      <c r="G429" s="2"/>
    </row>
    <row r="430" spans="1:7">
      <c r="A430" t="s">
        <v>235</v>
      </c>
      <c r="B430" s="3">
        <v>6.3479585849870589E-4</v>
      </c>
      <c r="C430" s="3"/>
      <c r="D430" t="s">
        <v>7</v>
      </c>
      <c r="E430" t="s">
        <v>244</v>
      </c>
      <c r="F430" t="s">
        <v>27</v>
      </c>
      <c r="G430" s="2"/>
    </row>
    <row r="431" spans="1:7">
      <c r="A431" t="s">
        <v>235</v>
      </c>
      <c r="B431" s="3">
        <v>7.1782260569456431E-5</v>
      </c>
      <c r="C431" s="3"/>
      <c r="D431" t="s">
        <v>7</v>
      </c>
      <c r="E431" t="s">
        <v>245</v>
      </c>
      <c r="F431" t="s">
        <v>27</v>
      </c>
      <c r="G431" s="2"/>
    </row>
    <row r="432" spans="1:7">
      <c r="A432" t="s">
        <v>236</v>
      </c>
      <c r="B432" s="3">
        <v>3.126828300258844E-6</v>
      </c>
      <c r="C432" s="3"/>
      <c r="D432" t="s">
        <v>7</v>
      </c>
      <c r="E432" t="s">
        <v>244</v>
      </c>
      <c r="F432" t="s">
        <v>27</v>
      </c>
      <c r="G432" s="2"/>
    </row>
    <row r="433" spans="1:7">
      <c r="A433" t="s">
        <v>236</v>
      </c>
      <c r="B433" s="3">
        <v>1.3640645383951683E-6</v>
      </c>
      <c r="C433" s="3"/>
      <c r="D433" t="s">
        <v>7</v>
      </c>
      <c r="E433" t="s">
        <v>245</v>
      </c>
      <c r="F433" t="s">
        <v>27</v>
      </c>
      <c r="G433" s="2"/>
    </row>
    <row r="434" spans="1:7">
      <c r="A434" t="s">
        <v>204</v>
      </c>
      <c r="B434" s="3">
        <v>2.1483768766177738</v>
      </c>
      <c r="C434" s="3"/>
      <c r="D434" t="s">
        <v>17</v>
      </c>
      <c r="E434" t="s">
        <v>245</v>
      </c>
      <c r="F434" t="s">
        <v>27</v>
      </c>
      <c r="G434" s="2"/>
    </row>
    <row r="435" spans="1:7">
      <c r="A435" t="s">
        <v>207</v>
      </c>
      <c r="B435" s="3">
        <v>6.0794029335634167E-4</v>
      </c>
      <c r="C435" s="3"/>
      <c r="D435" t="s">
        <v>7</v>
      </c>
      <c r="E435" t="s">
        <v>244</v>
      </c>
      <c r="F435" t="s">
        <v>27</v>
      </c>
      <c r="G435" s="2"/>
    </row>
    <row r="436" spans="1:7">
      <c r="A436" t="s">
        <v>207</v>
      </c>
      <c r="B436" s="3">
        <v>2.2918798964624679E-8</v>
      </c>
      <c r="C436" s="3"/>
      <c r="D436" t="s">
        <v>7</v>
      </c>
      <c r="E436" t="s">
        <v>245</v>
      </c>
      <c r="F436" t="s">
        <v>27</v>
      </c>
      <c r="G436" s="2"/>
    </row>
    <row r="437" spans="1:7">
      <c r="A437" t="s">
        <v>208</v>
      </c>
      <c r="B437" s="3">
        <v>1.0484262295081967E-4</v>
      </c>
      <c r="C437" s="3"/>
      <c r="D437" t="s">
        <v>7</v>
      </c>
      <c r="E437" t="s">
        <v>244</v>
      </c>
      <c r="F437" t="s">
        <v>27</v>
      </c>
      <c r="G437" s="2"/>
    </row>
    <row r="438" spans="1:7">
      <c r="A438" t="s">
        <v>208</v>
      </c>
      <c r="B438" s="3">
        <v>1.0139855047454703E-8</v>
      </c>
      <c r="C438" s="3"/>
      <c r="D438" t="s">
        <v>7</v>
      </c>
      <c r="E438" t="s">
        <v>245</v>
      </c>
      <c r="F438" t="s">
        <v>27</v>
      </c>
      <c r="G438" s="2"/>
    </row>
    <row r="439" spans="1:7">
      <c r="A439" t="s">
        <v>209</v>
      </c>
      <c r="B439" s="3">
        <v>2.0202150129421916E-5</v>
      </c>
      <c r="C439" s="3"/>
      <c r="D439" t="s">
        <v>7</v>
      </c>
      <c r="E439" t="s">
        <v>244</v>
      </c>
      <c r="F439" t="s">
        <v>27</v>
      </c>
      <c r="G439" s="2"/>
    </row>
    <row r="440" spans="1:7">
      <c r="A440" t="s">
        <v>209</v>
      </c>
      <c r="B440" s="3">
        <v>3.1145622088006904E-9</v>
      </c>
      <c r="C440" s="3"/>
      <c r="D440" t="s">
        <v>7</v>
      </c>
      <c r="E440" t="s">
        <v>245</v>
      </c>
      <c r="F440" t="s">
        <v>27</v>
      </c>
      <c r="G440" s="2"/>
    </row>
    <row r="441" spans="1:7">
      <c r="A441" t="s">
        <v>210</v>
      </c>
      <c r="B441" s="3">
        <v>5.6854529767040553E-8</v>
      </c>
      <c r="C441" s="3"/>
      <c r="D441" t="s">
        <v>7</v>
      </c>
      <c r="E441" t="s">
        <v>244</v>
      </c>
      <c r="F441" t="s">
        <v>27</v>
      </c>
      <c r="G441" s="2"/>
    </row>
    <row r="442" spans="1:7">
      <c r="A442" t="s">
        <v>210</v>
      </c>
      <c r="B442" s="3">
        <v>1.4405311475409837E-9</v>
      </c>
      <c r="C442" s="3"/>
      <c r="D442" t="s">
        <v>7</v>
      </c>
      <c r="E442" t="s">
        <v>245</v>
      </c>
      <c r="F442" t="s">
        <v>27</v>
      </c>
      <c r="G442" s="2"/>
    </row>
    <row r="443" spans="1:7">
      <c r="A443" t="s">
        <v>213</v>
      </c>
      <c r="B443" s="3">
        <v>6.4244935289042283E-6</v>
      </c>
      <c r="C443" s="3"/>
      <c r="D443" t="s">
        <v>7</v>
      </c>
      <c r="E443" t="s">
        <v>244</v>
      </c>
      <c r="F443" t="s">
        <v>27</v>
      </c>
      <c r="G443" s="2"/>
    </row>
    <row r="444" spans="1:7">
      <c r="A444" t="s">
        <v>213</v>
      </c>
      <c r="B444" s="3">
        <v>4.352924935289043E-9</v>
      </c>
      <c r="C444" s="3"/>
      <c r="D444" t="s">
        <v>7</v>
      </c>
      <c r="E444" t="s">
        <v>245</v>
      </c>
      <c r="F444" t="s">
        <v>27</v>
      </c>
      <c r="G444" s="2"/>
    </row>
    <row r="445" spans="1:7">
      <c r="A445" t="s">
        <v>237</v>
      </c>
      <c r="B445" s="3">
        <v>7.4901742881794647E-5</v>
      </c>
      <c r="C445" s="3"/>
      <c r="D445" t="s">
        <v>7</v>
      </c>
      <c r="E445" t="s">
        <v>244</v>
      </c>
      <c r="F445" t="s">
        <v>27</v>
      </c>
      <c r="G445" s="2"/>
    </row>
    <row r="446" spans="1:7">
      <c r="A446" t="s">
        <v>237</v>
      </c>
      <c r="B446" s="3">
        <v>2.6829939603106126E-5</v>
      </c>
      <c r="C446" s="3"/>
      <c r="D446" t="s">
        <v>7</v>
      </c>
      <c r="E446" t="s">
        <v>245</v>
      </c>
      <c r="F446" t="s">
        <v>27</v>
      </c>
      <c r="G446" s="2"/>
    </row>
    <row r="447" spans="1:7">
      <c r="A447" t="s">
        <v>218</v>
      </c>
      <c r="B447" s="3">
        <v>5.1380914581535803E-7</v>
      </c>
      <c r="C447" s="3"/>
      <c r="D447" t="s">
        <v>7</v>
      </c>
      <c r="E447" t="s">
        <v>244</v>
      </c>
      <c r="F447" t="s">
        <v>27</v>
      </c>
      <c r="G447" s="2"/>
    </row>
    <row r="448" spans="1:7">
      <c r="A448" t="s">
        <v>218</v>
      </c>
      <c r="B448" s="3">
        <v>1.33396307161346E-7</v>
      </c>
      <c r="C448" s="3"/>
      <c r="D448" t="s">
        <v>7</v>
      </c>
      <c r="E448" t="s">
        <v>245</v>
      </c>
      <c r="F448" t="s">
        <v>27</v>
      </c>
      <c r="G448" s="2"/>
    </row>
    <row r="449" spans="1:7">
      <c r="A449" t="s">
        <v>238</v>
      </c>
      <c r="B449" s="3">
        <v>1.1793556514236411E-4</v>
      </c>
      <c r="C449" s="3"/>
      <c r="D449" t="s">
        <v>7</v>
      </c>
      <c r="E449" t="s">
        <v>244</v>
      </c>
      <c r="F449" t="s">
        <v>27</v>
      </c>
      <c r="G449" s="2"/>
    </row>
    <row r="450" spans="1:7">
      <c r="A450" t="s">
        <v>238</v>
      </c>
      <c r="B450" s="3">
        <v>2.6582909404659194E-7</v>
      </c>
      <c r="C450" s="3"/>
      <c r="D450" t="s">
        <v>7</v>
      </c>
      <c r="E450" t="s">
        <v>245</v>
      </c>
      <c r="F450" t="s">
        <v>27</v>
      </c>
      <c r="G450" s="2"/>
    </row>
    <row r="451" spans="1:7">
      <c r="A451" t="s">
        <v>239</v>
      </c>
      <c r="B451" s="3">
        <v>3.0579810181190681E-4</v>
      </c>
      <c r="C451" s="3"/>
      <c r="D451" t="s">
        <v>7</v>
      </c>
      <c r="E451" t="s">
        <v>244</v>
      </c>
      <c r="F451" t="s">
        <v>27</v>
      </c>
      <c r="G451" s="2"/>
    </row>
    <row r="452" spans="1:7">
      <c r="A452" t="s">
        <v>239</v>
      </c>
      <c r="B452" s="3">
        <v>1.5376690250215705E-4</v>
      </c>
      <c r="C452" s="3"/>
      <c r="D452" t="s">
        <v>7</v>
      </c>
      <c r="E452" t="s">
        <v>245</v>
      </c>
      <c r="F452" t="s">
        <v>27</v>
      </c>
      <c r="G452" s="2"/>
    </row>
    <row r="453" spans="1:7">
      <c r="A453" t="s">
        <v>220</v>
      </c>
      <c r="B453" s="3">
        <v>2.818570146678171E-5</v>
      </c>
      <c r="C453" s="3"/>
      <c r="D453" t="s">
        <v>7</v>
      </c>
      <c r="E453" t="s">
        <v>244</v>
      </c>
      <c r="F453" t="s">
        <v>27</v>
      </c>
      <c r="G453" s="2"/>
    </row>
    <row r="454" spans="1:7">
      <c r="A454" t="s">
        <v>220</v>
      </c>
      <c r="B454" s="3">
        <v>1.844662985332183E-8</v>
      </c>
      <c r="C454" s="3"/>
      <c r="D454" t="s">
        <v>7</v>
      </c>
      <c r="E454" t="s">
        <v>245</v>
      </c>
      <c r="F454" t="s">
        <v>27</v>
      </c>
      <c r="G454" s="2"/>
    </row>
    <row r="455" spans="1:7">
      <c r="A455" t="s">
        <v>240</v>
      </c>
      <c r="B455" s="3">
        <v>1.1491858498705783E-3</v>
      </c>
      <c r="C455" s="3"/>
      <c r="D455" t="s">
        <v>7</v>
      </c>
      <c r="E455" t="s">
        <v>244</v>
      </c>
      <c r="F455" t="s">
        <v>27</v>
      </c>
      <c r="G455" s="2"/>
    </row>
    <row r="456" spans="1:7">
      <c r="A456" t="s">
        <v>240</v>
      </c>
      <c r="B456" s="3">
        <v>1.9641121656600519E-4</v>
      </c>
      <c r="C456" s="3"/>
      <c r="D456" t="s">
        <v>7</v>
      </c>
      <c r="E456" t="s">
        <v>245</v>
      </c>
      <c r="F456" t="s">
        <v>27</v>
      </c>
      <c r="G456" s="2"/>
    </row>
    <row r="457" spans="1:7">
      <c r="A457" t="s">
        <v>241</v>
      </c>
      <c r="B457" s="3">
        <v>6.3479585849870589E-4</v>
      </c>
      <c r="C457" s="3"/>
      <c r="D457" t="s">
        <v>7</v>
      </c>
      <c r="E457" t="s">
        <v>244</v>
      </c>
      <c r="F457" t="s">
        <v>27</v>
      </c>
      <c r="G457" s="2"/>
    </row>
    <row r="458" spans="1:7">
      <c r="A458" t="s">
        <v>241</v>
      </c>
      <c r="B458" s="3">
        <v>7.1782260569456431E-5</v>
      </c>
      <c r="C458" s="3"/>
      <c r="D458" t="s">
        <v>7</v>
      </c>
      <c r="E458" t="s">
        <v>245</v>
      </c>
      <c r="F458" t="s">
        <v>27</v>
      </c>
      <c r="G458" s="2"/>
    </row>
    <row r="459" spans="1:7">
      <c r="A459" t="s">
        <v>222</v>
      </c>
      <c r="B459" s="3">
        <v>9.7780224331320098E-8</v>
      </c>
      <c r="C459" s="3"/>
      <c r="D459" t="s">
        <v>7</v>
      </c>
      <c r="E459" t="s">
        <v>244</v>
      </c>
      <c r="F459" t="s">
        <v>27</v>
      </c>
      <c r="G459" s="2"/>
    </row>
    <row r="460" spans="1:7">
      <c r="A460" t="s">
        <v>222</v>
      </c>
      <c r="B460" s="3">
        <v>9.0615323554788616E-11</v>
      </c>
      <c r="C460" s="3"/>
      <c r="D460" t="s">
        <v>7</v>
      </c>
      <c r="E460" t="s">
        <v>245</v>
      </c>
      <c r="F460" t="s">
        <v>27</v>
      </c>
      <c r="G460" s="2"/>
    </row>
    <row r="461" spans="1:7">
      <c r="A461" t="s">
        <v>223</v>
      </c>
      <c r="B461" s="3">
        <v>5.5450250215703194E-6</v>
      </c>
      <c r="C461" s="3"/>
      <c r="D461" t="s">
        <v>7</v>
      </c>
      <c r="E461" t="s">
        <v>244</v>
      </c>
      <c r="F461" t="s">
        <v>27</v>
      </c>
      <c r="G461" s="2"/>
    </row>
    <row r="462" spans="1:7">
      <c r="A462" t="s">
        <v>223</v>
      </c>
      <c r="B462" s="3">
        <v>7.5523589301121659E-9</v>
      </c>
      <c r="C462" s="3"/>
      <c r="D462" t="s">
        <v>7</v>
      </c>
      <c r="E462" t="s">
        <v>245</v>
      </c>
      <c r="F462" t="s">
        <v>27</v>
      </c>
      <c r="G462" s="2"/>
    </row>
    <row r="463" spans="1:7">
      <c r="A463" t="s">
        <v>224</v>
      </c>
      <c r="B463" s="3">
        <v>9.5412424503882648E-5</v>
      </c>
      <c r="C463" s="3"/>
      <c r="D463" t="s">
        <v>7</v>
      </c>
      <c r="E463" t="s">
        <v>244</v>
      </c>
      <c r="F463" t="s">
        <v>27</v>
      </c>
      <c r="G463" s="2"/>
    </row>
    <row r="464" spans="1:7">
      <c r="A464" t="s">
        <v>224</v>
      </c>
      <c r="B464" s="3">
        <v>6.4907782571182061E-8</v>
      </c>
      <c r="C464" s="3"/>
      <c r="D464" t="s">
        <v>7</v>
      </c>
      <c r="E464" t="s">
        <v>245</v>
      </c>
      <c r="F464" t="s">
        <v>27</v>
      </c>
      <c r="G464" s="2"/>
    </row>
    <row r="465" spans="1:8">
      <c r="A465" t="s">
        <v>226</v>
      </c>
      <c r="B465" s="3">
        <v>2.7097811906816221E-5</v>
      </c>
      <c r="C465" s="3"/>
      <c r="D465" t="s">
        <v>7</v>
      </c>
      <c r="E465" t="s">
        <v>244</v>
      </c>
      <c r="F465" t="s">
        <v>27</v>
      </c>
      <c r="G465" s="2"/>
    </row>
    <row r="466" spans="1:8">
      <c r="A466" t="s">
        <v>226</v>
      </c>
      <c r="B466" s="3">
        <v>1.0687899913718723E-7</v>
      </c>
      <c r="C466" s="3"/>
      <c r="D466" t="s">
        <v>7</v>
      </c>
      <c r="E466" t="s">
        <v>245</v>
      </c>
      <c r="F466" t="s">
        <v>27</v>
      </c>
      <c r="G466" s="2"/>
    </row>
    <row r="467" spans="1:8">
      <c r="A467" t="s">
        <v>227</v>
      </c>
      <c r="B467" s="3">
        <v>4.3036863157894733E-4</v>
      </c>
      <c r="C467" s="3"/>
      <c r="D467" t="s">
        <v>37</v>
      </c>
      <c r="E467" t="s">
        <v>245</v>
      </c>
      <c r="F467" t="s">
        <v>27</v>
      </c>
      <c r="G467" s="2"/>
    </row>
    <row r="468" spans="1:8">
      <c r="A468" t="s">
        <v>228</v>
      </c>
      <c r="B468" s="3">
        <v>8.0037100949094048E-5</v>
      </c>
      <c r="C468" s="3"/>
      <c r="D468" t="s">
        <v>7</v>
      </c>
      <c r="E468" t="s">
        <v>244</v>
      </c>
      <c r="F468" t="s">
        <v>27</v>
      </c>
      <c r="G468" s="2"/>
    </row>
    <row r="469" spans="1:8">
      <c r="A469" t="s">
        <v>228</v>
      </c>
      <c r="B469" s="3">
        <v>1.0889145815358068E-8</v>
      </c>
      <c r="C469" s="3"/>
      <c r="D469" t="s">
        <v>7</v>
      </c>
      <c r="E469" t="s">
        <v>245</v>
      </c>
      <c r="F469" t="s">
        <v>27</v>
      </c>
      <c r="G469" s="2"/>
    </row>
    <row r="470" spans="1:8">
      <c r="A470" t="s">
        <v>242</v>
      </c>
      <c r="B470" s="3">
        <v>0.84704365832614326</v>
      </c>
      <c r="C470" s="3"/>
      <c r="D470" t="s">
        <v>7</v>
      </c>
      <c r="E470" t="s">
        <v>111</v>
      </c>
      <c r="F470" t="s">
        <v>27</v>
      </c>
      <c r="G470" s="2"/>
    </row>
    <row r="471" spans="1:8" s="50" customFormat="1">
      <c r="A471" s="50" t="s">
        <v>133</v>
      </c>
      <c r="B471" s="51">
        <f>0.9*0.788993270060397</f>
        <v>0.71009394305435736</v>
      </c>
      <c r="C471" s="50" t="s">
        <v>103</v>
      </c>
      <c r="D471" s="50" t="s">
        <v>7</v>
      </c>
      <c r="F471" s="50" t="s">
        <v>18</v>
      </c>
      <c r="H471" s="50" t="s">
        <v>133</v>
      </c>
    </row>
    <row r="472" spans="1:8" s="50" customFormat="1">
      <c r="A472" s="50" t="s">
        <v>143</v>
      </c>
      <c r="B472" s="51">
        <f>0.788993270060397-B471</f>
        <v>7.8899327006039632E-2</v>
      </c>
      <c r="D472" s="50" t="s">
        <v>7</v>
      </c>
      <c r="E472" s="50" t="s">
        <v>135</v>
      </c>
      <c r="F472" s="50" t="s">
        <v>27</v>
      </c>
      <c r="G472" s="50" t="s">
        <v>246</v>
      </c>
    </row>
    <row r="473" spans="1:8" s="50" customFormat="1">
      <c r="A473" s="50" t="s">
        <v>484</v>
      </c>
      <c r="B473" s="51">
        <f>(9.3/43.4)*1.1</f>
        <v>0.23571428571428574</v>
      </c>
      <c r="D473" s="50" t="s">
        <v>7</v>
      </c>
      <c r="E473" s="50" t="s">
        <v>485</v>
      </c>
      <c r="F473" s="50" t="s">
        <v>27</v>
      </c>
      <c r="G473" s="50" t="s">
        <v>486</v>
      </c>
    </row>
    <row r="474" spans="1:8" s="50" customFormat="1"/>
    <row r="475" spans="1:8" s="50" customFormat="1" ht="15.75">
      <c r="A475" s="49" t="s">
        <v>0</v>
      </c>
      <c r="B475" s="49" t="s">
        <v>140</v>
      </c>
    </row>
    <row r="476" spans="1:8" s="50" customFormat="1">
      <c r="A476" s="50" t="s">
        <v>1</v>
      </c>
      <c r="B476" s="50" t="s">
        <v>104</v>
      </c>
    </row>
    <row r="477" spans="1:8" s="50" customFormat="1">
      <c r="A477" s="50" t="s">
        <v>2</v>
      </c>
      <c r="B477" s="50">
        <v>1</v>
      </c>
    </row>
    <row r="478" spans="1:8" s="50" customFormat="1">
      <c r="A478" s="50" t="s">
        <v>3</v>
      </c>
      <c r="B478" s="3" t="s">
        <v>142</v>
      </c>
    </row>
    <row r="479" spans="1:8" s="50" customFormat="1">
      <c r="A479" s="50" t="s">
        <v>4</v>
      </c>
      <c r="B479" s="50" t="s">
        <v>5</v>
      </c>
    </row>
    <row r="480" spans="1:8" s="50" customFormat="1">
      <c r="A480" s="50" t="s">
        <v>6</v>
      </c>
      <c r="B480" s="50" t="s">
        <v>17</v>
      </c>
    </row>
    <row r="481" spans="1:8">
      <c r="A481" t="s">
        <v>260</v>
      </c>
      <c r="B481" s="23">
        <f>0.37*66%*90%</f>
        <v>0.21978</v>
      </c>
    </row>
    <row r="482" spans="1:8" s="50" customFormat="1">
      <c r="A482" s="50" t="s">
        <v>9</v>
      </c>
      <c r="B482" s="50" t="s">
        <v>132</v>
      </c>
    </row>
    <row r="483" spans="1:8" s="50" customFormat="1" ht="15.75">
      <c r="A483" s="49" t="s">
        <v>10</v>
      </c>
    </row>
    <row r="484" spans="1:8" s="50" customFormat="1">
      <c r="A484" s="50" t="s">
        <v>11</v>
      </c>
      <c r="B484" s="50" t="s">
        <v>12</v>
      </c>
      <c r="C484" s="50" t="s">
        <v>1</v>
      </c>
      <c r="D484" s="50" t="s">
        <v>6</v>
      </c>
      <c r="E484" s="50" t="s">
        <v>13</v>
      </c>
      <c r="F484" s="50" t="s">
        <v>4</v>
      </c>
      <c r="G484" s="50" t="s">
        <v>9</v>
      </c>
      <c r="H484" s="50" t="s">
        <v>3</v>
      </c>
    </row>
    <row r="485" spans="1:8" s="50" customFormat="1">
      <c r="A485" s="50" t="str">
        <f>B475</f>
        <v>heat production, at co-generation plastic waste-fired power plant, post, pipeline 200km, storage 1000m</v>
      </c>
      <c r="B485" s="50">
        <v>1</v>
      </c>
      <c r="C485" s="50" t="str">
        <f>B476</f>
        <v>CH</v>
      </c>
      <c r="D485" s="50" t="s">
        <v>17</v>
      </c>
      <c r="F485" s="50" t="s">
        <v>15</v>
      </c>
      <c r="G485" s="50" t="s">
        <v>16</v>
      </c>
      <c r="H485" s="51" t="str">
        <f>B478</f>
        <v>heat, from plastic waste mixture, municipal incineration, energy allocation</v>
      </c>
    </row>
    <row r="486" spans="1:8">
      <c r="A486" t="s">
        <v>148</v>
      </c>
      <c r="B486" s="3">
        <v>1.3969715271786021E-4</v>
      </c>
      <c r="C486" s="3" t="s">
        <v>103</v>
      </c>
      <c r="D486" t="s">
        <v>7</v>
      </c>
      <c r="F486" t="s">
        <v>18</v>
      </c>
      <c r="G486" s="3"/>
      <c r="H486" t="s">
        <v>169</v>
      </c>
    </row>
    <row r="487" spans="1:8">
      <c r="A487" t="s">
        <v>149</v>
      </c>
      <c r="B487" s="3">
        <v>3.8112769628990511E-7</v>
      </c>
      <c r="C487" s="3" t="s">
        <v>103</v>
      </c>
      <c r="D487" t="s">
        <v>7</v>
      </c>
      <c r="F487" t="s">
        <v>18</v>
      </c>
      <c r="G487" s="3"/>
      <c r="H487" t="s">
        <v>170</v>
      </c>
    </row>
    <row r="488" spans="1:8">
      <c r="A488" t="s">
        <v>167</v>
      </c>
      <c r="B488" s="3">
        <v>3.1877221742881794E-4</v>
      </c>
      <c r="C488" s="3" t="s">
        <v>104</v>
      </c>
      <c r="D488" t="s">
        <v>7</v>
      </c>
      <c r="F488" t="s">
        <v>18</v>
      </c>
      <c r="G488" s="3"/>
      <c r="H488" t="s">
        <v>185</v>
      </c>
    </row>
    <row r="489" spans="1:8">
      <c r="A489" t="s">
        <v>150</v>
      </c>
      <c r="B489" s="3">
        <v>2.9430457290767903E-5</v>
      </c>
      <c r="C489" s="3" t="s">
        <v>24</v>
      </c>
      <c r="D489" t="s">
        <v>7</v>
      </c>
      <c r="F489" t="s">
        <v>18</v>
      </c>
      <c r="G489" s="3"/>
      <c r="H489" t="s">
        <v>171</v>
      </c>
    </row>
    <row r="490" spans="1:8">
      <c r="A490" t="s">
        <v>151</v>
      </c>
      <c r="B490" s="3">
        <v>1.6877739430543571E-6</v>
      </c>
      <c r="C490" s="3" t="s">
        <v>24</v>
      </c>
      <c r="D490" t="s">
        <v>7</v>
      </c>
      <c r="F490" t="s">
        <v>18</v>
      </c>
      <c r="G490" s="3"/>
      <c r="H490" t="s">
        <v>172</v>
      </c>
    </row>
    <row r="491" spans="1:8">
      <c r="A491" t="s">
        <v>493</v>
      </c>
      <c r="B491" s="3">
        <v>1.7861000862812767E-7</v>
      </c>
      <c r="C491" s="3" t="s">
        <v>24</v>
      </c>
      <c r="D491" t="s">
        <v>7</v>
      </c>
      <c r="F491" t="s">
        <v>18</v>
      </c>
      <c r="G491" s="3"/>
      <c r="H491" t="s">
        <v>494</v>
      </c>
    </row>
    <row r="492" spans="1:8">
      <c r="A492" t="s">
        <v>168</v>
      </c>
      <c r="B492" s="3">
        <v>2.6122864538395168E-2</v>
      </c>
      <c r="C492" s="3" t="s">
        <v>104</v>
      </c>
      <c r="D492" t="s">
        <v>17</v>
      </c>
      <c r="F492" t="s">
        <v>18</v>
      </c>
      <c r="G492" s="3"/>
      <c r="H492" t="s">
        <v>186</v>
      </c>
    </row>
    <row r="493" spans="1:8">
      <c r="A493" t="s">
        <v>152</v>
      </c>
      <c r="B493" s="3">
        <v>2.8633218291630718E-5</v>
      </c>
      <c r="C493" s="3" t="s">
        <v>103</v>
      </c>
      <c r="D493" t="s">
        <v>7</v>
      </c>
      <c r="F493" t="s">
        <v>18</v>
      </c>
      <c r="G493" s="3"/>
      <c r="H493" t="s">
        <v>173</v>
      </c>
    </row>
    <row r="494" spans="1:8">
      <c r="A494" t="s">
        <v>153</v>
      </c>
      <c r="B494" s="3">
        <v>5.3189128559102669E-5</v>
      </c>
      <c r="C494" s="3" t="s">
        <v>103</v>
      </c>
      <c r="D494" t="s">
        <v>7</v>
      </c>
      <c r="F494" t="s">
        <v>18</v>
      </c>
      <c r="G494" s="3"/>
      <c r="H494" t="s">
        <v>174</v>
      </c>
    </row>
    <row r="495" spans="1:8">
      <c r="A495" t="s">
        <v>154</v>
      </c>
      <c r="B495" s="3">
        <v>4.6174374460742023E-6</v>
      </c>
      <c r="C495" s="3" t="s">
        <v>24</v>
      </c>
      <c r="D495" t="s">
        <v>7</v>
      </c>
      <c r="F495" t="s">
        <v>18</v>
      </c>
      <c r="G495" s="3"/>
      <c r="H495" t="s">
        <v>474</v>
      </c>
    </row>
    <row r="496" spans="1:8">
      <c r="A496" t="s">
        <v>155</v>
      </c>
      <c r="B496" s="3">
        <v>-4.2694995685936147E-4</v>
      </c>
      <c r="C496" s="3" t="s">
        <v>24</v>
      </c>
      <c r="D496" t="s">
        <v>7</v>
      </c>
      <c r="F496" t="s">
        <v>18</v>
      </c>
      <c r="G496" s="3"/>
      <c r="H496" t="s">
        <v>175</v>
      </c>
    </row>
    <row r="497" spans="1:8">
      <c r="A497" t="s">
        <v>156</v>
      </c>
      <c r="B497" s="3">
        <v>2.3727351164797239E-11</v>
      </c>
      <c r="C497" s="3" t="s">
        <v>104</v>
      </c>
      <c r="D497" t="s">
        <v>6</v>
      </c>
      <c r="F497" t="s">
        <v>18</v>
      </c>
      <c r="G497" s="3"/>
      <c r="H497" t="s">
        <v>176</v>
      </c>
    </row>
    <row r="498" spans="1:8">
      <c r="A498" t="s">
        <v>157</v>
      </c>
      <c r="B498" s="3">
        <v>1.5888783433994822E-3</v>
      </c>
      <c r="C498" s="3" t="s">
        <v>104</v>
      </c>
      <c r="D498" t="s">
        <v>7</v>
      </c>
      <c r="F498" t="s">
        <v>18</v>
      </c>
      <c r="G498" s="3"/>
      <c r="H498" t="s">
        <v>157</v>
      </c>
    </row>
    <row r="499" spans="1:8">
      <c r="A499" t="s">
        <v>158</v>
      </c>
      <c r="B499" s="3">
        <v>2.5218377911993099E-3</v>
      </c>
      <c r="C499" s="3" t="s">
        <v>104</v>
      </c>
      <c r="D499" t="s">
        <v>7</v>
      </c>
      <c r="F499" t="s">
        <v>18</v>
      </c>
      <c r="G499" s="3"/>
      <c r="H499" t="s">
        <v>158</v>
      </c>
    </row>
    <row r="500" spans="1:8">
      <c r="A500" t="s">
        <v>159</v>
      </c>
      <c r="B500" s="3">
        <v>8.87830025884383E-4</v>
      </c>
      <c r="C500" s="3" t="s">
        <v>103</v>
      </c>
      <c r="D500" t="s">
        <v>7</v>
      </c>
      <c r="F500" t="s">
        <v>18</v>
      </c>
      <c r="G500" s="3"/>
      <c r="H500" t="s">
        <v>177</v>
      </c>
    </row>
    <row r="501" spans="1:8">
      <c r="A501" t="s">
        <v>160</v>
      </c>
      <c r="B501" s="3">
        <v>3.3101553062985331E-12</v>
      </c>
      <c r="C501" s="3" t="s">
        <v>104</v>
      </c>
      <c r="D501" t="s">
        <v>6</v>
      </c>
      <c r="F501" t="s">
        <v>18</v>
      </c>
      <c r="G501" s="3"/>
      <c r="H501" t="s">
        <v>178</v>
      </c>
    </row>
    <row r="502" spans="1:8">
      <c r="A502" t="s">
        <v>161</v>
      </c>
      <c r="B502" s="3">
        <v>4.4832355478861097E-12</v>
      </c>
      <c r="C502" s="3" t="s">
        <v>104</v>
      </c>
      <c r="D502" t="s">
        <v>6</v>
      </c>
      <c r="F502" t="s">
        <v>18</v>
      </c>
      <c r="G502" s="3"/>
      <c r="H502" t="s">
        <v>179</v>
      </c>
    </row>
    <row r="503" spans="1:8">
      <c r="A503" t="s">
        <v>162</v>
      </c>
      <c r="B503" s="3">
        <v>2.366945642795513E-4</v>
      </c>
      <c r="C503" s="3" t="s">
        <v>266</v>
      </c>
      <c r="D503" t="s">
        <v>7</v>
      </c>
      <c r="F503" t="s">
        <v>18</v>
      </c>
      <c r="G503" s="3"/>
      <c r="H503" t="s">
        <v>180</v>
      </c>
    </row>
    <row r="504" spans="1:8">
      <c r="A504" t="s">
        <v>163</v>
      </c>
      <c r="B504" s="3">
        <v>-4.0119154443485761E-7</v>
      </c>
      <c r="C504" s="3" t="s">
        <v>24</v>
      </c>
      <c r="D504" t="s">
        <v>7</v>
      </c>
      <c r="F504" t="s">
        <v>18</v>
      </c>
      <c r="G504" s="3"/>
      <c r="H504" t="s">
        <v>181</v>
      </c>
    </row>
    <row r="505" spans="1:8">
      <c r="A505" t="s">
        <v>164</v>
      </c>
      <c r="B505" s="3">
        <v>8.7520707506471082E-6</v>
      </c>
      <c r="C505" s="3" t="s">
        <v>103</v>
      </c>
      <c r="D505" t="s">
        <v>7</v>
      </c>
      <c r="F505" t="s">
        <v>18</v>
      </c>
      <c r="G505" s="3"/>
      <c r="H505" t="s">
        <v>182</v>
      </c>
    </row>
    <row r="506" spans="1:8">
      <c r="A506" t="s">
        <v>81</v>
      </c>
      <c r="B506" s="3">
        <v>1.4955823986194996E-4</v>
      </c>
      <c r="C506" s="3" t="s">
        <v>103</v>
      </c>
      <c r="D506" t="s">
        <v>28</v>
      </c>
      <c r="F506" t="s">
        <v>18</v>
      </c>
      <c r="G506" s="3"/>
      <c r="H506" t="s">
        <v>82</v>
      </c>
    </row>
    <row r="507" spans="1:8">
      <c r="A507" t="s">
        <v>165</v>
      </c>
      <c r="B507" s="3">
        <v>-7.9693528904227777E-4</v>
      </c>
      <c r="C507" s="3" t="s">
        <v>104</v>
      </c>
      <c r="D507" t="s">
        <v>7</v>
      </c>
      <c r="F507" t="s">
        <v>18</v>
      </c>
      <c r="G507" s="3"/>
      <c r="H507" t="s">
        <v>183</v>
      </c>
    </row>
    <row r="508" spans="1:8">
      <c r="A508" t="s">
        <v>166</v>
      </c>
      <c r="B508" s="3">
        <v>0.34889646246764455</v>
      </c>
      <c r="C508" s="3" t="s">
        <v>104</v>
      </c>
      <c r="D508" t="s">
        <v>7</v>
      </c>
      <c r="F508" t="s">
        <v>18</v>
      </c>
      <c r="G508" s="3"/>
      <c r="H508" t="s">
        <v>184</v>
      </c>
    </row>
    <row r="509" spans="1:8">
      <c r="A509" t="s">
        <v>187</v>
      </c>
      <c r="B509" s="3">
        <v>1.4441415012942191E-11</v>
      </c>
      <c r="C509" s="3"/>
      <c r="D509" t="s">
        <v>7</v>
      </c>
      <c r="E509" t="s">
        <v>243</v>
      </c>
      <c r="F509" t="s">
        <v>27</v>
      </c>
      <c r="G509" s="3"/>
    </row>
    <row r="510" spans="1:8">
      <c r="A510" t="s">
        <v>188</v>
      </c>
      <c r="B510" s="3">
        <v>1.6424072476272649E-7</v>
      </c>
      <c r="C510" s="3"/>
      <c r="D510" t="s">
        <v>7</v>
      </c>
      <c r="E510" t="s">
        <v>243</v>
      </c>
      <c r="F510" t="s">
        <v>27</v>
      </c>
      <c r="G510" s="3"/>
    </row>
    <row r="511" spans="1:8">
      <c r="A511" t="s">
        <v>189</v>
      </c>
      <c r="B511" s="3">
        <v>3.0482053494391721E-12</v>
      </c>
      <c r="C511" s="3"/>
      <c r="D511" t="s">
        <v>7</v>
      </c>
      <c r="E511" t="s">
        <v>243</v>
      </c>
      <c r="F511" t="s">
        <v>27</v>
      </c>
      <c r="G511" s="3"/>
    </row>
    <row r="512" spans="1:8">
      <c r="A512" t="s">
        <v>190</v>
      </c>
      <c r="B512" s="3">
        <v>1.3181018119068162E-9</v>
      </c>
      <c r="C512" s="3"/>
      <c r="D512" t="s">
        <v>7</v>
      </c>
      <c r="E512" t="s">
        <v>243</v>
      </c>
      <c r="F512" t="s">
        <v>27</v>
      </c>
      <c r="G512" s="3"/>
    </row>
    <row r="513" spans="1:7">
      <c r="A513" t="s">
        <v>191</v>
      </c>
      <c r="B513" s="3">
        <v>6.4829767040552199E-8</v>
      </c>
      <c r="C513" s="3"/>
      <c r="D513" t="s">
        <v>7</v>
      </c>
      <c r="E513" t="s">
        <v>243</v>
      </c>
      <c r="F513" t="s">
        <v>27</v>
      </c>
      <c r="G513" s="3"/>
    </row>
    <row r="514" spans="1:7">
      <c r="A514" t="s">
        <v>192</v>
      </c>
      <c r="B514" s="3">
        <v>1.4252545297670406E-9</v>
      </c>
      <c r="C514" s="3"/>
      <c r="D514" t="s">
        <v>7</v>
      </c>
      <c r="E514" t="s">
        <v>243</v>
      </c>
      <c r="F514" t="s">
        <v>27</v>
      </c>
      <c r="G514" s="3"/>
    </row>
    <row r="515" spans="1:7">
      <c r="A515" t="s">
        <v>193</v>
      </c>
      <c r="B515" s="3">
        <v>2.9802502157031924E-12</v>
      </c>
      <c r="C515" s="3"/>
      <c r="D515" t="s">
        <v>7</v>
      </c>
      <c r="E515" t="s">
        <v>243</v>
      </c>
      <c r="F515" t="s">
        <v>27</v>
      </c>
      <c r="G515" s="3"/>
    </row>
    <row r="516" spans="1:7">
      <c r="A516" t="s">
        <v>477</v>
      </c>
      <c r="B516" s="3">
        <v>7.5303019844693692E-12</v>
      </c>
      <c r="C516" s="3"/>
      <c r="D516" t="s">
        <v>7</v>
      </c>
      <c r="E516" t="s">
        <v>243</v>
      </c>
      <c r="F516" t="s">
        <v>27</v>
      </c>
      <c r="G516" s="3"/>
    </row>
    <row r="517" spans="1:7">
      <c r="A517" t="s">
        <v>194</v>
      </c>
      <c r="B517" s="3">
        <v>3.1717773943054359E-14</v>
      </c>
      <c r="C517" s="3"/>
      <c r="D517" t="s">
        <v>7</v>
      </c>
      <c r="E517" t="s">
        <v>243</v>
      </c>
      <c r="F517" t="s">
        <v>27</v>
      </c>
      <c r="G517" s="3"/>
    </row>
    <row r="518" spans="1:7">
      <c r="A518" t="s">
        <v>195</v>
      </c>
      <c r="B518" s="3">
        <v>3.0966091458153581E-9</v>
      </c>
      <c r="C518" s="3"/>
      <c r="D518" t="s">
        <v>7</v>
      </c>
      <c r="E518" t="s">
        <v>243</v>
      </c>
      <c r="F518" t="s">
        <v>27</v>
      </c>
      <c r="G518" s="3"/>
    </row>
    <row r="519" spans="1:7">
      <c r="A519" t="s">
        <v>196</v>
      </c>
      <c r="B519" s="3">
        <v>3.6662553925798101E-9</v>
      </c>
      <c r="C519" s="3"/>
      <c r="D519" t="s">
        <v>7</v>
      </c>
      <c r="E519" t="s">
        <v>243</v>
      </c>
      <c r="F519" t="s">
        <v>27</v>
      </c>
      <c r="G519" s="3"/>
    </row>
    <row r="520" spans="1:7">
      <c r="A520" t="s">
        <v>197</v>
      </c>
      <c r="B520" s="3">
        <v>2.4228472821397758E-6</v>
      </c>
      <c r="C520" s="3"/>
      <c r="D520" t="s">
        <v>7</v>
      </c>
      <c r="E520" t="s">
        <v>243</v>
      </c>
      <c r="F520" t="s">
        <v>27</v>
      </c>
      <c r="G520" s="3"/>
    </row>
    <row r="521" spans="1:7">
      <c r="A521" t="s">
        <v>198</v>
      </c>
      <c r="B521" s="3">
        <v>3.1602933563416735E-9</v>
      </c>
      <c r="C521" s="3"/>
      <c r="D521" t="s">
        <v>7</v>
      </c>
      <c r="E521" t="s">
        <v>243</v>
      </c>
      <c r="F521" t="s">
        <v>27</v>
      </c>
      <c r="G521" s="3"/>
    </row>
    <row r="522" spans="1:7">
      <c r="A522" t="s">
        <v>199</v>
      </c>
      <c r="B522" s="3">
        <v>5.0880931837791203E-9</v>
      </c>
      <c r="C522" s="3"/>
      <c r="D522" t="s">
        <v>7</v>
      </c>
      <c r="E522" t="s">
        <v>243</v>
      </c>
      <c r="F522" t="s">
        <v>27</v>
      </c>
      <c r="G522" s="3"/>
    </row>
    <row r="523" spans="1:7">
      <c r="A523" t="s">
        <v>200</v>
      </c>
      <c r="B523" s="3">
        <v>2.5766005176876615E-9</v>
      </c>
      <c r="C523" s="3"/>
      <c r="D523" t="s">
        <v>7</v>
      </c>
      <c r="E523" t="s">
        <v>243</v>
      </c>
      <c r="F523" t="s">
        <v>27</v>
      </c>
      <c r="G523" s="3"/>
    </row>
    <row r="524" spans="1:7">
      <c r="A524" t="s">
        <v>201</v>
      </c>
      <c r="B524" s="3">
        <v>1.8588006902502157E-6</v>
      </c>
      <c r="C524" s="3"/>
      <c r="D524" t="s">
        <v>7</v>
      </c>
      <c r="E524" t="s">
        <v>243</v>
      </c>
      <c r="F524" t="s">
        <v>27</v>
      </c>
      <c r="G524" s="3"/>
    </row>
    <row r="525" spans="1:7">
      <c r="A525" t="s">
        <v>202</v>
      </c>
      <c r="B525" s="3">
        <v>8.651751509922347E-6</v>
      </c>
      <c r="C525" s="3"/>
      <c r="D525" t="s">
        <v>7</v>
      </c>
      <c r="E525" t="s">
        <v>243</v>
      </c>
      <c r="F525" t="s">
        <v>27</v>
      </c>
      <c r="G525" s="3"/>
    </row>
    <row r="526" spans="1:7">
      <c r="A526" t="s">
        <v>203</v>
      </c>
      <c r="B526" s="3">
        <v>2.8504141501294218E-15</v>
      </c>
      <c r="C526" s="3"/>
      <c r="D526" t="s">
        <v>7</v>
      </c>
      <c r="E526" t="s">
        <v>243</v>
      </c>
      <c r="F526" t="s">
        <v>27</v>
      </c>
      <c r="G526" s="3"/>
    </row>
    <row r="527" spans="1:7">
      <c r="A527" t="s">
        <v>204</v>
      </c>
      <c r="B527" s="3">
        <v>2.3512855910267469</v>
      </c>
      <c r="C527" s="3"/>
      <c r="D527" t="s">
        <v>17</v>
      </c>
      <c r="E527" t="s">
        <v>243</v>
      </c>
      <c r="F527" t="s">
        <v>27</v>
      </c>
      <c r="G527" s="3"/>
    </row>
    <row r="528" spans="1:7">
      <c r="A528" t="s">
        <v>205</v>
      </c>
      <c r="B528" s="3">
        <v>9.8193270060396891E-7</v>
      </c>
      <c r="C528" s="3"/>
      <c r="D528" t="s">
        <v>7</v>
      </c>
      <c r="E528" t="s">
        <v>243</v>
      </c>
      <c r="F528" t="s">
        <v>27</v>
      </c>
      <c r="G528" s="3"/>
    </row>
    <row r="529" spans="1:7">
      <c r="A529" t="s">
        <v>206</v>
      </c>
      <c r="B529" s="3">
        <v>8.7832959447799816E-9</v>
      </c>
      <c r="C529" s="3"/>
      <c r="D529" t="s">
        <v>7</v>
      </c>
      <c r="E529" t="s">
        <v>243</v>
      </c>
      <c r="F529" t="s">
        <v>27</v>
      </c>
      <c r="G529" s="3"/>
    </row>
    <row r="530" spans="1:7">
      <c r="A530" t="s">
        <v>207</v>
      </c>
      <c r="B530" s="3">
        <v>5.9133304572907677E-10</v>
      </c>
      <c r="C530" s="3"/>
      <c r="D530" t="s">
        <v>7</v>
      </c>
      <c r="E530" t="s">
        <v>243</v>
      </c>
      <c r="F530" t="s">
        <v>27</v>
      </c>
      <c r="G530" s="3"/>
    </row>
    <row r="531" spans="1:7">
      <c r="A531" t="s">
        <v>208</v>
      </c>
      <c r="B531" s="3">
        <v>3.4076272648835204E-9</v>
      </c>
      <c r="C531" s="3"/>
      <c r="D531" t="s">
        <v>7</v>
      </c>
      <c r="E531" t="s">
        <v>243</v>
      </c>
      <c r="F531" t="s">
        <v>27</v>
      </c>
      <c r="G531" s="3"/>
    </row>
    <row r="532" spans="1:7">
      <c r="A532" t="s">
        <v>209</v>
      </c>
      <c r="B532" s="3">
        <v>1.351699741156169E-9</v>
      </c>
      <c r="C532" s="3"/>
      <c r="D532" t="s">
        <v>7</v>
      </c>
      <c r="E532" t="s">
        <v>243</v>
      </c>
      <c r="F532" t="s">
        <v>27</v>
      </c>
      <c r="G532" s="3"/>
    </row>
    <row r="533" spans="1:7">
      <c r="A533" t="s">
        <v>210</v>
      </c>
      <c r="B533" s="3">
        <v>2.1322346850733389E-9</v>
      </c>
      <c r="C533" s="3"/>
      <c r="D533" t="s">
        <v>7</v>
      </c>
      <c r="E533" t="s">
        <v>243</v>
      </c>
      <c r="F533" t="s">
        <v>27</v>
      </c>
      <c r="G533" s="3"/>
    </row>
    <row r="534" spans="1:7">
      <c r="A534" t="s">
        <v>211</v>
      </c>
      <c r="B534" s="3">
        <v>2.1379292493528905E-8</v>
      </c>
      <c r="C534" s="3"/>
      <c r="D534" t="s">
        <v>7</v>
      </c>
      <c r="E534" t="s">
        <v>243</v>
      </c>
      <c r="F534" t="s">
        <v>27</v>
      </c>
      <c r="G534" s="3"/>
    </row>
    <row r="535" spans="1:7">
      <c r="A535" t="s">
        <v>212</v>
      </c>
      <c r="B535" s="3">
        <v>6.4864883520276109E-8</v>
      </c>
      <c r="C535" s="3"/>
      <c r="D535" t="s">
        <v>7</v>
      </c>
      <c r="E535" t="s">
        <v>243</v>
      </c>
      <c r="F535" t="s">
        <v>27</v>
      </c>
      <c r="G535" s="3"/>
    </row>
    <row r="536" spans="1:7">
      <c r="A536" t="s">
        <v>213</v>
      </c>
      <c r="B536" s="3">
        <v>2.2917773943054361E-9</v>
      </c>
      <c r="C536" s="3"/>
      <c r="D536" t="s">
        <v>7</v>
      </c>
      <c r="E536" t="s">
        <v>243</v>
      </c>
      <c r="F536" t="s">
        <v>27</v>
      </c>
      <c r="G536" s="3"/>
    </row>
    <row r="537" spans="1:7">
      <c r="A537" t="s">
        <v>214</v>
      </c>
      <c r="B537" s="3">
        <v>5.2010353753235545E-5</v>
      </c>
      <c r="C537" s="3"/>
      <c r="D537" t="s">
        <v>7</v>
      </c>
      <c r="E537" t="s">
        <v>243</v>
      </c>
      <c r="F537" t="s">
        <v>27</v>
      </c>
      <c r="G537" s="3"/>
    </row>
    <row r="538" spans="1:7">
      <c r="A538" t="s">
        <v>215</v>
      </c>
      <c r="B538" s="3">
        <v>1.701725625539258E-7</v>
      </c>
      <c r="C538" s="3"/>
      <c r="D538" t="s">
        <v>7</v>
      </c>
      <c r="E538" t="s">
        <v>243</v>
      </c>
      <c r="F538" t="s">
        <v>27</v>
      </c>
      <c r="G538" s="3"/>
    </row>
    <row r="539" spans="1:7">
      <c r="A539" t="s">
        <v>216</v>
      </c>
      <c r="B539" s="3">
        <v>8.5511475409836056E-10</v>
      </c>
      <c r="C539" s="3"/>
      <c r="D539" t="s">
        <v>7</v>
      </c>
      <c r="E539" t="s">
        <v>243</v>
      </c>
      <c r="F539" t="s">
        <v>27</v>
      </c>
      <c r="G539" s="3"/>
    </row>
    <row r="540" spans="1:7">
      <c r="A540" t="s">
        <v>217</v>
      </c>
      <c r="B540" s="3">
        <v>6.2069801553062976E-13</v>
      </c>
      <c r="C540" s="3"/>
      <c r="D540" t="s">
        <v>7</v>
      </c>
      <c r="E540" t="s">
        <v>243</v>
      </c>
      <c r="F540" t="s">
        <v>27</v>
      </c>
      <c r="G540" s="3"/>
    </row>
    <row r="541" spans="1:7">
      <c r="A541" t="s">
        <v>218</v>
      </c>
      <c r="B541" s="3">
        <v>2.2186971527178604E-9</v>
      </c>
      <c r="C541" s="3"/>
      <c r="D541" t="s">
        <v>7</v>
      </c>
      <c r="E541" t="s">
        <v>243</v>
      </c>
      <c r="F541" t="s">
        <v>27</v>
      </c>
      <c r="G541" s="3"/>
    </row>
    <row r="542" spans="1:7">
      <c r="A542" t="s">
        <v>219</v>
      </c>
      <c r="B542" s="3">
        <v>1.0655478861087144E-6</v>
      </c>
      <c r="C542" s="3"/>
      <c r="D542" t="s">
        <v>7</v>
      </c>
      <c r="E542" t="s">
        <v>243</v>
      </c>
      <c r="F542" t="s">
        <v>27</v>
      </c>
      <c r="G542" s="3"/>
    </row>
    <row r="543" spans="1:7">
      <c r="A543" t="s">
        <v>220</v>
      </c>
      <c r="B543" s="3">
        <v>7.8378084555651419E-10</v>
      </c>
      <c r="C543" s="3"/>
      <c r="D543" t="s">
        <v>7</v>
      </c>
      <c r="E543" t="s">
        <v>243</v>
      </c>
      <c r="F543" t="s">
        <v>27</v>
      </c>
      <c r="G543" s="3"/>
    </row>
    <row r="544" spans="1:7">
      <c r="A544" t="s">
        <v>221</v>
      </c>
      <c r="B544" s="3">
        <v>1.4198446937014667E-6</v>
      </c>
      <c r="C544" s="3"/>
      <c r="D544" t="s">
        <v>7</v>
      </c>
      <c r="E544" t="s">
        <v>243</v>
      </c>
      <c r="F544" t="s">
        <v>27</v>
      </c>
      <c r="G544" s="3"/>
    </row>
    <row r="545" spans="1:7">
      <c r="A545" t="s">
        <v>222</v>
      </c>
      <c r="B545" s="3">
        <v>3.5424935289042275E-11</v>
      </c>
      <c r="C545" s="3"/>
      <c r="D545" t="s">
        <v>7</v>
      </c>
      <c r="E545" t="s">
        <v>243</v>
      </c>
      <c r="F545" t="s">
        <v>27</v>
      </c>
      <c r="G545" s="3"/>
    </row>
    <row r="546" spans="1:7">
      <c r="A546" t="s">
        <v>223</v>
      </c>
      <c r="B546" s="3">
        <v>1.5159879206212254E-12</v>
      </c>
      <c r="C546" s="3"/>
      <c r="D546" t="s">
        <v>7</v>
      </c>
      <c r="E546" t="s">
        <v>243</v>
      </c>
      <c r="F546" t="s">
        <v>27</v>
      </c>
      <c r="G546" s="3"/>
    </row>
    <row r="547" spans="1:7">
      <c r="A547" t="s">
        <v>224</v>
      </c>
      <c r="B547" s="3">
        <v>7.3476013805004307E-8</v>
      </c>
      <c r="C547" s="3"/>
      <c r="D547" t="s">
        <v>7</v>
      </c>
      <c r="E547" t="s">
        <v>243</v>
      </c>
      <c r="F547" t="s">
        <v>27</v>
      </c>
      <c r="G547" s="3"/>
    </row>
    <row r="548" spans="1:7">
      <c r="A548" t="s">
        <v>225</v>
      </c>
      <c r="B548" s="3">
        <v>2.8506039689387399E-9</v>
      </c>
      <c r="C548" s="3"/>
      <c r="D548" t="s">
        <v>7</v>
      </c>
      <c r="E548" t="s">
        <v>243</v>
      </c>
      <c r="F548" t="s">
        <v>27</v>
      </c>
      <c r="G548" s="3"/>
    </row>
    <row r="549" spans="1:7">
      <c r="A549" t="s">
        <v>226</v>
      </c>
      <c r="B549" s="3">
        <v>5.4123986194995673E-7</v>
      </c>
      <c r="C549" s="3"/>
      <c r="D549" t="s">
        <v>7</v>
      </c>
      <c r="E549" t="s">
        <v>243</v>
      </c>
      <c r="F549" t="s">
        <v>27</v>
      </c>
      <c r="G549" s="3"/>
    </row>
    <row r="550" spans="1:7">
      <c r="A550" t="s">
        <v>227</v>
      </c>
      <c r="B550" s="3">
        <v>3.2406749784296806E-4</v>
      </c>
      <c r="C550" s="3"/>
      <c r="D550" t="s">
        <v>37</v>
      </c>
      <c r="E550" t="s">
        <v>243</v>
      </c>
      <c r="F550" t="s">
        <v>27</v>
      </c>
      <c r="G550" s="3"/>
    </row>
    <row r="551" spans="1:7">
      <c r="A551" t="s">
        <v>228</v>
      </c>
      <c r="B551" s="3">
        <v>3.3186971527178594E-8</v>
      </c>
      <c r="C551" s="3"/>
      <c r="D551" t="s">
        <v>7</v>
      </c>
      <c r="E551" t="s">
        <v>243</v>
      </c>
      <c r="F551" t="s">
        <v>27</v>
      </c>
      <c r="G551" s="3"/>
    </row>
    <row r="552" spans="1:7">
      <c r="A552" t="s">
        <v>187</v>
      </c>
      <c r="B552" s="3">
        <v>1.6508541846419328E-5</v>
      </c>
      <c r="C552" s="3"/>
      <c r="D552" t="s">
        <v>7</v>
      </c>
      <c r="E552" t="s">
        <v>244</v>
      </c>
      <c r="F552" t="s">
        <v>27</v>
      </c>
      <c r="G552" s="3"/>
    </row>
    <row r="553" spans="1:7">
      <c r="A553" t="s">
        <v>187</v>
      </c>
      <c r="B553" s="3">
        <v>6.0481018119068157E-9</v>
      </c>
      <c r="C553" s="3"/>
      <c r="D553" t="s">
        <v>7</v>
      </c>
      <c r="E553" t="s">
        <v>245</v>
      </c>
      <c r="F553" t="s">
        <v>27</v>
      </c>
      <c r="G553" s="3"/>
    </row>
    <row r="554" spans="1:7">
      <c r="A554" t="s">
        <v>189</v>
      </c>
      <c r="B554" s="3">
        <v>1.5440811044003451E-6</v>
      </c>
      <c r="C554" s="3"/>
      <c r="D554" t="s">
        <v>7</v>
      </c>
      <c r="E554" t="s">
        <v>244</v>
      </c>
      <c r="F554" t="s">
        <v>27</v>
      </c>
      <c r="G554" s="3"/>
    </row>
    <row r="555" spans="1:7">
      <c r="A555" t="s">
        <v>189</v>
      </c>
      <c r="B555" s="3">
        <v>7.478576358930113E-7</v>
      </c>
      <c r="C555" s="3"/>
      <c r="D555" t="s">
        <v>7</v>
      </c>
      <c r="E555" t="s">
        <v>245</v>
      </c>
      <c r="F555" t="s">
        <v>27</v>
      </c>
      <c r="G555" s="3"/>
    </row>
    <row r="556" spans="1:7">
      <c r="A556" t="s">
        <v>190</v>
      </c>
      <c r="B556" s="3">
        <v>1.0258757549611736E-7</v>
      </c>
      <c r="C556" s="3"/>
      <c r="D556" t="s">
        <v>7</v>
      </c>
      <c r="E556" t="s">
        <v>244</v>
      </c>
      <c r="F556" t="s">
        <v>27</v>
      </c>
      <c r="G556" s="3"/>
    </row>
    <row r="557" spans="1:7">
      <c r="A557" t="s">
        <v>190</v>
      </c>
      <c r="B557" s="3">
        <v>6.5795944779982743E-8</v>
      </c>
      <c r="C557" s="3"/>
      <c r="D557" t="s">
        <v>7</v>
      </c>
      <c r="E557" t="s">
        <v>245</v>
      </c>
      <c r="F557" t="s">
        <v>27</v>
      </c>
      <c r="G557" s="3"/>
    </row>
    <row r="558" spans="1:7">
      <c r="A558" t="s">
        <v>229</v>
      </c>
      <c r="B558" s="3">
        <v>1.4576186367558239E-4</v>
      </c>
      <c r="C558" s="3"/>
      <c r="D558" t="s">
        <v>7</v>
      </c>
      <c r="E558" t="s">
        <v>244</v>
      </c>
      <c r="F558" t="s">
        <v>27</v>
      </c>
      <c r="G558" s="3"/>
    </row>
    <row r="559" spans="1:7">
      <c r="A559" t="s">
        <v>229</v>
      </c>
      <c r="B559" s="3">
        <v>4.4736496980155305E-5</v>
      </c>
      <c r="C559" s="3"/>
      <c r="D559" t="s">
        <v>7</v>
      </c>
      <c r="E559" t="s">
        <v>245</v>
      </c>
      <c r="F559" t="s">
        <v>27</v>
      </c>
      <c r="G559" s="3"/>
    </row>
    <row r="560" spans="1:7">
      <c r="A560" t="s">
        <v>191</v>
      </c>
      <c r="B560" s="3">
        <v>1.2066781708369284E-5</v>
      </c>
      <c r="C560" s="3"/>
      <c r="D560" t="s">
        <v>7</v>
      </c>
      <c r="E560" t="s">
        <v>244</v>
      </c>
      <c r="F560" t="s">
        <v>27</v>
      </c>
      <c r="G560" s="3"/>
    </row>
    <row r="561" spans="1:7">
      <c r="A561" t="s">
        <v>191</v>
      </c>
      <c r="B561" s="3">
        <v>7.0081104400345129E-9</v>
      </c>
      <c r="C561" s="3"/>
      <c r="D561" t="s">
        <v>7</v>
      </c>
      <c r="E561" t="s">
        <v>245</v>
      </c>
      <c r="F561" t="s">
        <v>27</v>
      </c>
      <c r="G561" s="3"/>
    </row>
    <row r="562" spans="1:7">
      <c r="A562" t="s">
        <v>230</v>
      </c>
      <c r="B562" s="3">
        <v>4.1557031924072473E-8</v>
      </c>
      <c r="C562" s="3"/>
      <c r="D562" t="s">
        <v>7</v>
      </c>
      <c r="E562" t="s">
        <v>244</v>
      </c>
      <c r="F562" t="s">
        <v>27</v>
      </c>
      <c r="G562" s="3"/>
    </row>
    <row r="563" spans="1:7">
      <c r="A563" t="s">
        <v>230</v>
      </c>
      <c r="B563" s="3">
        <v>2.7557894736842107E-11</v>
      </c>
      <c r="C563" s="3"/>
      <c r="D563" t="s">
        <v>7</v>
      </c>
      <c r="E563" t="s">
        <v>245</v>
      </c>
      <c r="F563" t="s">
        <v>27</v>
      </c>
      <c r="G563" s="3"/>
    </row>
    <row r="564" spans="1:7">
      <c r="A564" t="s">
        <v>195</v>
      </c>
      <c r="B564" s="3">
        <v>3.2137273511647973E-7</v>
      </c>
      <c r="C564" s="3"/>
      <c r="D564" t="s">
        <v>7</v>
      </c>
      <c r="E564" t="s">
        <v>244</v>
      </c>
      <c r="F564" t="s">
        <v>27</v>
      </c>
      <c r="G564" s="3"/>
    </row>
    <row r="565" spans="1:7">
      <c r="A565" t="s">
        <v>195</v>
      </c>
      <c r="B565" s="3">
        <v>5.7524590163934417E-6</v>
      </c>
      <c r="C565" s="3"/>
      <c r="D565" t="s">
        <v>7</v>
      </c>
      <c r="E565" t="s">
        <v>245</v>
      </c>
      <c r="F565" t="s">
        <v>27</v>
      </c>
      <c r="G565" s="3"/>
    </row>
    <row r="566" spans="1:7">
      <c r="A566" t="s">
        <v>231</v>
      </c>
      <c r="B566" s="3">
        <v>4.4561863675582396E-4</v>
      </c>
      <c r="C566" s="3"/>
      <c r="D566" t="s">
        <v>7</v>
      </c>
      <c r="E566" t="s">
        <v>244</v>
      </c>
      <c r="F566" t="s">
        <v>27</v>
      </c>
      <c r="G566" s="3"/>
    </row>
    <row r="567" spans="1:7">
      <c r="A567" t="s">
        <v>231</v>
      </c>
      <c r="B567" s="3">
        <v>4.5715012942191547E-5</v>
      </c>
      <c r="C567" s="3"/>
      <c r="D567" t="s">
        <v>7</v>
      </c>
      <c r="E567" t="s">
        <v>245</v>
      </c>
      <c r="F567" t="s">
        <v>27</v>
      </c>
      <c r="G567" s="3"/>
    </row>
    <row r="568" spans="1:7">
      <c r="A568" t="s">
        <v>196</v>
      </c>
      <c r="B568" s="3">
        <v>1.1532441760138049E-6</v>
      </c>
      <c r="C568" s="3"/>
      <c r="D568" t="s">
        <v>7</v>
      </c>
      <c r="E568" t="s">
        <v>244</v>
      </c>
      <c r="F568" t="s">
        <v>27</v>
      </c>
      <c r="G568" s="3"/>
    </row>
    <row r="569" spans="1:7">
      <c r="A569" t="s">
        <v>196</v>
      </c>
      <c r="B569" s="3">
        <v>1.2784296807592752E-9</v>
      </c>
      <c r="C569" s="3"/>
      <c r="D569" t="s">
        <v>7</v>
      </c>
      <c r="E569" t="s">
        <v>245</v>
      </c>
      <c r="F569" t="s">
        <v>27</v>
      </c>
      <c r="G569" s="3"/>
    </row>
    <row r="570" spans="1:7">
      <c r="A570" t="s">
        <v>232</v>
      </c>
      <c r="B570" s="3">
        <v>1.3595772217428819E-5</v>
      </c>
      <c r="C570" s="3"/>
      <c r="D570" t="s">
        <v>7</v>
      </c>
      <c r="E570" t="s">
        <v>244</v>
      </c>
      <c r="F570" t="s">
        <v>27</v>
      </c>
      <c r="G570" s="3"/>
    </row>
    <row r="571" spans="1:7">
      <c r="A571" t="s">
        <v>232</v>
      </c>
      <c r="B571" s="3">
        <v>2.2696635030198449E-8</v>
      </c>
      <c r="C571" s="3"/>
      <c r="D571" t="s">
        <v>7</v>
      </c>
      <c r="E571" t="s">
        <v>245</v>
      </c>
      <c r="F571" t="s">
        <v>27</v>
      </c>
      <c r="G571" s="3"/>
    </row>
    <row r="572" spans="1:7">
      <c r="A572" t="s">
        <v>233</v>
      </c>
      <c r="B572" s="3">
        <v>2.1675409836065571E-4</v>
      </c>
      <c r="C572" s="3"/>
      <c r="D572" t="s">
        <v>7</v>
      </c>
      <c r="E572" t="s">
        <v>244</v>
      </c>
      <c r="F572" t="s">
        <v>27</v>
      </c>
      <c r="G572" s="3"/>
    </row>
    <row r="573" spans="1:7">
      <c r="A573" t="s">
        <v>233</v>
      </c>
      <c r="B573" s="3">
        <v>1.4616048317515099E-3</v>
      </c>
      <c r="C573" s="3"/>
      <c r="D573" t="s">
        <v>7</v>
      </c>
      <c r="E573" t="s">
        <v>245</v>
      </c>
      <c r="F573" t="s">
        <v>27</v>
      </c>
      <c r="G573" s="3"/>
    </row>
    <row r="574" spans="1:7">
      <c r="A574" t="s">
        <v>198</v>
      </c>
      <c r="B574" s="3">
        <v>4.6984900776531493E-10</v>
      </c>
      <c r="C574" s="3"/>
      <c r="D574" t="s">
        <v>7</v>
      </c>
      <c r="E574" t="s">
        <v>245</v>
      </c>
      <c r="F574" t="s">
        <v>27</v>
      </c>
      <c r="G574" s="3"/>
    </row>
    <row r="575" spans="1:7">
      <c r="A575" t="s">
        <v>234</v>
      </c>
      <c r="B575" s="3">
        <v>1.9134685073339086E-7</v>
      </c>
      <c r="C575" s="3"/>
      <c r="D575" t="s">
        <v>7</v>
      </c>
      <c r="E575" t="s">
        <v>244</v>
      </c>
      <c r="F575" t="s">
        <v>27</v>
      </c>
      <c r="G575" s="3"/>
    </row>
    <row r="576" spans="1:7">
      <c r="A576" t="s">
        <v>234</v>
      </c>
      <c r="B576" s="3">
        <v>5.5071182053494388E-8</v>
      </c>
      <c r="C576" s="3"/>
      <c r="D576" t="s">
        <v>7</v>
      </c>
      <c r="E576" t="s">
        <v>245</v>
      </c>
      <c r="F576" t="s">
        <v>27</v>
      </c>
      <c r="G576" s="3"/>
    </row>
    <row r="577" spans="1:7">
      <c r="A577" t="s">
        <v>199</v>
      </c>
      <c r="B577" s="3">
        <v>2.4474288179465054E-6</v>
      </c>
      <c r="C577" s="3"/>
      <c r="D577" t="s">
        <v>7</v>
      </c>
      <c r="E577" t="s">
        <v>244</v>
      </c>
      <c r="F577" t="s">
        <v>27</v>
      </c>
      <c r="G577" s="3"/>
    </row>
    <row r="578" spans="1:7">
      <c r="A578" t="s">
        <v>199</v>
      </c>
      <c r="B578" s="3">
        <v>4.6080414150129423E-10</v>
      </c>
      <c r="C578" s="3"/>
      <c r="D578" t="s">
        <v>7</v>
      </c>
      <c r="E578" t="s">
        <v>245</v>
      </c>
      <c r="F578" t="s">
        <v>27</v>
      </c>
      <c r="G578" s="3"/>
    </row>
    <row r="579" spans="1:7">
      <c r="A579" t="s">
        <v>200</v>
      </c>
      <c r="B579" s="3">
        <v>2.6503451251078513E-5</v>
      </c>
      <c r="C579" s="3"/>
      <c r="D579" t="s">
        <v>7</v>
      </c>
      <c r="E579" t="s">
        <v>244</v>
      </c>
      <c r="F579" t="s">
        <v>27</v>
      </c>
      <c r="G579" s="3"/>
    </row>
    <row r="580" spans="1:7">
      <c r="A580" t="s">
        <v>200</v>
      </c>
      <c r="B580" s="3">
        <v>2.4339516824849005E-9</v>
      </c>
      <c r="C580" s="3"/>
      <c r="D580" t="s">
        <v>7</v>
      </c>
      <c r="E580" t="s">
        <v>245</v>
      </c>
      <c r="F580" t="s">
        <v>27</v>
      </c>
      <c r="G580" s="3"/>
    </row>
    <row r="581" spans="1:7">
      <c r="A581" t="s">
        <v>235</v>
      </c>
      <c r="B581" s="3">
        <v>1.7633218291630715E-4</v>
      </c>
      <c r="C581" s="3"/>
      <c r="D581" t="s">
        <v>7</v>
      </c>
      <c r="E581" t="s">
        <v>244</v>
      </c>
      <c r="F581" t="s">
        <v>27</v>
      </c>
      <c r="G581" s="3"/>
    </row>
    <row r="582" spans="1:7">
      <c r="A582" t="s">
        <v>235</v>
      </c>
      <c r="B582" s="3">
        <v>1.9939516824849007E-5</v>
      </c>
      <c r="C582" s="3"/>
      <c r="D582" t="s">
        <v>7</v>
      </c>
      <c r="E582" t="s">
        <v>245</v>
      </c>
      <c r="F582" t="s">
        <v>27</v>
      </c>
      <c r="G582" s="3"/>
    </row>
    <row r="583" spans="1:7">
      <c r="A583" t="s">
        <v>236</v>
      </c>
      <c r="B583" s="3">
        <v>8.6856341673856773E-7</v>
      </c>
      <c r="C583" s="3"/>
      <c r="D583" t="s">
        <v>7</v>
      </c>
      <c r="E583" t="s">
        <v>244</v>
      </c>
      <c r="F583" t="s">
        <v>27</v>
      </c>
      <c r="G583" s="3"/>
    </row>
    <row r="584" spans="1:7">
      <c r="A584" t="s">
        <v>236</v>
      </c>
      <c r="B584" s="3">
        <v>3.7890681622088008E-7</v>
      </c>
      <c r="C584" s="3"/>
      <c r="D584" t="s">
        <v>7</v>
      </c>
      <c r="E584" t="s">
        <v>245</v>
      </c>
      <c r="F584" t="s">
        <v>27</v>
      </c>
      <c r="G584" s="3"/>
    </row>
    <row r="585" spans="1:7">
      <c r="A585" t="s">
        <v>204</v>
      </c>
      <c r="B585" s="3">
        <v>0.59677135461604824</v>
      </c>
      <c r="C585" s="3"/>
      <c r="D585" t="s">
        <v>17</v>
      </c>
      <c r="E585" t="s">
        <v>245</v>
      </c>
      <c r="F585" t="s">
        <v>27</v>
      </c>
      <c r="G585" s="3"/>
    </row>
    <row r="586" spans="1:7">
      <c r="A586" t="s">
        <v>207</v>
      </c>
      <c r="B586" s="3">
        <v>1.6887230371009492E-4</v>
      </c>
      <c r="C586" s="3"/>
      <c r="D586" t="s">
        <v>7</v>
      </c>
      <c r="E586" t="s">
        <v>244</v>
      </c>
      <c r="F586" t="s">
        <v>27</v>
      </c>
      <c r="G586" s="3"/>
    </row>
    <row r="587" spans="1:7">
      <c r="A587" t="s">
        <v>207</v>
      </c>
      <c r="B587" s="3">
        <v>6.3663330457290771E-9</v>
      </c>
      <c r="C587" s="3"/>
      <c r="D587" t="s">
        <v>7</v>
      </c>
      <c r="E587" t="s">
        <v>245</v>
      </c>
      <c r="F587" t="s">
        <v>27</v>
      </c>
      <c r="G587" s="3"/>
    </row>
    <row r="588" spans="1:7">
      <c r="A588" t="s">
        <v>208</v>
      </c>
      <c r="B588" s="3">
        <v>2.9122950819672128E-5</v>
      </c>
      <c r="C588" s="3"/>
      <c r="D588" t="s">
        <v>7</v>
      </c>
      <c r="E588" t="s">
        <v>244</v>
      </c>
      <c r="F588" t="s">
        <v>27</v>
      </c>
      <c r="G588" s="3"/>
    </row>
    <row r="589" spans="1:7">
      <c r="A589" t="s">
        <v>208</v>
      </c>
      <c r="B589" s="3">
        <v>2.8166264020707508E-9</v>
      </c>
      <c r="C589" s="3"/>
      <c r="D589" t="s">
        <v>7</v>
      </c>
      <c r="E589" t="s">
        <v>245</v>
      </c>
      <c r="F589" t="s">
        <v>27</v>
      </c>
      <c r="G589" s="3"/>
    </row>
    <row r="590" spans="1:7">
      <c r="A590" t="s">
        <v>209</v>
      </c>
      <c r="B590" s="3">
        <v>5.6117083692838646E-6</v>
      </c>
      <c r="C590" s="3"/>
      <c r="D590" t="s">
        <v>7</v>
      </c>
      <c r="E590" t="s">
        <v>244</v>
      </c>
      <c r="F590" t="s">
        <v>27</v>
      </c>
      <c r="G590" s="3"/>
    </row>
    <row r="591" spans="1:7">
      <c r="A591" t="s">
        <v>209</v>
      </c>
      <c r="B591" s="3">
        <v>8.6515616911130283E-10</v>
      </c>
      <c r="C591" s="3"/>
      <c r="D591" t="s">
        <v>7</v>
      </c>
      <c r="E591" t="s">
        <v>245</v>
      </c>
      <c r="F591" t="s">
        <v>27</v>
      </c>
      <c r="G591" s="3"/>
    </row>
    <row r="592" spans="1:7">
      <c r="A592" t="s">
        <v>210</v>
      </c>
      <c r="B592" s="3">
        <v>1.5792924935289042E-8</v>
      </c>
      <c r="C592" s="3"/>
      <c r="D592" t="s">
        <v>7</v>
      </c>
      <c r="E592" t="s">
        <v>244</v>
      </c>
      <c r="F592" t="s">
        <v>27</v>
      </c>
      <c r="G592" s="3"/>
    </row>
    <row r="593" spans="1:7">
      <c r="A593" t="s">
        <v>210</v>
      </c>
      <c r="B593" s="3">
        <v>4.0014754098360653E-10</v>
      </c>
      <c r="C593" s="3"/>
      <c r="D593" t="s">
        <v>7</v>
      </c>
      <c r="E593" t="s">
        <v>245</v>
      </c>
      <c r="F593" t="s">
        <v>27</v>
      </c>
      <c r="G593" s="3"/>
    </row>
    <row r="594" spans="1:7">
      <c r="A594" t="s">
        <v>213</v>
      </c>
      <c r="B594" s="3">
        <v>1.7845815358067297E-6</v>
      </c>
      <c r="C594" s="3"/>
      <c r="D594" t="s">
        <v>7</v>
      </c>
      <c r="E594" t="s">
        <v>244</v>
      </c>
      <c r="F594" t="s">
        <v>27</v>
      </c>
      <c r="G594" s="3"/>
    </row>
    <row r="595" spans="1:7">
      <c r="A595" t="s">
        <v>213</v>
      </c>
      <c r="B595" s="3">
        <v>1.2091458153580672E-9</v>
      </c>
      <c r="C595" s="3"/>
      <c r="D595" t="s">
        <v>7</v>
      </c>
      <c r="E595" t="s">
        <v>245</v>
      </c>
      <c r="F595" t="s">
        <v>27</v>
      </c>
      <c r="G595" s="3"/>
    </row>
    <row r="596" spans="1:7">
      <c r="A596" t="s">
        <v>237</v>
      </c>
      <c r="B596" s="3">
        <v>2.0806039689387404E-5</v>
      </c>
      <c r="C596" s="3"/>
      <c r="D596" t="s">
        <v>7</v>
      </c>
      <c r="E596" t="s">
        <v>244</v>
      </c>
      <c r="F596" t="s">
        <v>27</v>
      </c>
      <c r="G596" s="3"/>
    </row>
    <row r="597" spans="1:7">
      <c r="A597" t="s">
        <v>237</v>
      </c>
      <c r="B597" s="3">
        <v>7.4527610008628123E-6</v>
      </c>
      <c r="C597" s="3"/>
      <c r="D597" t="s">
        <v>7</v>
      </c>
      <c r="E597" t="s">
        <v>245</v>
      </c>
      <c r="F597" t="s">
        <v>27</v>
      </c>
      <c r="G597" s="3"/>
    </row>
    <row r="598" spans="1:7">
      <c r="A598" t="s">
        <v>218</v>
      </c>
      <c r="B598" s="3">
        <v>1.4272476272648834E-7</v>
      </c>
      <c r="C598" s="3"/>
      <c r="D598" t="s">
        <v>7</v>
      </c>
      <c r="E598" t="s">
        <v>244</v>
      </c>
      <c r="F598" t="s">
        <v>27</v>
      </c>
      <c r="G598" s="3"/>
    </row>
    <row r="599" spans="1:7">
      <c r="A599" t="s">
        <v>218</v>
      </c>
      <c r="B599" s="3">
        <v>3.7054529767040554E-8</v>
      </c>
      <c r="C599" s="3"/>
      <c r="D599" t="s">
        <v>7</v>
      </c>
      <c r="E599" t="s">
        <v>245</v>
      </c>
      <c r="F599" t="s">
        <v>27</v>
      </c>
      <c r="G599" s="3"/>
    </row>
    <row r="600" spans="1:7">
      <c r="A600" t="s">
        <v>238</v>
      </c>
      <c r="B600" s="3">
        <v>3.2759879206212252E-5</v>
      </c>
      <c r="C600" s="3"/>
      <c r="D600" t="s">
        <v>7</v>
      </c>
      <c r="E600" t="s">
        <v>244</v>
      </c>
      <c r="F600" t="s">
        <v>27</v>
      </c>
      <c r="G600" s="3"/>
    </row>
    <row r="601" spans="1:7">
      <c r="A601" t="s">
        <v>238</v>
      </c>
      <c r="B601" s="3">
        <v>7.3841415012942203E-8</v>
      </c>
      <c r="C601" s="3"/>
      <c r="D601" t="s">
        <v>7</v>
      </c>
      <c r="E601" t="s">
        <v>245</v>
      </c>
      <c r="F601" t="s">
        <v>27</v>
      </c>
      <c r="G601" s="3"/>
    </row>
    <row r="602" spans="1:7">
      <c r="A602" t="s">
        <v>239</v>
      </c>
      <c r="B602" s="3">
        <v>8.4943917169974113E-5</v>
      </c>
      <c r="C602" s="3"/>
      <c r="D602" t="s">
        <v>7</v>
      </c>
      <c r="E602" t="s">
        <v>244</v>
      </c>
      <c r="F602" t="s">
        <v>27</v>
      </c>
      <c r="G602" s="3"/>
    </row>
    <row r="603" spans="1:7">
      <c r="A603" t="s">
        <v>239</v>
      </c>
      <c r="B603" s="3">
        <v>4.27130284728214E-5</v>
      </c>
      <c r="C603" s="3"/>
      <c r="D603" t="s">
        <v>7</v>
      </c>
      <c r="E603" t="s">
        <v>245</v>
      </c>
      <c r="F603" t="s">
        <v>27</v>
      </c>
      <c r="G603" s="3"/>
    </row>
    <row r="604" spans="1:7">
      <c r="A604" t="s">
        <v>220</v>
      </c>
      <c r="B604" s="3">
        <v>7.8293615185504735E-6</v>
      </c>
      <c r="C604" s="3"/>
      <c r="D604" t="s">
        <v>7</v>
      </c>
      <c r="E604" t="s">
        <v>244</v>
      </c>
      <c r="F604" t="s">
        <v>27</v>
      </c>
      <c r="G604" s="3"/>
    </row>
    <row r="605" spans="1:7">
      <c r="A605" t="s">
        <v>220</v>
      </c>
      <c r="B605" s="3">
        <v>5.1240638481449521E-9</v>
      </c>
      <c r="C605" s="3"/>
      <c r="D605" t="s">
        <v>7</v>
      </c>
      <c r="E605" t="s">
        <v>245</v>
      </c>
      <c r="F605" t="s">
        <v>27</v>
      </c>
      <c r="G605" s="3"/>
    </row>
    <row r="606" spans="1:7">
      <c r="A606" t="s">
        <v>240</v>
      </c>
      <c r="B606" s="3">
        <v>3.1921829163071607E-4</v>
      </c>
      <c r="C606" s="3"/>
      <c r="D606" t="s">
        <v>7</v>
      </c>
      <c r="E606" t="s">
        <v>244</v>
      </c>
      <c r="F606" t="s">
        <v>27</v>
      </c>
      <c r="G606" s="3"/>
    </row>
    <row r="607" spans="1:7">
      <c r="A607" t="s">
        <v>240</v>
      </c>
      <c r="B607" s="3">
        <v>5.455867126833477E-5</v>
      </c>
      <c r="C607" s="3"/>
      <c r="D607" t="s">
        <v>7</v>
      </c>
      <c r="E607" t="s">
        <v>245</v>
      </c>
      <c r="F607" t="s">
        <v>27</v>
      </c>
      <c r="G607" s="3"/>
    </row>
    <row r="608" spans="1:7">
      <c r="A608" t="s">
        <v>241</v>
      </c>
      <c r="B608" s="3">
        <v>1.7633218291630715E-4</v>
      </c>
      <c r="C608" s="3"/>
      <c r="D608" t="s">
        <v>7</v>
      </c>
      <c r="E608" t="s">
        <v>244</v>
      </c>
      <c r="F608" t="s">
        <v>27</v>
      </c>
      <c r="G608" s="3"/>
    </row>
    <row r="609" spans="1:8">
      <c r="A609" t="s">
        <v>241</v>
      </c>
      <c r="B609" s="3">
        <v>1.9939516824849007E-5</v>
      </c>
      <c r="C609" s="3"/>
      <c r="D609" t="s">
        <v>7</v>
      </c>
      <c r="E609" t="s">
        <v>245</v>
      </c>
      <c r="F609" t="s">
        <v>27</v>
      </c>
      <c r="G609" s="3"/>
    </row>
    <row r="610" spans="1:8">
      <c r="A610" t="s">
        <v>222</v>
      </c>
      <c r="B610" s="3">
        <v>2.7161173425366694E-8</v>
      </c>
      <c r="C610" s="3"/>
      <c r="D610" t="s">
        <v>7</v>
      </c>
      <c r="E610" t="s">
        <v>244</v>
      </c>
      <c r="F610" t="s">
        <v>27</v>
      </c>
      <c r="G610" s="3"/>
    </row>
    <row r="611" spans="1:8">
      <c r="A611" t="s">
        <v>222</v>
      </c>
      <c r="B611" s="3">
        <v>2.5170923209663504E-11</v>
      </c>
      <c r="C611" s="3"/>
      <c r="D611" t="s">
        <v>7</v>
      </c>
      <c r="E611" t="s">
        <v>245</v>
      </c>
      <c r="F611" t="s">
        <v>27</v>
      </c>
      <c r="G611" s="3"/>
    </row>
    <row r="612" spans="1:8">
      <c r="A612" t="s">
        <v>223</v>
      </c>
      <c r="B612" s="3">
        <v>1.5402847282139774E-6</v>
      </c>
      <c r="C612" s="3"/>
      <c r="D612" t="s">
        <v>7</v>
      </c>
      <c r="E612" t="s">
        <v>244</v>
      </c>
      <c r="F612" t="s">
        <v>27</v>
      </c>
      <c r="G612" s="3"/>
    </row>
    <row r="613" spans="1:8">
      <c r="A613" t="s">
        <v>223</v>
      </c>
      <c r="B613" s="3">
        <v>2.0978774805867127E-9</v>
      </c>
      <c r="C613" s="3"/>
      <c r="D613" t="s">
        <v>7</v>
      </c>
      <c r="E613" t="s">
        <v>245</v>
      </c>
      <c r="F613" t="s">
        <v>27</v>
      </c>
      <c r="G613" s="3"/>
    </row>
    <row r="614" spans="1:8">
      <c r="A614" t="s">
        <v>224</v>
      </c>
      <c r="B614" s="3">
        <v>2.6503451251078513E-5</v>
      </c>
      <c r="C614" s="3"/>
      <c r="D614" t="s">
        <v>7</v>
      </c>
      <c r="E614" t="s">
        <v>244</v>
      </c>
      <c r="F614" t="s">
        <v>27</v>
      </c>
      <c r="G614" s="3"/>
    </row>
    <row r="615" spans="1:8">
      <c r="A615" t="s">
        <v>224</v>
      </c>
      <c r="B615" s="3">
        <v>1.8029939603106123E-8</v>
      </c>
      <c r="C615" s="3"/>
      <c r="D615" t="s">
        <v>7</v>
      </c>
      <c r="E615" t="s">
        <v>245</v>
      </c>
      <c r="F615" t="s">
        <v>27</v>
      </c>
      <c r="G615" s="3"/>
    </row>
    <row r="616" spans="1:8">
      <c r="A616" t="s">
        <v>226</v>
      </c>
      <c r="B616" s="3">
        <v>7.527169974115616E-6</v>
      </c>
      <c r="C616" s="3"/>
      <c r="D616" t="s">
        <v>7</v>
      </c>
      <c r="E616" t="s">
        <v>244</v>
      </c>
      <c r="F616" t="s">
        <v>27</v>
      </c>
      <c r="G616" s="3"/>
    </row>
    <row r="617" spans="1:8">
      <c r="A617" t="s">
        <v>226</v>
      </c>
      <c r="B617" s="3">
        <v>2.9688610871440897E-8</v>
      </c>
      <c r="C617" s="3"/>
      <c r="D617" t="s">
        <v>7</v>
      </c>
      <c r="E617" t="s">
        <v>245</v>
      </c>
      <c r="F617" t="s">
        <v>27</v>
      </c>
      <c r="G617" s="3"/>
    </row>
    <row r="618" spans="1:8">
      <c r="A618" t="s">
        <v>227</v>
      </c>
      <c r="B618" s="3">
        <v>1.1954684210526315E-4</v>
      </c>
      <c r="C618" s="3"/>
      <c r="D618" t="s">
        <v>37</v>
      </c>
      <c r="E618" t="s">
        <v>245</v>
      </c>
      <c r="F618" t="s">
        <v>27</v>
      </c>
      <c r="G618" s="3"/>
    </row>
    <row r="619" spans="1:8">
      <c r="A619" t="s">
        <v>228</v>
      </c>
      <c r="B619" s="3">
        <v>2.2232528041415013E-5</v>
      </c>
      <c r="C619" s="3"/>
      <c r="D619" t="s">
        <v>7</v>
      </c>
      <c r="E619" t="s">
        <v>244</v>
      </c>
      <c r="F619" t="s">
        <v>27</v>
      </c>
      <c r="G619" s="3"/>
    </row>
    <row r="620" spans="1:8">
      <c r="A620" t="s">
        <v>228</v>
      </c>
      <c r="B620" s="3">
        <v>3.0247627264883521E-9</v>
      </c>
      <c r="C620" s="3"/>
      <c r="D620" t="s">
        <v>7</v>
      </c>
      <c r="E620" t="s">
        <v>245</v>
      </c>
      <c r="F620" t="s">
        <v>27</v>
      </c>
      <c r="G620" s="3"/>
    </row>
    <row r="621" spans="1:8">
      <c r="A621" t="s">
        <v>242</v>
      </c>
      <c r="B621" s="3">
        <v>0.2352899050905953</v>
      </c>
      <c r="C621" s="3"/>
      <c r="D621" t="s">
        <v>7</v>
      </c>
      <c r="E621" t="s">
        <v>111</v>
      </c>
      <c r="F621" t="s">
        <v>27</v>
      </c>
      <c r="G621" s="3"/>
    </row>
    <row r="622" spans="1:8" s="50" customFormat="1">
      <c r="A622" s="50" t="s">
        <v>133</v>
      </c>
      <c r="B622" s="50">
        <f>0.9*0.219164797238999</f>
        <v>0.19724831751509911</v>
      </c>
      <c r="C622" s="50" t="s">
        <v>103</v>
      </c>
      <c r="D622" s="50" t="s">
        <v>7</v>
      </c>
      <c r="F622" s="50" t="s">
        <v>18</v>
      </c>
      <c r="H622" s="50" t="s">
        <v>133</v>
      </c>
    </row>
    <row r="623" spans="1:8" s="50" customFormat="1">
      <c r="A623" s="50" t="s">
        <v>143</v>
      </c>
      <c r="B623" s="50">
        <f>0.219164797238999-B622</f>
        <v>2.1916479723899901E-2</v>
      </c>
      <c r="D623" s="50" t="s">
        <v>7</v>
      </c>
      <c r="E623" s="50" t="s">
        <v>135</v>
      </c>
      <c r="F623" s="50" t="s">
        <v>27</v>
      </c>
      <c r="G623" s="50" t="s">
        <v>483</v>
      </c>
    </row>
    <row r="624" spans="1:8" s="50" customFormat="1">
      <c r="A624" s="50" t="s">
        <v>484</v>
      </c>
      <c r="B624" s="51">
        <f>6.1/43.4*1.1</f>
        <v>0.15460829493087558</v>
      </c>
      <c r="D624" s="50" t="s">
        <v>7</v>
      </c>
      <c r="E624" s="50" t="s">
        <v>485</v>
      </c>
      <c r="F624" s="50" t="s">
        <v>27</v>
      </c>
      <c r="G624" s="50" t="s">
        <v>490</v>
      </c>
    </row>
    <row r="625" spans="1:8" s="50" customFormat="1"/>
    <row r="626" spans="1:8" ht="15.75">
      <c r="A626" s="1" t="s">
        <v>0</v>
      </c>
      <c r="B626" s="47" t="s">
        <v>129</v>
      </c>
    </row>
    <row r="627" spans="1:8">
      <c r="A627" t="s">
        <v>1</v>
      </c>
      <c r="B627" s="3" t="s">
        <v>104</v>
      </c>
    </row>
    <row r="628" spans="1:8">
      <c r="A628" t="s">
        <v>2</v>
      </c>
      <c r="B628" s="3">
        <v>1</v>
      </c>
    </row>
    <row r="629" spans="1:8">
      <c r="A629" t="s">
        <v>3</v>
      </c>
      <c r="B629" s="3" t="s">
        <v>129</v>
      </c>
    </row>
    <row r="630" spans="1:8">
      <c r="A630" t="s">
        <v>4</v>
      </c>
      <c r="B630" s="3" t="s">
        <v>5</v>
      </c>
    </row>
    <row r="631" spans="1:8">
      <c r="A631" t="s">
        <v>6</v>
      </c>
      <c r="B631" s="3" t="s">
        <v>17</v>
      </c>
    </row>
    <row r="632" spans="1:8">
      <c r="A632" t="s">
        <v>8</v>
      </c>
      <c r="B632" s="3" t="s">
        <v>121</v>
      </c>
    </row>
    <row r="633" spans="1:8">
      <c r="A633" t="s">
        <v>260</v>
      </c>
      <c r="B633" s="23">
        <f>0.33*71%</f>
        <v>0.23430000000000001</v>
      </c>
    </row>
    <row r="634" spans="1:8">
      <c r="A634" t="s">
        <v>9</v>
      </c>
      <c r="B634" s="3" t="s">
        <v>261</v>
      </c>
    </row>
    <row r="635" spans="1:8" ht="15.75">
      <c r="A635" s="1" t="s">
        <v>10</v>
      </c>
    </row>
    <row r="636" spans="1:8">
      <c r="A636" t="s">
        <v>11</v>
      </c>
      <c r="B636" s="3" t="s">
        <v>12</v>
      </c>
      <c r="C636" t="s">
        <v>1</v>
      </c>
      <c r="D636" t="s">
        <v>6</v>
      </c>
      <c r="E636" t="s">
        <v>13</v>
      </c>
      <c r="F636" t="s">
        <v>4</v>
      </c>
      <c r="G636" t="s">
        <v>9</v>
      </c>
      <c r="H636" t="s">
        <v>3</v>
      </c>
    </row>
    <row r="637" spans="1:8">
      <c r="A637" s="3" t="str">
        <f>B626</f>
        <v>heat production, from biowaste, municipal incineration, energy allocation</v>
      </c>
      <c r="B637" s="3">
        <v>1</v>
      </c>
      <c r="C637" s="3" t="str">
        <f>B627</f>
        <v>CH</v>
      </c>
      <c r="D637" s="3" t="str">
        <f>B631</f>
        <v>megajoule</v>
      </c>
      <c r="F637" t="s">
        <v>15</v>
      </c>
      <c r="G637" t="s">
        <v>16</v>
      </c>
      <c r="H637" s="3" t="str">
        <f>B629</f>
        <v>heat production, from biowaste, municipal incineration, energy allocation</v>
      </c>
    </row>
    <row r="638" spans="1:8" s="50" customFormat="1">
      <c r="A638" s="50" t="s">
        <v>110</v>
      </c>
      <c r="B638" s="52">
        <f>B672</f>
        <v>0.36093706293706301</v>
      </c>
      <c r="D638" s="50" t="s">
        <v>7</v>
      </c>
      <c r="E638" s="50" t="s">
        <v>111</v>
      </c>
      <c r="F638" s="50" t="s">
        <v>27</v>
      </c>
      <c r="G638" s="50" t="s">
        <v>258</v>
      </c>
    </row>
    <row r="639" spans="1:8" s="50" customFormat="1">
      <c r="A639" s="50" t="s">
        <v>148</v>
      </c>
      <c r="B639" s="51">
        <v>3.7516783216783224E-4</v>
      </c>
      <c r="C639" s="50" t="s">
        <v>103</v>
      </c>
      <c r="D639" s="50" t="s">
        <v>7</v>
      </c>
      <c r="F639" t="s">
        <v>18</v>
      </c>
      <c r="G639" s="51"/>
      <c r="H639" s="50" t="s">
        <v>169</v>
      </c>
    </row>
    <row r="640" spans="1:8" s="50" customFormat="1">
      <c r="A640" s="50" t="s">
        <v>149</v>
      </c>
      <c r="B640" s="51">
        <v>2.163916083916084E-7</v>
      </c>
      <c r="C640" s="50" t="s">
        <v>103</v>
      </c>
      <c r="D640" s="50" t="s">
        <v>7</v>
      </c>
      <c r="F640" t="s">
        <v>18</v>
      </c>
      <c r="G640" s="51"/>
      <c r="H640" s="50" t="s">
        <v>170</v>
      </c>
    </row>
    <row r="641" spans="1:8" s="50" customFormat="1">
      <c r="A641" s="50" t="s">
        <v>167</v>
      </c>
      <c r="B641" s="51">
        <v>3.6936363636363642E-3</v>
      </c>
      <c r="C641" s="50" t="s">
        <v>104</v>
      </c>
      <c r="D641" s="50" t="s">
        <v>7</v>
      </c>
      <c r="F641" t="s">
        <v>18</v>
      </c>
      <c r="G641" s="51"/>
      <c r="H641" s="50" t="s">
        <v>185</v>
      </c>
    </row>
    <row r="642" spans="1:8" s="50" customFormat="1">
      <c r="A642" s="50" t="s">
        <v>150</v>
      </c>
      <c r="B642" s="51">
        <v>5.0684615384615388E-5</v>
      </c>
      <c r="C642" s="50" t="s">
        <v>24</v>
      </c>
      <c r="D642" s="50" t="s">
        <v>7</v>
      </c>
      <c r="F642" t="s">
        <v>18</v>
      </c>
      <c r="G642" s="51"/>
      <c r="H642" s="50" t="s">
        <v>171</v>
      </c>
    </row>
    <row r="643" spans="1:8" s="50" customFormat="1">
      <c r="A643" s="50" t="s">
        <v>151</v>
      </c>
      <c r="B643" s="51">
        <v>3.920349650349651E-7</v>
      </c>
      <c r="C643" s="50" t="s">
        <v>24</v>
      </c>
      <c r="D643" s="50" t="s">
        <v>7</v>
      </c>
      <c r="F643" t="s">
        <v>18</v>
      </c>
      <c r="G643" s="51"/>
      <c r="H643" s="50" t="s">
        <v>172</v>
      </c>
    </row>
    <row r="644" spans="1:8" s="50" customFormat="1">
      <c r="A644" t="s">
        <v>493</v>
      </c>
      <c r="B644" s="51">
        <v>4.796993006993007E-7</v>
      </c>
      <c r="C644" s="50" t="s">
        <v>24</v>
      </c>
      <c r="D644" s="50" t="s">
        <v>7</v>
      </c>
      <c r="F644" t="s">
        <v>18</v>
      </c>
      <c r="G644" s="51"/>
      <c r="H644" t="s">
        <v>494</v>
      </c>
    </row>
    <row r="645" spans="1:8" s="50" customFormat="1">
      <c r="A645" s="50" t="s">
        <v>168</v>
      </c>
      <c r="B645" s="51">
        <v>7.0153846153846164E-2</v>
      </c>
      <c r="C645" s="50" t="s">
        <v>104</v>
      </c>
      <c r="D645" s="50" t="s">
        <v>17</v>
      </c>
      <c r="F645" t="s">
        <v>18</v>
      </c>
      <c r="G645" s="51"/>
      <c r="H645" s="50" t="s">
        <v>186</v>
      </c>
    </row>
    <row r="646" spans="1:8" s="50" customFormat="1">
      <c r="A646" s="50" t="s">
        <v>152</v>
      </c>
      <c r="B646" s="51">
        <v>2.692517482517483E-4</v>
      </c>
      <c r="C646" s="50" t="s">
        <v>103</v>
      </c>
      <c r="D646" s="50" t="s">
        <v>7</v>
      </c>
      <c r="F646" t="s">
        <v>18</v>
      </c>
      <c r="G646" s="51"/>
      <c r="H646" s="50" t="s">
        <v>173</v>
      </c>
    </row>
    <row r="647" spans="1:8" s="50" customFormat="1">
      <c r="A647" s="50" t="s">
        <v>153</v>
      </c>
      <c r="B647" s="51">
        <v>6.5138461538461552E-4</v>
      </c>
      <c r="C647" s="50" t="s">
        <v>103</v>
      </c>
      <c r="D647" s="50" t="s">
        <v>7</v>
      </c>
      <c r="F647" t="s">
        <v>18</v>
      </c>
      <c r="G647" s="51"/>
      <c r="H647" s="50" t="s">
        <v>174</v>
      </c>
    </row>
    <row r="648" spans="1:8" s="50" customFormat="1">
      <c r="A648" s="50" t="s">
        <v>154</v>
      </c>
      <c r="B648" s="51">
        <v>7.6062937062937067E-7</v>
      </c>
      <c r="C648" s="50" t="s">
        <v>24</v>
      </c>
      <c r="D648" s="50" t="s">
        <v>7</v>
      </c>
      <c r="F648" t="s">
        <v>18</v>
      </c>
      <c r="G648" s="51"/>
      <c r="H648" t="s">
        <v>474</v>
      </c>
    </row>
    <row r="649" spans="1:8" s="50" customFormat="1">
      <c r="A649" s="50" t="s">
        <v>155</v>
      </c>
      <c r="B649" s="51">
        <v>-2.026503496503497E-3</v>
      </c>
      <c r="C649" s="50" t="s">
        <v>24</v>
      </c>
      <c r="D649" s="50" t="s">
        <v>7</v>
      </c>
      <c r="F649" t="s">
        <v>18</v>
      </c>
      <c r="G649" s="51"/>
      <c r="H649" s="50" t="s">
        <v>175</v>
      </c>
    </row>
    <row r="650" spans="1:8" s="50" customFormat="1">
      <c r="A650" s="50" t="s">
        <v>156</v>
      </c>
      <c r="B650" s="51">
        <v>1.7482517482517485E-10</v>
      </c>
      <c r="C650" s="50" t="s">
        <v>104</v>
      </c>
      <c r="D650" s="50" t="s">
        <v>6</v>
      </c>
      <c r="F650" t="s">
        <v>18</v>
      </c>
      <c r="G650" s="51"/>
      <c r="H650" s="50" t="s">
        <v>176</v>
      </c>
    </row>
    <row r="651" spans="1:8" s="50" customFormat="1">
      <c r="A651" s="50" t="s">
        <v>157</v>
      </c>
      <c r="B651" s="51">
        <v>1.8410489510489514E-2</v>
      </c>
      <c r="C651" s="50" t="s">
        <v>104</v>
      </c>
      <c r="D651" s="50" t="s">
        <v>7</v>
      </c>
      <c r="F651" t="s">
        <v>18</v>
      </c>
      <c r="G651" s="51"/>
      <c r="H651" s="50" t="s">
        <v>157</v>
      </c>
    </row>
    <row r="652" spans="1:8" s="50" customFormat="1">
      <c r="A652" s="50" t="s">
        <v>158</v>
      </c>
      <c r="B652" s="51">
        <v>9.9769230769230777E-2</v>
      </c>
      <c r="C652" s="50" t="s">
        <v>104</v>
      </c>
      <c r="D652" s="50" t="s">
        <v>7</v>
      </c>
      <c r="F652" t="s">
        <v>18</v>
      </c>
      <c r="G652" s="51"/>
      <c r="H652" s="50" t="s">
        <v>158</v>
      </c>
    </row>
    <row r="653" spans="1:8" s="50" customFormat="1">
      <c r="A653" s="50" t="s">
        <v>159</v>
      </c>
      <c r="B653" s="51">
        <v>9.6503496503496506E-4</v>
      </c>
      <c r="C653" s="50" t="s">
        <v>103</v>
      </c>
      <c r="D653" s="50" t="s">
        <v>7</v>
      </c>
      <c r="F653" t="s">
        <v>18</v>
      </c>
      <c r="G653" s="51"/>
      <c r="H653" s="50" t="s">
        <v>177</v>
      </c>
    </row>
    <row r="654" spans="1:8" s="50" customFormat="1">
      <c r="A654" s="50" t="s">
        <v>160</v>
      </c>
      <c r="B654" s="51">
        <v>3.8355244755244758E-11</v>
      </c>
      <c r="C654" s="50" t="s">
        <v>104</v>
      </c>
      <c r="D654" s="50" t="s">
        <v>6</v>
      </c>
      <c r="F654" t="s">
        <v>18</v>
      </c>
      <c r="G654" s="51"/>
      <c r="H654" s="50" t="s">
        <v>178</v>
      </c>
    </row>
    <row r="655" spans="1:8" s="50" customFormat="1">
      <c r="A655" s="50" t="s">
        <v>161</v>
      </c>
      <c r="B655" s="51">
        <v>1.7736363636363638E-10</v>
      </c>
      <c r="C655" s="50" t="s">
        <v>104</v>
      </c>
      <c r="D655" s="50" t="s">
        <v>6</v>
      </c>
      <c r="F655" t="s">
        <v>18</v>
      </c>
      <c r="G655" s="51"/>
      <c r="H655" s="50" t="s">
        <v>179</v>
      </c>
    </row>
    <row r="656" spans="1:8" s="50" customFormat="1">
      <c r="A656" s="50" t="s">
        <v>162</v>
      </c>
      <c r="B656" s="51">
        <v>7.5587412587412603E-4</v>
      </c>
      <c r="C656" s="3" t="s">
        <v>266</v>
      </c>
      <c r="D656" s="50" t="s">
        <v>7</v>
      </c>
      <c r="F656" t="s">
        <v>18</v>
      </c>
      <c r="G656" s="51"/>
      <c r="H656" s="50" t="s">
        <v>180</v>
      </c>
    </row>
    <row r="657" spans="1:8" s="50" customFormat="1">
      <c r="A657" s="50" t="s">
        <v>163</v>
      </c>
      <c r="B657" s="51">
        <v>-2.277762237762238E-7</v>
      </c>
      <c r="C657" s="50" t="s">
        <v>24</v>
      </c>
      <c r="D657" s="50" t="s">
        <v>7</v>
      </c>
      <c r="F657" t="s">
        <v>18</v>
      </c>
      <c r="G657" s="51"/>
      <c r="H657" s="50" t="s">
        <v>181</v>
      </c>
    </row>
    <row r="658" spans="1:8" s="50" customFormat="1">
      <c r="A658" s="50" t="s">
        <v>164</v>
      </c>
      <c r="B658" s="51">
        <v>2.3505594405594406E-5</v>
      </c>
      <c r="C658" s="50" t="s">
        <v>103</v>
      </c>
      <c r="D658" s="50" t="s">
        <v>7</v>
      </c>
      <c r="F658" t="s">
        <v>18</v>
      </c>
      <c r="G658" s="51"/>
      <c r="H658" s="50" t="s">
        <v>182</v>
      </c>
    </row>
    <row r="659" spans="1:8" s="50" customFormat="1">
      <c r="A659" s="50" t="s">
        <v>81</v>
      </c>
      <c r="B659" s="51">
        <v>4.5658741258741264E-3</v>
      </c>
      <c r="C659" s="50" t="s">
        <v>103</v>
      </c>
      <c r="D659" s="50" t="s">
        <v>28</v>
      </c>
      <c r="F659" t="s">
        <v>18</v>
      </c>
      <c r="G659" s="51"/>
      <c r="H659" s="50" t="s">
        <v>82</v>
      </c>
    </row>
    <row r="660" spans="1:8" s="50" customFormat="1">
      <c r="A660" s="50" t="s">
        <v>165</v>
      </c>
      <c r="B660" s="51">
        <v>-9.2342657342657352E-3</v>
      </c>
      <c r="C660" s="50" t="s">
        <v>104</v>
      </c>
      <c r="D660" s="50" t="s">
        <v>7</v>
      </c>
      <c r="F660" t="s">
        <v>18</v>
      </c>
      <c r="G660" s="51"/>
      <c r="H660" s="50" t="s">
        <v>183</v>
      </c>
    </row>
    <row r="661" spans="1:8" s="50" customFormat="1">
      <c r="A661" s="50" t="s">
        <v>166</v>
      </c>
      <c r="B661" s="51">
        <v>0.60086013986013997</v>
      </c>
      <c r="C661" s="50" t="s">
        <v>104</v>
      </c>
      <c r="D661" s="50" t="s">
        <v>7</v>
      </c>
      <c r="F661" t="s">
        <v>18</v>
      </c>
      <c r="G661" s="51"/>
      <c r="H661" s="50" t="s">
        <v>184</v>
      </c>
    </row>
    <row r="662" spans="1:8" s="50" customFormat="1">
      <c r="A662" s="50" t="s">
        <v>187</v>
      </c>
      <c r="B662" s="51">
        <v>4.9705594405594411E-9</v>
      </c>
      <c r="D662" s="50" t="s">
        <v>7</v>
      </c>
      <c r="E662" s="50" t="s">
        <v>243</v>
      </c>
      <c r="F662" s="50" t="s">
        <v>27</v>
      </c>
      <c r="G662" s="51"/>
    </row>
    <row r="663" spans="1:8" s="50" customFormat="1">
      <c r="A663" s="50" t="s">
        <v>188</v>
      </c>
      <c r="B663" s="51">
        <v>4.411048951048952E-7</v>
      </c>
      <c r="D663" s="50" t="s">
        <v>7</v>
      </c>
      <c r="E663" s="50" t="s">
        <v>243</v>
      </c>
      <c r="F663" s="50" t="s">
        <v>27</v>
      </c>
      <c r="G663" s="51"/>
    </row>
    <row r="664" spans="1:8" s="50" customFormat="1">
      <c r="A664" s="50" t="s">
        <v>190</v>
      </c>
      <c r="B664" s="51">
        <v>9.5559440559440579E-9</v>
      </c>
      <c r="D664" s="50" t="s">
        <v>7</v>
      </c>
      <c r="E664" s="50" t="s">
        <v>243</v>
      </c>
      <c r="F664" s="50" t="s">
        <v>27</v>
      </c>
      <c r="G664" s="51"/>
    </row>
    <row r="665" spans="1:8" s="50" customFormat="1">
      <c r="A665" s="50" t="s">
        <v>192</v>
      </c>
      <c r="B665" s="51">
        <v>2.9103496503496509E-8</v>
      </c>
      <c r="D665" s="50" t="s">
        <v>7</v>
      </c>
      <c r="E665" s="50" t="s">
        <v>243</v>
      </c>
      <c r="F665" s="50" t="s">
        <v>27</v>
      </c>
      <c r="G665" s="51"/>
    </row>
    <row r="666" spans="1:8" s="50" customFormat="1">
      <c r="A666" s="50" t="s">
        <v>193</v>
      </c>
      <c r="B666" s="51">
        <v>6.0853846153846158E-11</v>
      </c>
      <c r="D666" s="50" t="s">
        <v>7</v>
      </c>
      <c r="E666" s="50" t="s">
        <v>243</v>
      </c>
      <c r="F666" s="50" t="s">
        <v>27</v>
      </c>
      <c r="G666" s="51"/>
    </row>
    <row r="667" spans="1:8" s="50" customFormat="1">
      <c r="A667" t="s">
        <v>477</v>
      </c>
      <c r="B667" s="51">
        <v>1.5376223776223777E-10</v>
      </c>
      <c r="D667" s="50" t="s">
        <v>7</v>
      </c>
      <c r="E667" s="50" t="s">
        <v>243</v>
      </c>
      <c r="F667" s="50" t="s">
        <v>27</v>
      </c>
      <c r="G667" s="51"/>
    </row>
    <row r="668" spans="1:8" s="50" customFormat="1">
      <c r="A668" s="50" t="s">
        <v>194</v>
      </c>
      <c r="B668" s="51">
        <v>6.4764335664335677E-13</v>
      </c>
      <c r="D668" s="50" t="s">
        <v>7</v>
      </c>
      <c r="E668" s="50" t="s">
        <v>243</v>
      </c>
      <c r="F668" s="50" t="s">
        <v>27</v>
      </c>
      <c r="G668" s="51"/>
    </row>
    <row r="669" spans="1:8" s="50" customFormat="1">
      <c r="A669" s="50" t="s">
        <v>195</v>
      </c>
      <c r="B669" s="51">
        <v>1.8279720279720282E-9</v>
      </c>
      <c r="D669" s="50" t="s">
        <v>7</v>
      </c>
      <c r="E669" s="50" t="s">
        <v>243</v>
      </c>
      <c r="F669" s="50" t="s">
        <v>27</v>
      </c>
      <c r="G669" s="51"/>
    </row>
    <row r="670" spans="1:8" s="50" customFormat="1">
      <c r="A670" s="50" t="s">
        <v>196</v>
      </c>
      <c r="B670" s="51">
        <v>4.2903496503496513E-11</v>
      </c>
      <c r="D670" s="50" t="s">
        <v>7</v>
      </c>
      <c r="E670" s="50" t="s">
        <v>243</v>
      </c>
      <c r="F670" s="50" t="s">
        <v>27</v>
      </c>
      <c r="G670" s="51"/>
    </row>
    <row r="671" spans="1:8" s="50" customFormat="1">
      <c r="A671" s="50" t="s">
        <v>247</v>
      </c>
      <c r="B671" s="51">
        <v>1.0464335664335666E-4</v>
      </c>
      <c r="D671" s="50" t="s">
        <v>7</v>
      </c>
      <c r="E671" s="50" t="s">
        <v>243</v>
      </c>
      <c r="F671" s="50" t="s">
        <v>27</v>
      </c>
      <c r="G671" s="51"/>
    </row>
    <row r="672" spans="1:8" s="50" customFormat="1">
      <c r="A672" s="50" t="s">
        <v>134</v>
      </c>
      <c r="B672" s="51">
        <v>0.36093706293706301</v>
      </c>
      <c r="D672" s="50" t="s">
        <v>7</v>
      </c>
      <c r="E672" s="50" t="s">
        <v>243</v>
      </c>
      <c r="F672" s="50" t="s">
        <v>27</v>
      </c>
      <c r="G672" s="51"/>
    </row>
    <row r="673" spans="1:7" s="50" customFormat="1">
      <c r="A673" s="50" t="s">
        <v>248</v>
      </c>
      <c r="B673" s="51">
        <v>4.9472027972027977E-5</v>
      </c>
      <c r="D673" s="50" t="s">
        <v>7</v>
      </c>
      <c r="E673" s="50" t="s">
        <v>243</v>
      </c>
      <c r="F673" s="50" t="s">
        <v>27</v>
      </c>
      <c r="G673" s="51"/>
    </row>
    <row r="674" spans="1:7" s="50" customFormat="1">
      <c r="A674" s="50" t="s">
        <v>198</v>
      </c>
      <c r="B674" s="51">
        <v>4.2609090909090916E-9</v>
      </c>
      <c r="D674" s="50" t="s">
        <v>7</v>
      </c>
      <c r="E674" s="50" t="s">
        <v>243</v>
      </c>
      <c r="F674" s="50" t="s">
        <v>27</v>
      </c>
      <c r="G674" s="51"/>
    </row>
    <row r="675" spans="1:7" s="50" customFormat="1">
      <c r="A675" s="50" t="s">
        <v>199</v>
      </c>
      <c r="B675" s="51">
        <v>5.5464335664335672E-9</v>
      </c>
      <c r="D675" s="50" t="s">
        <v>7</v>
      </c>
      <c r="E675" s="50" t="s">
        <v>243</v>
      </c>
      <c r="F675" s="50" t="s">
        <v>27</v>
      </c>
      <c r="G675" s="51"/>
    </row>
    <row r="676" spans="1:7" s="50" customFormat="1">
      <c r="A676" s="50" t="s">
        <v>200</v>
      </c>
      <c r="B676" s="51">
        <v>1.0055944055944057E-9</v>
      </c>
      <c r="D676" s="50" t="s">
        <v>7</v>
      </c>
      <c r="E676" s="50" t="s">
        <v>243</v>
      </c>
      <c r="F676" s="50" t="s">
        <v>27</v>
      </c>
      <c r="G676" s="51"/>
    </row>
    <row r="677" spans="1:7" s="50" customFormat="1">
      <c r="A677" s="50" t="s">
        <v>201</v>
      </c>
      <c r="B677" s="51">
        <v>7.8174825174825175E-6</v>
      </c>
      <c r="D677" s="50" t="s">
        <v>7</v>
      </c>
      <c r="E677" s="50" t="s">
        <v>243</v>
      </c>
      <c r="F677" s="50" t="s">
        <v>27</v>
      </c>
      <c r="G677" s="51"/>
    </row>
    <row r="678" spans="1:7" s="50" customFormat="1">
      <c r="A678" s="50" t="s">
        <v>202</v>
      </c>
      <c r="B678" s="51">
        <v>3.6388811188811196E-5</v>
      </c>
      <c r="D678" s="50" t="s">
        <v>7</v>
      </c>
      <c r="E678" s="50" t="s">
        <v>243</v>
      </c>
      <c r="F678" s="50" t="s">
        <v>27</v>
      </c>
      <c r="G678" s="51"/>
    </row>
    <row r="679" spans="1:7" s="50" customFormat="1">
      <c r="A679" s="50" t="s">
        <v>203</v>
      </c>
      <c r="B679" s="51">
        <v>5.8202797202797208E-14</v>
      </c>
      <c r="D679" s="50" t="s">
        <v>7</v>
      </c>
      <c r="E679" s="50" t="s">
        <v>243</v>
      </c>
      <c r="F679" s="50" t="s">
        <v>27</v>
      </c>
      <c r="G679" s="51"/>
    </row>
    <row r="680" spans="1:7" s="50" customFormat="1">
      <c r="A680" s="50" t="s">
        <v>204</v>
      </c>
      <c r="B680" s="51">
        <v>3.107412587412588</v>
      </c>
      <c r="D680" s="50" t="s">
        <v>17</v>
      </c>
      <c r="E680" s="50" t="s">
        <v>243</v>
      </c>
      <c r="F680" s="50" t="s">
        <v>27</v>
      </c>
      <c r="G680" s="51"/>
    </row>
    <row r="681" spans="1:7" s="50" customFormat="1">
      <c r="A681" s="50" t="s">
        <v>205</v>
      </c>
      <c r="B681" s="51">
        <v>1.3922377622377623E-6</v>
      </c>
      <c r="D681" s="50" t="s">
        <v>7</v>
      </c>
      <c r="E681" s="50" t="s">
        <v>243</v>
      </c>
      <c r="F681" s="50" t="s">
        <v>27</v>
      </c>
      <c r="G681" s="51"/>
    </row>
    <row r="682" spans="1:7" s="50" customFormat="1">
      <c r="A682" s="50" t="s">
        <v>206</v>
      </c>
      <c r="B682" s="51">
        <v>8.2300699300699306E-7</v>
      </c>
      <c r="D682" s="50" t="s">
        <v>7</v>
      </c>
      <c r="E682" s="50" t="s">
        <v>243</v>
      </c>
      <c r="F682" s="50" t="s">
        <v>27</v>
      </c>
      <c r="G682" s="51"/>
    </row>
    <row r="683" spans="1:7" s="50" customFormat="1">
      <c r="A683" s="50" t="s">
        <v>249</v>
      </c>
      <c r="B683" s="51">
        <v>1.8618881118881121E-11</v>
      </c>
      <c r="D683" s="50" t="s">
        <v>7</v>
      </c>
      <c r="E683" s="50" t="s">
        <v>243</v>
      </c>
      <c r="F683" s="50" t="s">
        <v>27</v>
      </c>
      <c r="G683" s="51"/>
    </row>
    <row r="684" spans="1:7" s="50" customFormat="1">
      <c r="A684" s="50" t="s">
        <v>207</v>
      </c>
      <c r="B684" s="51">
        <v>6.5587412587412601E-10</v>
      </c>
      <c r="D684" s="50" t="s">
        <v>7</v>
      </c>
      <c r="E684" s="50" t="s">
        <v>243</v>
      </c>
      <c r="F684" s="50" t="s">
        <v>27</v>
      </c>
      <c r="G684" s="51"/>
    </row>
    <row r="685" spans="1:7" s="50" customFormat="1">
      <c r="A685" s="50" t="s">
        <v>208</v>
      </c>
      <c r="B685" s="51">
        <v>9.3265734265734285E-10</v>
      </c>
      <c r="D685" s="50" t="s">
        <v>7</v>
      </c>
      <c r="E685" s="50" t="s">
        <v>243</v>
      </c>
      <c r="F685" s="50" t="s">
        <v>27</v>
      </c>
      <c r="G685" s="51"/>
    </row>
    <row r="686" spans="1:7" s="50" customFormat="1">
      <c r="A686" s="50" t="s">
        <v>250</v>
      </c>
      <c r="B686" s="51">
        <v>1.8142657342657345E-6</v>
      </c>
      <c r="D686" s="50" t="s">
        <v>7</v>
      </c>
      <c r="E686" s="50" t="s">
        <v>243</v>
      </c>
      <c r="F686" s="50" t="s">
        <v>27</v>
      </c>
      <c r="G686" s="51"/>
    </row>
    <row r="687" spans="1:7" s="50" customFormat="1">
      <c r="A687" s="50" t="s">
        <v>209</v>
      </c>
      <c r="B687" s="51">
        <v>5.0088811188811199E-10</v>
      </c>
      <c r="D687" s="50" t="s">
        <v>7</v>
      </c>
      <c r="E687" s="50" t="s">
        <v>243</v>
      </c>
      <c r="F687" s="50" t="s">
        <v>27</v>
      </c>
      <c r="G687" s="51"/>
    </row>
    <row r="688" spans="1:7" s="50" customFormat="1">
      <c r="A688" s="50" t="s">
        <v>210</v>
      </c>
      <c r="B688" s="51">
        <v>1.2105594405594406E-9</v>
      </c>
      <c r="D688" s="50" t="s">
        <v>7</v>
      </c>
      <c r="E688" s="50" t="s">
        <v>243</v>
      </c>
      <c r="F688" s="50" t="s">
        <v>27</v>
      </c>
      <c r="G688" s="51"/>
    </row>
    <row r="689" spans="1:7" s="50" customFormat="1">
      <c r="A689" s="50" t="s">
        <v>251</v>
      </c>
      <c r="B689" s="51">
        <v>4.365524475524476E-7</v>
      </c>
      <c r="D689" s="50" t="s">
        <v>7</v>
      </c>
      <c r="E689" s="50" t="s">
        <v>243</v>
      </c>
      <c r="F689" s="50" t="s">
        <v>27</v>
      </c>
      <c r="G689" s="51"/>
    </row>
    <row r="690" spans="1:7" s="50" customFormat="1">
      <c r="A690" s="50" t="s">
        <v>252</v>
      </c>
      <c r="B690" s="51">
        <v>3.2102097902097908E-10</v>
      </c>
      <c r="D690" s="50" t="s">
        <v>7</v>
      </c>
      <c r="E690" s="50" t="s">
        <v>243</v>
      </c>
      <c r="F690" s="50" t="s">
        <v>27</v>
      </c>
      <c r="G690" s="51"/>
    </row>
    <row r="691" spans="1:7" s="50" customFormat="1">
      <c r="A691" s="50" t="s">
        <v>212</v>
      </c>
      <c r="B691" s="51">
        <v>1.3244755244755246E-6</v>
      </c>
      <c r="D691" s="50" t="s">
        <v>7</v>
      </c>
      <c r="E691" s="50" t="s">
        <v>243</v>
      </c>
      <c r="F691" s="50" t="s">
        <v>27</v>
      </c>
      <c r="G691" s="51"/>
    </row>
    <row r="692" spans="1:7" s="50" customFormat="1">
      <c r="A692" s="50" t="s">
        <v>213</v>
      </c>
      <c r="B692" s="51">
        <v>4.1529370629370632E-9</v>
      </c>
      <c r="D692" s="50" t="s">
        <v>7</v>
      </c>
      <c r="E692" s="50" t="s">
        <v>243</v>
      </c>
      <c r="F692" s="50" t="s">
        <v>27</v>
      </c>
      <c r="G692" s="51"/>
    </row>
    <row r="693" spans="1:7" s="50" customFormat="1">
      <c r="A693" s="50" t="s">
        <v>214</v>
      </c>
      <c r="B693" s="51">
        <v>1.3968531468531471E-4</v>
      </c>
      <c r="D693" s="50" t="s">
        <v>7</v>
      </c>
      <c r="E693" s="50" t="s">
        <v>243</v>
      </c>
      <c r="F693" s="50" t="s">
        <v>27</v>
      </c>
      <c r="G693" s="51"/>
    </row>
    <row r="694" spans="1:7" s="50" customFormat="1">
      <c r="A694" s="50" t="s">
        <v>215</v>
      </c>
      <c r="B694" s="51">
        <v>3.4746853146853147E-6</v>
      </c>
      <c r="D694" s="50" t="s">
        <v>7</v>
      </c>
      <c r="E694" s="50" t="s">
        <v>243</v>
      </c>
      <c r="F694" s="50" t="s">
        <v>27</v>
      </c>
      <c r="G694" s="51"/>
    </row>
    <row r="695" spans="1:7" s="50" customFormat="1">
      <c r="A695" s="50" t="s">
        <v>216</v>
      </c>
      <c r="B695" s="51">
        <v>1.7460839160839164E-8</v>
      </c>
      <c r="D695" s="50" t="s">
        <v>7</v>
      </c>
      <c r="E695" s="50" t="s">
        <v>243</v>
      </c>
      <c r="F695" s="50" t="s">
        <v>27</v>
      </c>
      <c r="G695" s="51"/>
    </row>
    <row r="696" spans="1:7" s="50" customFormat="1">
      <c r="A696" s="50" t="s">
        <v>217</v>
      </c>
      <c r="B696" s="51">
        <v>1.2674125874125875E-11</v>
      </c>
      <c r="D696" s="50" t="s">
        <v>7</v>
      </c>
      <c r="E696" s="50" t="s">
        <v>243</v>
      </c>
      <c r="F696" s="50" t="s">
        <v>27</v>
      </c>
      <c r="G696" s="51"/>
    </row>
    <row r="697" spans="1:7" s="50" customFormat="1">
      <c r="A697" s="50" t="s">
        <v>253</v>
      </c>
      <c r="B697" s="51">
        <v>7.004195804195805E-7</v>
      </c>
      <c r="D697" s="50" t="s">
        <v>7</v>
      </c>
      <c r="E697" s="50" t="s">
        <v>243</v>
      </c>
      <c r="F697" s="50" t="s">
        <v>27</v>
      </c>
      <c r="G697" s="51"/>
    </row>
    <row r="698" spans="1:7" s="50" customFormat="1">
      <c r="A698" s="50" t="s">
        <v>254</v>
      </c>
      <c r="B698" s="51">
        <v>1.0546853146853148E-5</v>
      </c>
      <c r="D698" s="50" t="s">
        <v>7</v>
      </c>
      <c r="E698" s="50" t="s">
        <v>243</v>
      </c>
      <c r="F698" s="50" t="s">
        <v>27</v>
      </c>
      <c r="G698" s="51"/>
    </row>
    <row r="699" spans="1:7" s="50" customFormat="1">
      <c r="A699" s="50" t="s">
        <v>218</v>
      </c>
      <c r="B699" s="51">
        <v>3.6365034965034971E-9</v>
      </c>
      <c r="D699" s="50" t="s">
        <v>7</v>
      </c>
      <c r="E699" s="50" t="s">
        <v>243</v>
      </c>
      <c r="F699" s="50" t="s">
        <v>27</v>
      </c>
      <c r="G699" s="51"/>
    </row>
    <row r="700" spans="1:7" s="50" customFormat="1">
      <c r="A700" s="50" t="s">
        <v>238</v>
      </c>
      <c r="B700" s="51">
        <v>3.7981118881118882E-8</v>
      </c>
      <c r="D700" s="50" t="s">
        <v>7</v>
      </c>
      <c r="E700" s="50" t="s">
        <v>243</v>
      </c>
      <c r="F700" s="50" t="s">
        <v>27</v>
      </c>
      <c r="G700" s="51"/>
    </row>
    <row r="701" spans="1:7" s="50" customFormat="1">
      <c r="A701" s="50" t="s">
        <v>219</v>
      </c>
      <c r="B701" s="51">
        <v>7.511888111888113E-6</v>
      </c>
      <c r="D701" s="50" t="s">
        <v>7</v>
      </c>
      <c r="E701" s="50" t="s">
        <v>243</v>
      </c>
      <c r="F701" s="50" t="s">
        <v>27</v>
      </c>
      <c r="G701" s="51"/>
    </row>
    <row r="702" spans="1:7" s="50" customFormat="1">
      <c r="A702" s="50" t="s">
        <v>221</v>
      </c>
      <c r="B702" s="51">
        <v>9.7251748251748252E-6</v>
      </c>
      <c r="D702" s="50" t="s">
        <v>7</v>
      </c>
      <c r="E702" s="50" t="s">
        <v>243</v>
      </c>
      <c r="F702" s="50" t="s">
        <v>27</v>
      </c>
      <c r="G702" s="51"/>
    </row>
    <row r="703" spans="1:7" s="50" customFormat="1">
      <c r="A703" s="50" t="s">
        <v>223</v>
      </c>
      <c r="B703" s="51">
        <v>3.1858041958041962E-12</v>
      </c>
      <c r="D703" s="50" t="s">
        <v>7</v>
      </c>
      <c r="E703" s="50" t="s">
        <v>243</v>
      </c>
      <c r="F703" s="50" t="s">
        <v>27</v>
      </c>
      <c r="G703" s="51"/>
    </row>
    <row r="704" spans="1:7" s="50" customFormat="1">
      <c r="A704" s="50" t="s">
        <v>225</v>
      </c>
      <c r="B704" s="51">
        <v>5.8206293706293714E-8</v>
      </c>
      <c r="D704" s="50" t="s">
        <v>7</v>
      </c>
      <c r="E704" s="50" t="s">
        <v>243</v>
      </c>
      <c r="F704" s="50" t="s">
        <v>27</v>
      </c>
      <c r="G704" s="51"/>
    </row>
    <row r="705" spans="1:7" s="50" customFormat="1">
      <c r="A705" s="50" t="s">
        <v>226</v>
      </c>
      <c r="B705" s="51">
        <v>3.8789510489510493E-8</v>
      </c>
      <c r="D705" s="50" t="s">
        <v>7</v>
      </c>
      <c r="E705" s="50" t="s">
        <v>243</v>
      </c>
      <c r="F705" s="50" t="s">
        <v>27</v>
      </c>
      <c r="G705" s="51"/>
    </row>
    <row r="706" spans="1:7" s="50" customFormat="1">
      <c r="A706" s="50" t="s">
        <v>227</v>
      </c>
      <c r="B706" s="51">
        <v>9.4743286713286736E-4</v>
      </c>
      <c r="D706" s="50" t="s">
        <v>37</v>
      </c>
      <c r="E706" s="50" t="s">
        <v>243</v>
      </c>
      <c r="F706" s="50" t="s">
        <v>27</v>
      </c>
      <c r="G706" s="51"/>
    </row>
    <row r="707" spans="1:7" s="50" customFormat="1">
      <c r="A707" s="50" t="s">
        <v>228</v>
      </c>
      <c r="B707" s="51">
        <v>2.3809790209790214E-8</v>
      </c>
      <c r="D707" s="50" t="s">
        <v>7</v>
      </c>
      <c r="E707" s="50" t="s">
        <v>243</v>
      </c>
      <c r="F707" s="50" t="s">
        <v>27</v>
      </c>
      <c r="G707" s="51"/>
    </row>
    <row r="708" spans="1:7" s="50" customFormat="1">
      <c r="A708" s="50" t="s">
        <v>187</v>
      </c>
      <c r="B708" s="51">
        <v>4.706363636363637E-3</v>
      </c>
      <c r="D708" s="50" t="s">
        <v>7</v>
      </c>
      <c r="E708" s="50" t="s">
        <v>244</v>
      </c>
      <c r="F708" s="50" t="s">
        <v>27</v>
      </c>
      <c r="G708" s="51"/>
    </row>
    <row r="709" spans="1:7" s="50" customFormat="1">
      <c r="A709" s="50" t="s">
        <v>187</v>
      </c>
      <c r="B709" s="51">
        <v>4.5281818181818191E-7</v>
      </c>
      <c r="D709" s="50" t="s">
        <v>7</v>
      </c>
      <c r="E709" s="50" t="s">
        <v>245</v>
      </c>
      <c r="F709" s="50" t="s">
        <v>27</v>
      </c>
      <c r="G709" s="51"/>
    </row>
    <row r="710" spans="1:7" s="50" customFormat="1">
      <c r="A710" s="50" t="s">
        <v>189</v>
      </c>
      <c r="B710" s="51">
        <v>5.6463636363636367E-10</v>
      </c>
      <c r="D710" s="50" t="s">
        <v>7</v>
      </c>
      <c r="E710" s="50" t="s">
        <v>244</v>
      </c>
      <c r="F710" s="50" t="s">
        <v>27</v>
      </c>
      <c r="G710" s="51"/>
    </row>
    <row r="711" spans="1:7" s="50" customFormat="1">
      <c r="A711" s="50" t="s">
        <v>189</v>
      </c>
      <c r="B711" s="51">
        <v>3.0760139860139866E-10</v>
      </c>
      <c r="D711" s="50" t="s">
        <v>7</v>
      </c>
      <c r="E711" s="50" t="s">
        <v>245</v>
      </c>
      <c r="F711" s="50" t="s">
        <v>27</v>
      </c>
      <c r="G711" s="51"/>
    </row>
    <row r="712" spans="1:7" s="50" customFormat="1">
      <c r="A712" s="50" t="s">
        <v>190</v>
      </c>
      <c r="B712" s="51">
        <v>7.437062937062938E-7</v>
      </c>
      <c r="D712" s="50" t="s">
        <v>7</v>
      </c>
      <c r="E712" s="50" t="s">
        <v>244</v>
      </c>
      <c r="F712" s="50" t="s">
        <v>27</v>
      </c>
      <c r="G712" s="51"/>
    </row>
    <row r="713" spans="1:7" s="50" customFormat="1">
      <c r="A713" s="50" t="s">
        <v>190</v>
      </c>
      <c r="B713" s="51">
        <v>4.8996503496503498E-7</v>
      </c>
      <c r="D713" s="50" t="s">
        <v>7</v>
      </c>
      <c r="E713" s="50" t="s">
        <v>245</v>
      </c>
      <c r="F713" s="50" t="s">
        <v>27</v>
      </c>
      <c r="G713" s="51"/>
    </row>
    <row r="714" spans="1:7" s="50" customFormat="1">
      <c r="A714" s="50" t="s">
        <v>229</v>
      </c>
      <c r="B714" s="51">
        <v>2.4010489510489514E-4</v>
      </c>
      <c r="D714" s="50" t="s">
        <v>7</v>
      </c>
      <c r="E714" s="50" t="s">
        <v>244</v>
      </c>
      <c r="F714" s="50" t="s">
        <v>27</v>
      </c>
      <c r="G714" s="51"/>
    </row>
    <row r="715" spans="1:7" s="50" customFormat="1">
      <c r="A715" s="50" t="s">
        <v>229</v>
      </c>
      <c r="B715" s="51">
        <v>7.3692307692307694E-5</v>
      </c>
      <c r="D715" s="50" t="s">
        <v>7</v>
      </c>
      <c r="E715" s="50" t="s">
        <v>245</v>
      </c>
      <c r="F715" s="50" t="s">
        <v>27</v>
      </c>
      <c r="G715" s="51"/>
    </row>
    <row r="716" spans="1:7" s="50" customFormat="1">
      <c r="A716" s="50" t="s">
        <v>255</v>
      </c>
      <c r="B716" s="51">
        <v>5.1578321678321687E-6</v>
      </c>
      <c r="D716" s="50" t="s">
        <v>7</v>
      </c>
      <c r="E716" s="50" t="s">
        <v>244</v>
      </c>
      <c r="F716" s="50" t="s">
        <v>27</v>
      </c>
      <c r="G716" s="51"/>
    </row>
    <row r="717" spans="1:7" s="50" customFormat="1">
      <c r="A717" s="50" t="s">
        <v>255</v>
      </c>
      <c r="B717" s="51">
        <v>6.4692307692307698E-8</v>
      </c>
      <c r="D717" s="50" t="s">
        <v>7</v>
      </c>
      <c r="E717" s="50" t="s">
        <v>245</v>
      </c>
      <c r="F717" s="50" t="s">
        <v>27</v>
      </c>
      <c r="G717" s="51"/>
    </row>
    <row r="718" spans="1:7" s="50" customFormat="1">
      <c r="A718" s="50" t="s">
        <v>195</v>
      </c>
      <c r="B718" s="51">
        <v>1.8972027972027975E-7</v>
      </c>
      <c r="D718" s="50" t="s">
        <v>7</v>
      </c>
      <c r="E718" s="50" t="s">
        <v>244</v>
      </c>
      <c r="F718" s="50" t="s">
        <v>27</v>
      </c>
      <c r="G718" s="51"/>
    </row>
    <row r="719" spans="1:7" s="50" customFormat="1">
      <c r="A719" s="50" t="s">
        <v>195</v>
      </c>
      <c r="B719" s="51">
        <v>3.3958741258741262E-6</v>
      </c>
      <c r="D719" s="50" t="s">
        <v>7</v>
      </c>
      <c r="E719" s="50" t="s">
        <v>245</v>
      </c>
      <c r="F719" s="50" t="s">
        <v>27</v>
      </c>
      <c r="G719" s="51"/>
    </row>
    <row r="720" spans="1:7" s="50" customFormat="1">
      <c r="A720" s="50" t="s">
        <v>231</v>
      </c>
      <c r="B720" s="51">
        <v>7.3405594405594415E-4</v>
      </c>
      <c r="D720" s="50" t="s">
        <v>7</v>
      </c>
      <c r="E720" s="50" t="s">
        <v>244</v>
      </c>
      <c r="F720" s="50" t="s">
        <v>27</v>
      </c>
      <c r="G720" s="51"/>
    </row>
    <row r="721" spans="1:7" s="50" customFormat="1">
      <c r="A721" s="50" t="s">
        <v>231</v>
      </c>
      <c r="B721" s="51">
        <v>7.5300699300699311E-5</v>
      </c>
      <c r="D721" s="50" t="s">
        <v>7</v>
      </c>
      <c r="E721" s="50" t="s">
        <v>245</v>
      </c>
      <c r="F721" s="50" t="s">
        <v>27</v>
      </c>
      <c r="G721" s="51"/>
    </row>
    <row r="722" spans="1:7" s="50" customFormat="1">
      <c r="A722" s="50" t="s">
        <v>196</v>
      </c>
      <c r="B722" s="51">
        <v>1.3500000000000002E-8</v>
      </c>
      <c r="D722" s="50" t="s">
        <v>7</v>
      </c>
      <c r="E722" s="50" t="s">
        <v>244</v>
      </c>
      <c r="F722" s="50" t="s">
        <v>27</v>
      </c>
      <c r="G722" s="51"/>
    </row>
    <row r="723" spans="1:7" s="50" customFormat="1">
      <c r="A723" s="50" t="s">
        <v>196</v>
      </c>
      <c r="B723" s="51">
        <v>1.4969230769230771E-11</v>
      </c>
      <c r="D723" s="50" t="s">
        <v>7</v>
      </c>
      <c r="E723" s="50" t="s">
        <v>245</v>
      </c>
      <c r="F723" s="50" t="s">
        <v>27</v>
      </c>
      <c r="G723" s="51"/>
    </row>
    <row r="724" spans="1:7" s="50" customFormat="1">
      <c r="A724" s="50" t="s">
        <v>232</v>
      </c>
      <c r="B724" s="51">
        <v>1.1287412587412587E-2</v>
      </c>
      <c r="D724" s="50" t="s">
        <v>7</v>
      </c>
      <c r="E724" s="50" t="s">
        <v>244</v>
      </c>
      <c r="F724" s="50" t="s">
        <v>27</v>
      </c>
      <c r="G724" s="51"/>
    </row>
    <row r="725" spans="1:7" s="50" customFormat="1">
      <c r="A725" s="50" t="s">
        <v>232</v>
      </c>
      <c r="B725" s="51">
        <v>2.3899300699300701E-4</v>
      </c>
      <c r="D725" s="50" t="s">
        <v>7</v>
      </c>
      <c r="E725" s="50" t="s">
        <v>245</v>
      </c>
      <c r="F725" s="50" t="s">
        <v>27</v>
      </c>
      <c r="G725" s="51"/>
    </row>
    <row r="726" spans="1:7" s="50" customFormat="1">
      <c r="A726" s="50" t="s">
        <v>233</v>
      </c>
      <c r="B726" s="51">
        <v>3.0732167832167839E-4</v>
      </c>
      <c r="D726" s="50" t="s">
        <v>7</v>
      </c>
      <c r="E726" s="50" t="s">
        <v>244</v>
      </c>
      <c r="F726" s="50" t="s">
        <v>27</v>
      </c>
      <c r="G726" s="51"/>
    </row>
    <row r="727" spans="1:7" s="50" customFormat="1">
      <c r="A727" s="50" t="s">
        <v>233</v>
      </c>
      <c r="B727" s="51">
        <v>2.0723076923076927E-3</v>
      </c>
      <c r="D727" s="50" t="s">
        <v>7</v>
      </c>
      <c r="E727" s="50" t="s">
        <v>245</v>
      </c>
      <c r="F727" s="50" t="s">
        <v>27</v>
      </c>
      <c r="G727" s="51"/>
    </row>
    <row r="728" spans="1:7" s="50" customFormat="1">
      <c r="A728" s="50" t="s">
        <v>198</v>
      </c>
      <c r="B728" s="51">
        <v>6.3348951048951054E-10</v>
      </c>
      <c r="D728" s="50" t="s">
        <v>7</v>
      </c>
      <c r="E728" s="50" t="s">
        <v>245</v>
      </c>
      <c r="F728" s="50" t="s">
        <v>27</v>
      </c>
      <c r="G728" s="51"/>
    </row>
    <row r="729" spans="1:7" s="50" customFormat="1">
      <c r="A729" s="50" t="s">
        <v>234</v>
      </c>
      <c r="B729" s="51">
        <v>2.7811188811188814E-7</v>
      </c>
      <c r="D729" s="50" t="s">
        <v>7</v>
      </c>
      <c r="E729" s="50" t="s">
        <v>244</v>
      </c>
      <c r="F729" s="50" t="s">
        <v>27</v>
      </c>
      <c r="G729" s="51"/>
    </row>
    <row r="730" spans="1:7" s="50" customFormat="1">
      <c r="A730" s="50" t="s">
        <v>234</v>
      </c>
      <c r="B730" s="51">
        <v>8.0622377622377625E-8</v>
      </c>
      <c r="D730" s="50" t="s">
        <v>7</v>
      </c>
      <c r="E730" s="50" t="s">
        <v>245</v>
      </c>
      <c r="F730" s="50" t="s">
        <v>27</v>
      </c>
      <c r="G730" s="51"/>
    </row>
    <row r="731" spans="1:7" s="50" customFormat="1">
      <c r="A731" s="50" t="s">
        <v>199</v>
      </c>
      <c r="B731" s="51">
        <v>2.6705594405594408E-6</v>
      </c>
      <c r="D731" s="50" t="s">
        <v>7</v>
      </c>
      <c r="E731" s="50" t="s">
        <v>244</v>
      </c>
      <c r="F731" s="50" t="s">
        <v>27</v>
      </c>
      <c r="G731" s="51"/>
    </row>
    <row r="732" spans="1:7" s="50" customFormat="1">
      <c r="A732" s="50" t="s">
        <v>199</v>
      </c>
      <c r="B732" s="51">
        <v>5.068111888111889E-10</v>
      </c>
      <c r="D732" s="50" t="s">
        <v>7</v>
      </c>
      <c r="E732" s="50" t="s">
        <v>245</v>
      </c>
      <c r="F732" s="50" t="s">
        <v>27</v>
      </c>
      <c r="G732" s="51"/>
    </row>
    <row r="733" spans="1:7" s="50" customFormat="1">
      <c r="A733" s="50" t="s">
        <v>200</v>
      </c>
      <c r="B733" s="51">
        <v>1.0344755244755247E-5</v>
      </c>
      <c r="D733" s="50" t="s">
        <v>7</v>
      </c>
      <c r="E733" s="50" t="s">
        <v>244</v>
      </c>
      <c r="F733" s="50" t="s">
        <v>27</v>
      </c>
      <c r="G733" s="51"/>
    </row>
    <row r="734" spans="1:7" s="50" customFormat="1">
      <c r="A734" s="50" t="s">
        <v>200</v>
      </c>
      <c r="B734" s="51">
        <v>9.5223776223776237E-10</v>
      </c>
      <c r="D734" s="50" t="s">
        <v>7</v>
      </c>
      <c r="E734" s="50" t="s">
        <v>245</v>
      </c>
      <c r="F734" s="50" t="s">
        <v>27</v>
      </c>
      <c r="G734" s="51"/>
    </row>
    <row r="735" spans="1:7" s="50" customFormat="1">
      <c r="A735" s="50" t="s">
        <v>235</v>
      </c>
      <c r="B735" s="51">
        <v>2.9046153846153848E-4</v>
      </c>
      <c r="D735" s="50" t="s">
        <v>7</v>
      </c>
      <c r="E735" s="50" t="s">
        <v>244</v>
      </c>
      <c r="F735" s="50" t="s">
        <v>27</v>
      </c>
      <c r="G735" s="51"/>
    </row>
    <row r="736" spans="1:7" s="50" customFormat="1">
      <c r="A736" s="50" t="s">
        <v>235</v>
      </c>
      <c r="B736" s="51">
        <v>3.2845454545454547E-5</v>
      </c>
      <c r="D736" s="50" t="s">
        <v>7</v>
      </c>
      <c r="E736" s="50" t="s">
        <v>245</v>
      </c>
      <c r="F736" s="50" t="s">
        <v>27</v>
      </c>
      <c r="G736" s="51"/>
    </row>
    <row r="737" spans="1:7" s="50" customFormat="1">
      <c r="A737" s="50" t="s">
        <v>236</v>
      </c>
      <c r="B737" s="51">
        <v>8.1384615384615396E-5</v>
      </c>
      <c r="D737" s="50" t="s">
        <v>7</v>
      </c>
      <c r="E737" s="50" t="s">
        <v>244</v>
      </c>
      <c r="F737" s="50" t="s">
        <v>27</v>
      </c>
      <c r="G737" s="51"/>
    </row>
    <row r="738" spans="1:7" s="50" customFormat="1">
      <c r="A738" s="50" t="s">
        <v>236</v>
      </c>
      <c r="B738" s="51">
        <v>3.5504195804195805E-5</v>
      </c>
      <c r="D738" s="50" t="s">
        <v>7</v>
      </c>
      <c r="E738" s="50" t="s">
        <v>245</v>
      </c>
      <c r="F738" s="50" t="s">
        <v>27</v>
      </c>
      <c r="G738" s="51"/>
    </row>
    <row r="739" spans="1:7" s="50" customFormat="1">
      <c r="A739" s="50" t="s">
        <v>204</v>
      </c>
      <c r="B739" s="51">
        <v>1.0427272727272729</v>
      </c>
      <c r="D739" s="50" t="s">
        <v>17</v>
      </c>
      <c r="E739" s="50" t="s">
        <v>245</v>
      </c>
      <c r="F739" s="50" t="s">
        <v>27</v>
      </c>
      <c r="G739" s="51"/>
    </row>
    <row r="740" spans="1:7" s="50" customFormat="1">
      <c r="A740" s="50" t="s">
        <v>256</v>
      </c>
      <c r="B740" s="51">
        <v>6.2913986013986024E-16</v>
      </c>
      <c r="D740" s="50" t="s">
        <v>7</v>
      </c>
      <c r="E740" s="50" t="s">
        <v>244</v>
      </c>
      <c r="F740" s="50" t="s">
        <v>27</v>
      </c>
      <c r="G740" s="51"/>
    </row>
    <row r="741" spans="1:7" s="50" customFormat="1">
      <c r="A741" s="50" t="s">
        <v>256</v>
      </c>
      <c r="B741" s="51">
        <v>3.2719580419580427E-8</v>
      </c>
      <c r="D741" s="50" t="s">
        <v>7</v>
      </c>
      <c r="E741" s="50" t="s">
        <v>245</v>
      </c>
      <c r="F741" s="50" t="s">
        <v>27</v>
      </c>
      <c r="G741" s="51"/>
    </row>
    <row r="742" spans="1:7" s="50" customFormat="1">
      <c r="A742" s="50" t="s">
        <v>207</v>
      </c>
      <c r="B742" s="51">
        <v>1.8768531468531472E-4</v>
      </c>
      <c r="D742" s="50" t="s">
        <v>7</v>
      </c>
      <c r="E742" s="50" t="s">
        <v>244</v>
      </c>
      <c r="F742" s="50" t="s">
        <v>27</v>
      </c>
      <c r="G742" s="51"/>
    </row>
    <row r="743" spans="1:7" s="50" customFormat="1">
      <c r="A743" s="50" t="s">
        <v>207</v>
      </c>
      <c r="B743" s="51">
        <v>7.7041958041958061E-9</v>
      </c>
      <c r="D743" s="50" t="s">
        <v>7</v>
      </c>
      <c r="E743" s="50" t="s">
        <v>245</v>
      </c>
      <c r="F743" s="50" t="s">
        <v>27</v>
      </c>
      <c r="G743" s="51"/>
    </row>
    <row r="744" spans="1:7" s="50" customFormat="1">
      <c r="A744" s="50" t="s">
        <v>208</v>
      </c>
      <c r="B744" s="51">
        <v>7.9706293706293717E-6</v>
      </c>
      <c r="D744" s="50" t="s">
        <v>7</v>
      </c>
      <c r="E744" s="50" t="s">
        <v>244</v>
      </c>
      <c r="F744" s="50" t="s">
        <v>27</v>
      </c>
      <c r="G744" s="51"/>
    </row>
    <row r="745" spans="1:7" s="50" customFormat="1">
      <c r="A745" s="50" t="s">
        <v>208</v>
      </c>
      <c r="B745" s="51">
        <v>7.713286713286714E-10</v>
      </c>
      <c r="D745" s="50" t="s">
        <v>7</v>
      </c>
      <c r="E745" s="50" t="s">
        <v>245</v>
      </c>
      <c r="F745" s="50" t="s">
        <v>27</v>
      </c>
      <c r="G745" s="51"/>
    </row>
    <row r="746" spans="1:7" s="50" customFormat="1">
      <c r="A746" s="50" t="s">
        <v>250</v>
      </c>
      <c r="B746" s="51">
        <v>1.6019580419580422E-3</v>
      </c>
      <c r="D746" s="50" t="s">
        <v>7</v>
      </c>
      <c r="E746" s="50" t="s">
        <v>244</v>
      </c>
      <c r="F746" s="50" t="s">
        <v>27</v>
      </c>
      <c r="G746" s="51"/>
    </row>
    <row r="747" spans="1:7" s="50" customFormat="1">
      <c r="A747" s="50" t="s">
        <v>250</v>
      </c>
      <c r="B747" s="51">
        <v>1.3023076923076926E-5</v>
      </c>
      <c r="D747" s="50" t="s">
        <v>7</v>
      </c>
      <c r="E747" s="50" t="s">
        <v>245</v>
      </c>
      <c r="F747" s="50" t="s">
        <v>27</v>
      </c>
      <c r="G747" s="51"/>
    </row>
    <row r="748" spans="1:7" s="50" customFormat="1">
      <c r="A748" s="50" t="s">
        <v>209</v>
      </c>
      <c r="B748" s="51">
        <v>2.0843356643356646E-6</v>
      </c>
      <c r="D748" s="50" t="s">
        <v>7</v>
      </c>
      <c r="E748" s="50" t="s">
        <v>244</v>
      </c>
      <c r="F748" s="50" t="s">
        <v>27</v>
      </c>
      <c r="G748" s="51"/>
    </row>
    <row r="749" spans="1:7" s="50" customFormat="1">
      <c r="A749" s="50" t="s">
        <v>209</v>
      </c>
      <c r="B749" s="51">
        <v>3.2862237762237769E-10</v>
      </c>
      <c r="D749" s="50" t="s">
        <v>7</v>
      </c>
      <c r="E749" s="50" t="s">
        <v>245</v>
      </c>
      <c r="F749" s="50" t="s">
        <v>27</v>
      </c>
      <c r="G749" s="51"/>
    </row>
    <row r="750" spans="1:7" s="50" customFormat="1">
      <c r="A750" s="50" t="s">
        <v>210</v>
      </c>
      <c r="B750" s="51">
        <v>8.9706293706293715E-9</v>
      </c>
      <c r="D750" s="50" t="s">
        <v>7</v>
      </c>
      <c r="E750" s="50" t="s">
        <v>244</v>
      </c>
      <c r="F750" s="50" t="s">
        <v>27</v>
      </c>
      <c r="G750" s="51"/>
    </row>
    <row r="751" spans="1:7" s="50" customFormat="1">
      <c r="A751" s="50" t="s">
        <v>210</v>
      </c>
      <c r="B751" s="51">
        <v>2.2719580419580423E-10</v>
      </c>
      <c r="D751" s="50" t="s">
        <v>7</v>
      </c>
      <c r="E751" s="50" t="s">
        <v>245</v>
      </c>
      <c r="F751" s="50" t="s">
        <v>27</v>
      </c>
      <c r="G751" s="51"/>
    </row>
    <row r="752" spans="1:7" s="50" customFormat="1">
      <c r="A752" s="50" t="s">
        <v>252</v>
      </c>
      <c r="B752" s="51">
        <v>1.881048951048951E-7</v>
      </c>
      <c r="D752" s="50" t="s">
        <v>7</v>
      </c>
      <c r="E752" s="50" t="s">
        <v>244</v>
      </c>
      <c r="F752" s="50" t="s">
        <v>27</v>
      </c>
      <c r="G752" s="51"/>
    </row>
    <row r="753" spans="1:7" s="50" customFormat="1">
      <c r="A753" s="50" t="s">
        <v>252</v>
      </c>
      <c r="B753" s="51">
        <v>4.0596503496503496E-8</v>
      </c>
      <c r="D753" s="50" t="s">
        <v>7</v>
      </c>
      <c r="E753" s="50" t="s">
        <v>245</v>
      </c>
      <c r="F753" s="50" t="s">
        <v>27</v>
      </c>
      <c r="G753" s="51"/>
    </row>
    <row r="754" spans="1:7" s="50" customFormat="1">
      <c r="A754" s="50" t="s">
        <v>213</v>
      </c>
      <c r="B754" s="51">
        <v>3.2625174825174831E-6</v>
      </c>
      <c r="D754" s="50" t="s">
        <v>7</v>
      </c>
      <c r="E754" s="50" t="s">
        <v>244</v>
      </c>
      <c r="F754" s="50" t="s">
        <v>27</v>
      </c>
      <c r="G754" s="51"/>
    </row>
    <row r="755" spans="1:7" s="50" customFormat="1">
      <c r="A755" s="50" t="s">
        <v>213</v>
      </c>
      <c r="B755" s="51">
        <v>2.2388811188811192E-9</v>
      </c>
      <c r="D755" s="50" t="s">
        <v>7</v>
      </c>
      <c r="E755" s="50" t="s">
        <v>245</v>
      </c>
      <c r="F755" s="50" t="s">
        <v>27</v>
      </c>
      <c r="G755" s="51"/>
    </row>
    <row r="756" spans="1:7" s="50" customFormat="1">
      <c r="A756" s="50" t="s">
        <v>237</v>
      </c>
      <c r="B756" s="51">
        <v>8.7503496503496512E-5</v>
      </c>
      <c r="D756" s="50" t="s">
        <v>7</v>
      </c>
      <c r="E756" s="50" t="s">
        <v>244</v>
      </c>
      <c r="F756" s="50" t="s">
        <v>27</v>
      </c>
      <c r="G756" s="51"/>
    </row>
    <row r="757" spans="1:7" s="50" customFormat="1">
      <c r="A757" s="50" t="s">
        <v>237</v>
      </c>
      <c r="B757" s="51">
        <v>3.1345454545454552E-5</v>
      </c>
      <c r="D757" s="50" t="s">
        <v>7</v>
      </c>
      <c r="E757" s="50" t="s">
        <v>245</v>
      </c>
      <c r="F757" s="50" t="s">
        <v>27</v>
      </c>
      <c r="G757" s="51"/>
    </row>
    <row r="758" spans="1:7" s="50" customFormat="1">
      <c r="A758" s="50" t="s">
        <v>257</v>
      </c>
      <c r="B758" s="51">
        <v>6.198671328671329E-5</v>
      </c>
      <c r="D758" s="50" t="s">
        <v>7</v>
      </c>
      <c r="E758" s="50" t="s">
        <v>244</v>
      </c>
      <c r="F758" s="50" t="s">
        <v>27</v>
      </c>
      <c r="G758" s="51"/>
    </row>
    <row r="759" spans="1:7" s="50" customFormat="1">
      <c r="A759" s="50" t="s">
        <v>257</v>
      </c>
      <c r="B759" s="51">
        <v>1.0262237762237762E-6</v>
      </c>
      <c r="D759" s="50" t="s">
        <v>7</v>
      </c>
      <c r="E759" s="50" t="s">
        <v>245</v>
      </c>
      <c r="F759" s="50" t="s">
        <v>27</v>
      </c>
      <c r="G759" s="51"/>
    </row>
    <row r="760" spans="1:7" s="50" customFormat="1">
      <c r="A760" s="50" t="s">
        <v>254</v>
      </c>
      <c r="B760" s="51">
        <v>1.5318181818181821E-3</v>
      </c>
      <c r="D760" s="50" t="s">
        <v>7</v>
      </c>
      <c r="E760" s="50" t="s">
        <v>244</v>
      </c>
      <c r="F760" s="50" t="s">
        <v>27</v>
      </c>
      <c r="G760" s="51"/>
    </row>
    <row r="761" spans="1:7" s="50" customFormat="1">
      <c r="A761" s="50" t="s">
        <v>254</v>
      </c>
      <c r="B761" s="51">
        <v>5.7888811188811201E-4</v>
      </c>
      <c r="D761" s="50" t="s">
        <v>7</v>
      </c>
      <c r="E761" s="50" t="s">
        <v>245</v>
      </c>
      <c r="F761" s="50" t="s">
        <v>27</v>
      </c>
      <c r="G761" s="51"/>
    </row>
    <row r="762" spans="1:7" s="50" customFormat="1">
      <c r="A762" s="50" t="s">
        <v>218</v>
      </c>
      <c r="B762" s="51">
        <v>2.3391608391608392E-7</v>
      </c>
      <c r="D762" s="50" t="s">
        <v>7</v>
      </c>
      <c r="E762" s="50" t="s">
        <v>244</v>
      </c>
      <c r="F762" s="50" t="s">
        <v>27</v>
      </c>
      <c r="G762" s="51"/>
    </row>
    <row r="763" spans="1:7" s="50" customFormat="1">
      <c r="A763" s="50" t="s">
        <v>218</v>
      </c>
      <c r="B763" s="51">
        <v>6.0732867132867136E-8</v>
      </c>
      <c r="D763" s="50" t="s">
        <v>7</v>
      </c>
      <c r="E763" s="50" t="s">
        <v>245</v>
      </c>
      <c r="F763" s="50" t="s">
        <v>27</v>
      </c>
      <c r="G763" s="51"/>
    </row>
    <row r="764" spans="1:7" s="50" customFormat="1">
      <c r="A764" s="50" t="s">
        <v>238</v>
      </c>
      <c r="B764" s="51">
        <v>1.800699300699301E-3</v>
      </c>
      <c r="D764" s="50" t="s">
        <v>7</v>
      </c>
      <c r="E764" s="50" t="s">
        <v>244</v>
      </c>
      <c r="F764" s="50" t="s">
        <v>27</v>
      </c>
      <c r="G764" s="51"/>
    </row>
    <row r="765" spans="1:7" s="50" customFormat="1">
      <c r="A765" s="50" t="s">
        <v>238</v>
      </c>
      <c r="B765" s="51">
        <v>5.7788811188811194E-6</v>
      </c>
      <c r="D765" s="50" t="s">
        <v>7</v>
      </c>
      <c r="E765" s="50" t="s">
        <v>245</v>
      </c>
      <c r="F765" s="50" t="s">
        <v>27</v>
      </c>
      <c r="G765" s="51"/>
    </row>
    <row r="766" spans="1:7" s="50" customFormat="1">
      <c r="A766" s="50" t="s">
        <v>239</v>
      </c>
      <c r="B766" s="51">
        <v>5.9879720279720284E-4</v>
      </c>
      <c r="D766" s="50" t="s">
        <v>7</v>
      </c>
      <c r="E766" s="50" t="s">
        <v>244</v>
      </c>
      <c r="F766" s="50" t="s">
        <v>27</v>
      </c>
      <c r="G766" s="51"/>
    </row>
    <row r="767" spans="1:7" s="50" customFormat="1">
      <c r="A767" s="50" t="s">
        <v>239</v>
      </c>
      <c r="B767" s="51">
        <v>3.0109790209790214E-4</v>
      </c>
      <c r="D767" s="50" t="s">
        <v>7</v>
      </c>
      <c r="E767" s="50" t="s">
        <v>245</v>
      </c>
      <c r="F767" s="50" t="s">
        <v>27</v>
      </c>
      <c r="G767" s="51"/>
    </row>
    <row r="768" spans="1:7" s="50" customFormat="1">
      <c r="A768" s="50" t="s">
        <v>240</v>
      </c>
      <c r="B768" s="51">
        <v>2.1864335664335669E-3</v>
      </c>
      <c r="D768" s="50" t="s">
        <v>7</v>
      </c>
      <c r="E768" s="50" t="s">
        <v>244</v>
      </c>
      <c r="F768" s="50" t="s">
        <v>27</v>
      </c>
      <c r="G768" s="51"/>
    </row>
    <row r="769" spans="1:7" s="50" customFormat="1">
      <c r="A769" s="50" t="s">
        <v>240</v>
      </c>
      <c r="B769" s="51">
        <v>3.7369230769230774E-4</v>
      </c>
      <c r="D769" s="50" t="s">
        <v>7</v>
      </c>
      <c r="E769" s="50" t="s">
        <v>245</v>
      </c>
      <c r="F769" s="50" t="s">
        <v>27</v>
      </c>
      <c r="G769" s="51"/>
    </row>
    <row r="770" spans="1:7" s="50" customFormat="1">
      <c r="A770" s="50" t="s">
        <v>241</v>
      </c>
      <c r="B770" s="51">
        <v>2.9046153846153848E-4</v>
      </c>
      <c r="D770" s="50" t="s">
        <v>7</v>
      </c>
      <c r="E770" s="50" t="s">
        <v>244</v>
      </c>
      <c r="F770" s="50" t="s">
        <v>27</v>
      </c>
      <c r="G770" s="51"/>
    </row>
    <row r="771" spans="1:7" s="50" customFormat="1">
      <c r="A771" s="50" t="s">
        <v>241</v>
      </c>
      <c r="B771" s="51">
        <v>3.2845454545454547E-5</v>
      </c>
      <c r="D771" s="50" t="s">
        <v>7</v>
      </c>
      <c r="E771" s="50" t="s">
        <v>245</v>
      </c>
      <c r="F771" s="50" t="s">
        <v>27</v>
      </c>
      <c r="G771" s="51"/>
    </row>
    <row r="772" spans="1:7" s="50" customFormat="1">
      <c r="A772" s="50" t="s">
        <v>222</v>
      </c>
      <c r="B772" s="51">
        <v>6.9021678321678334E-10</v>
      </c>
      <c r="D772" s="50" t="s">
        <v>7</v>
      </c>
      <c r="E772" s="50" t="s">
        <v>244</v>
      </c>
      <c r="F772" s="50" t="s">
        <v>27</v>
      </c>
      <c r="G772" s="51"/>
    </row>
    <row r="773" spans="1:7" s="50" customFormat="1">
      <c r="A773" s="50" t="s">
        <v>222</v>
      </c>
      <c r="B773" s="51">
        <v>1.1523076923076923E-12</v>
      </c>
      <c r="D773" s="50" t="s">
        <v>7</v>
      </c>
      <c r="E773" s="50" t="s">
        <v>245</v>
      </c>
      <c r="F773" s="50" t="s">
        <v>27</v>
      </c>
      <c r="G773" s="51"/>
    </row>
    <row r="774" spans="1:7" s="50" customFormat="1">
      <c r="A774" s="50" t="s">
        <v>223</v>
      </c>
      <c r="B774" s="51">
        <v>3.2370629370629375E-6</v>
      </c>
      <c r="D774" s="50" t="s">
        <v>7</v>
      </c>
      <c r="E774" s="50" t="s">
        <v>244</v>
      </c>
      <c r="F774" s="50" t="s">
        <v>27</v>
      </c>
      <c r="G774" s="51"/>
    </row>
    <row r="775" spans="1:7" s="50" customFormat="1">
      <c r="A775" s="50" t="s">
        <v>223</v>
      </c>
      <c r="B775" s="51">
        <v>4.4090209790209792E-9</v>
      </c>
      <c r="D775" s="50" t="s">
        <v>7</v>
      </c>
      <c r="E775" s="50" t="s">
        <v>245</v>
      </c>
      <c r="F775" s="50" t="s">
        <v>27</v>
      </c>
      <c r="G775" s="51"/>
    </row>
    <row r="776" spans="1:7" s="50" customFormat="1">
      <c r="A776" s="50" t="s">
        <v>226</v>
      </c>
      <c r="B776" s="51">
        <v>7.1440559440559459E-7</v>
      </c>
      <c r="D776" s="50" t="s">
        <v>7</v>
      </c>
      <c r="E776" s="50" t="s">
        <v>244</v>
      </c>
      <c r="F776" s="50" t="s">
        <v>27</v>
      </c>
      <c r="G776" s="51"/>
    </row>
    <row r="777" spans="1:7" s="50" customFormat="1">
      <c r="A777" s="50" t="s">
        <v>226</v>
      </c>
      <c r="B777" s="51">
        <v>2.6863636363636366E-9</v>
      </c>
      <c r="D777" s="50" t="s">
        <v>7</v>
      </c>
      <c r="E777" s="50" t="s">
        <v>245</v>
      </c>
      <c r="F777" s="50" t="s">
        <v>27</v>
      </c>
      <c r="G777" s="51"/>
    </row>
    <row r="778" spans="1:7" s="50" customFormat="1">
      <c r="A778" s="50" t="s">
        <v>227</v>
      </c>
      <c r="B778" s="51">
        <v>2.0299720279720281E-4</v>
      </c>
      <c r="D778" s="50" t="s">
        <v>37</v>
      </c>
      <c r="E778" s="50" t="s">
        <v>245</v>
      </c>
      <c r="F778" s="50" t="s">
        <v>27</v>
      </c>
      <c r="G778" s="51"/>
    </row>
    <row r="779" spans="1:7" s="50" customFormat="1">
      <c r="A779" s="50" t="s">
        <v>228</v>
      </c>
      <c r="B779" s="51">
        <v>1.5952447552447555E-5</v>
      </c>
      <c r="D779" s="50" t="s">
        <v>7</v>
      </c>
      <c r="E779" s="50" t="s">
        <v>244</v>
      </c>
      <c r="F779" s="50" t="s">
        <v>27</v>
      </c>
      <c r="G779" s="51"/>
    </row>
    <row r="780" spans="1:7" s="50" customFormat="1">
      <c r="A780" s="50" t="s">
        <v>228</v>
      </c>
      <c r="B780" s="51">
        <v>2.1733566433566435E-9</v>
      </c>
      <c r="D780" s="50" t="s">
        <v>7</v>
      </c>
      <c r="E780" s="50" t="s">
        <v>245</v>
      </c>
      <c r="F780" s="50" t="s">
        <v>27</v>
      </c>
      <c r="G780" s="51"/>
    </row>
    <row r="781" spans="1:7" s="50" customFormat="1">
      <c r="A781" s="50" t="s">
        <v>242</v>
      </c>
      <c r="B781" s="51">
        <v>0.33606993006993013</v>
      </c>
      <c r="D781" s="50" t="s">
        <v>7</v>
      </c>
      <c r="E781" s="50" t="s">
        <v>111</v>
      </c>
      <c r="F781" s="50" t="s">
        <v>27</v>
      </c>
      <c r="G781" s="51"/>
    </row>
    <row r="782" spans="1:7" s="50" customFormat="1">
      <c r="A782" s="50" t="s">
        <v>35</v>
      </c>
      <c r="B782" s="51">
        <f>(1/1.01)*0.71*6.09</f>
        <v>4.2810891089108907</v>
      </c>
      <c r="D782" s="50" t="s">
        <v>17</v>
      </c>
      <c r="E782" s="50" t="s">
        <v>36</v>
      </c>
      <c r="F782" s="50" t="s">
        <v>27</v>
      </c>
      <c r="G782" s="51"/>
    </row>
    <row r="784" spans="1:7" ht="15.75">
      <c r="A784" s="1" t="s">
        <v>0</v>
      </c>
      <c r="B784" s="47" t="s">
        <v>130</v>
      </c>
    </row>
    <row r="785" spans="1:8">
      <c r="A785" t="s">
        <v>1</v>
      </c>
      <c r="B785" s="3" t="s">
        <v>104</v>
      </c>
    </row>
    <row r="786" spans="1:8">
      <c r="A786" t="s">
        <v>2</v>
      </c>
      <c r="B786" s="3">
        <v>1</v>
      </c>
    </row>
    <row r="787" spans="1:8">
      <c r="A787" t="s">
        <v>3</v>
      </c>
      <c r="B787" s="3" t="s">
        <v>131</v>
      </c>
    </row>
    <row r="788" spans="1:8">
      <c r="A788" t="s">
        <v>4</v>
      </c>
      <c r="B788" s="3" t="s">
        <v>5</v>
      </c>
    </row>
    <row r="789" spans="1:8">
      <c r="A789" t="s">
        <v>6</v>
      </c>
      <c r="B789" s="3" t="s">
        <v>125</v>
      </c>
    </row>
    <row r="790" spans="1:8">
      <c r="A790" t="s">
        <v>8</v>
      </c>
      <c r="B790" s="3" t="s">
        <v>121</v>
      </c>
    </row>
    <row r="791" spans="1:8">
      <c r="A791" t="s">
        <v>260</v>
      </c>
      <c r="B791" s="23">
        <f>0.33*29%</f>
        <v>9.5699999999999993E-2</v>
      </c>
    </row>
    <row r="792" spans="1:8">
      <c r="A792" t="s">
        <v>9</v>
      </c>
      <c r="B792" s="3" t="s">
        <v>259</v>
      </c>
    </row>
    <row r="793" spans="1:8" ht="15.75">
      <c r="A793" s="1" t="s">
        <v>10</v>
      </c>
    </row>
    <row r="794" spans="1:8">
      <c r="A794" t="s">
        <v>11</v>
      </c>
      <c r="B794" s="3" t="s">
        <v>12</v>
      </c>
      <c r="C794" t="s">
        <v>1</v>
      </c>
      <c r="D794" t="s">
        <v>6</v>
      </c>
      <c r="E794" t="s">
        <v>13</v>
      </c>
      <c r="F794" t="s">
        <v>4</v>
      </c>
      <c r="G794" t="s">
        <v>9</v>
      </c>
      <c r="H794" t="s">
        <v>3</v>
      </c>
    </row>
    <row r="795" spans="1:8">
      <c r="A795" s="3" t="str">
        <f>B784</f>
        <v>electricity production, from biowaste, municipal incineration, energy allocation</v>
      </c>
      <c r="B795" s="3">
        <v>1</v>
      </c>
      <c r="C795" s="3" t="str">
        <f>B785</f>
        <v>CH</v>
      </c>
      <c r="D795" s="3" t="str">
        <f>B789</f>
        <v>kilowatt hour</v>
      </c>
      <c r="F795" t="s">
        <v>15</v>
      </c>
      <c r="G795" t="s">
        <v>16</v>
      </c>
      <c r="H795" s="3" t="str">
        <f>B787</f>
        <v>electricity, from biowaste, municipal incineration, energy allocation</v>
      </c>
    </row>
    <row r="796" spans="1:8" s="50" customFormat="1">
      <c r="A796" s="50" t="s">
        <v>110</v>
      </c>
      <c r="B796" s="52">
        <f>B830</f>
        <v>1.2993734265734267</v>
      </c>
      <c r="D796" s="50" t="s">
        <v>7</v>
      </c>
      <c r="E796" s="50" t="s">
        <v>111</v>
      </c>
      <c r="F796" s="50" t="s">
        <v>27</v>
      </c>
      <c r="G796" s="50" t="s">
        <v>258</v>
      </c>
    </row>
    <row r="797" spans="1:8" s="50" customFormat="1">
      <c r="A797" s="50" t="s">
        <v>148</v>
      </c>
      <c r="B797" s="51">
        <v>1.3506041958041958E-3</v>
      </c>
      <c r="C797" s="50" t="s">
        <v>103</v>
      </c>
      <c r="D797" s="50" t="s">
        <v>7</v>
      </c>
      <c r="F797" t="s">
        <v>18</v>
      </c>
      <c r="G797" s="51"/>
      <c r="H797" s="50" t="s">
        <v>169</v>
      </c>
    </row>
    <row r="798" spans="1:8" s="50" customFormat="1">
      <c r="A798" s="50" t="s">
        <v>149</v>
      </c>
      <c r="B798" s="51">
        <v>7.7900979020979017E-7</v>
      </c>
      <c r="C798" s="50" t="s">
        <v>103</v>
      </c>
      <c r="D798" s="50" t="s">
        <v>7</v>
      </c>
      <c r="F798" t="s">
        <v>18</v>
      </c>
      <c r="G798" s="51"/>
      <c r="H798" s="50" t="s">
        <v>170</v>
      </c>
    </row>
    <row r="799" spans="1:8" s="50" customFormat="1">
      <c r="A799" s="50" t="s">
        <v>167</v>
      </c>
      <c r="B799" s="51">
        <v>1.3297090909090909E-2</v>
      </c>
      <c r="C799" s="50" t="s">
        <v>104</v>
      </c>
      <c r="D799" s="50" t="s">
        <v>7</v>
      </c>
      <c r="F799" t="s">
        <v>18</v>
      </c>
      <c r="G799" s="51"/>
      <c r="H799" s="50" t="s">
        <v>185</v>
      </c>
    </row>
    <row r="800" spans="1:8" s="50" customFormat="1">
      <c r="A800" s="50" t="s">
        <v>150</v>
      </c>
      <c r="B800" s="51">
        <v>1.8246461538461538E-4</v>
      </c>
      <c r="C800" s="50" t="s">
        <v>24</v>
      </c>
      <c r="D800" s="50" t="s">
        <v>7</v>
      </c>
      <c r="F800" t="s">
        <v>18</v>
      </c>
      <c r="G800" s="51"/>
      <c r="H800" s="50" t="s">
        <v>171</v>
      </c>
    </row>
    <row r="801" spans="1:8" s="50" customFormat="1">
      <c r="A801" s="50" t="s">
        <v>151</v>
      </c>
      <c r="B801" s="51">
        <v>1.4113258741258742E-6</v>
      </c>
      <c r="C801" s="50" t="s">
        <v>24</v>
      </c>
      <c r="D801" s="50" t="s">
        <v>7</v>
      </c>
      <c r="F801" t="s">
        <v>18</v>
      </c>
      <c r="G801" s="51"/>
      <c r="H801" s="50" t="s">
        <v>172</v>
      </c>
    </row>
    <row r="802" spans="1:8" s="50" customFormat="1">
      <c r="A802" t="s">
        <v>493</v>
      </c>
      <c r="B802" s="51">
        <v>1.7269174825174825E-6</v>
      </c>
      <c r="C802" s="50" t="s">
        <v>24</v>
      </c>
      <c r="D802" s="50" t="s">
        <v>7</v>
      </c>
      <c r="F802" t="s">
        <v>18</v>
      </c>
      <c r="G802" s="51"/>
      <c r="H802" t="s">
        <v>494</v>
      </c>
    </row>
    <row r="803" spans="1:8" s="50" customFormat="1">
      <c r="A803" s="50" t="s">
        <v>168</v>
      </c>
      <c r="B803" s="51">
        <v>0.25255384615384618</v>
      </c>
      <c r="C803" s="50" t="s">
        <v>104</v>
      </c>
      <c r="D803" s="50" t="s">
        <v>17</v>
      </c>
      <c r="F803" t="s">
        <v>18</v>
      </c>
      <c r="G803" s="51"/>
      <c r="H803" s="50" t="s">
        <v>186</v>
      </c>
    </row>
    <row r="804" spans="1:8" s="50" customFormat="1">
      <c r="A804" s="50" t="s">
        <v>152</v>
      </c>
      <c r="B804" s="51">
        <v>9.6930629370629373E-4</v>
      </c>
      <c r="C804" s="50" t="s">
        <v>103</v>
      </c>
      <c r="D804" s="50" t="s">
        <v>7</v>
      </c>
      <c r="F804" t="s">
        <v>18</v>
      </c>
      <c r="G804" s="51"/>
      <c r="H804" s="50" t="s">
        <v>173</v>
      </c>
    </row>
    <row r="805" spans="1:8" s="50" customFormat="1">
      <c r="A805" s="50" t="s">
        <v>153</v>
      </c>
      <c r="B805" s="51">
        <v>2.3449846153846157E-3</v>
      </c>
      <c r="C805" s="50" t="s">
        <v>103</v>
      </c>
      <c r="D805" s="50" t="s">
        <v>7</v>
      </c>
      <c r="F805" t="s">
        <v>18</v>
      </c>
      <c r="G805" s="51"/>
      <c r="H805" s="50" t="s">
        <v>174</v>
      </c>
    </row>
    <row r="806" spans="1:8" s="50" customFormat="1">
      <c r="A806" s="50" t="s">
        <v>154</v>
      </c>
      <c r="B806" s="51">
        <v>2.7382657342657343E-6</v>
      </c>
      <c r="C806" s="50" t="s">
        <v>24</v>
      </c>
      <c r="D806" s="50" t="s">
        <v>7</v>
      </c>
      <c r="F806" t="s">
        <v>18</v>
      </c>
      <c r="G806" s="51"/>
      <c r="H806" t="s">
        <v>474</v>
      </c>
    </row>
    <row r="807" spans="1:8" s="50" customFormat="1">
      <c r="A807" s="50" t="s">
        <v>155</v>
      </c>
      <c r="B807" s="51">
        <v>-7.2954125874125876E-3</v>
      </c>
      <c r="C807" s="50" t="s">
        <v>24</v>
      </c>
      <c r="D807" s="50" t="s">
        <v>7</v>
      </c>
      <c r="F807" t="s">
        <v>18</v>
      </c>
      <c r="G807" s="51"/>
      <c r="H807" s="50" t="s">
        <v>175</v>
      </c>
    </row>
    <row r="808" spans="1:8" s="50" customFormat="1">
      <c r="A808" s="50" t="s">
        <v>156</v>
      </c>
      <c r="B808" s="51">
        <v>6.2937062937062938E-10</v>
      </c>
      <c r="C808" s="50" t="s">
        <v>104</v>
      </c>
      <c r="D808" s="50" t="s">
        <v>6</v>
      </c>
      <c r="F808" t="s">
        <v>18</v>
      </c>
      <c r="G808" s="51"/>
      <c r="H808" s="50" t="s">
        <v>176</v>
      </c>
    </row>
    <row r="809" spans="1:8" s="50" customFormat="1">
      <c r="A809" s="50" t="s">
        <v>157</v>
      </c>
      <c r="B809" s="51">
        <v>6.6277762237762244E-2</v>
      </c>
      <c r="C809" s="50" t="s">
        <v>104</v>
      </c>
      <c r="D809" s="50" t="s">
        <v>7</v>
      </c>
      <c r="F809" t="s">
        <v>18</v>
      </c>
      <c r="G809" s="51"/>
      <c r="H809" s="50" t="s">
        <v>157</v>
      </c>
    </row>
    <row r="810" spans="1:8" s="50" customFormat="1">
      <c r="A810" s="50" t="s">
        <v>158</v>
      </c>
      <c r="B810" s="51">
        <v>0.35916923076923074</v>
      </c>
      <c r="C810" s="50" t="s">
        <v>104</v>
      </c>
      <c r="D810" s="50" t="s">
        <v>7</v>
      </c>
      <c r="F810" t="s">
        <v>18</v>
      </c>
      <c r="G810" s="51"/>
      <c r="H810" s="50" t="s">
        <v>158</v>
      </c>
    </row>
    <row r="811" spans="1:8" s="50" customFormat="1">
      <c r="A811" s="50" t="s">
        <v>159</v>
      </c>
      <c r="B811" s="51">
        <v>3.4741258741258739E-3</v>
      </c>
      <c r="C811" s="50" t="s">
        <v>103</v>
      </c>
      <c r="D811" s="50" t="s">
        <v>7</v>
      </c>
      <c r="F811" t="s">
        <v>18</v>
      </c>
      <c r="G811" s="51"/>
      <c r="H811" s="50" t="s">
        <v>177</v>
      </c>
    </row>
    <row r="812" spans="1:8" s="50" customFormat="1">
      <c r="A812" s="50" t="s">
        <v>160</v>
      </c>
      <c r="B812" s="51">
        <v>1.3807888111888113E-10</v>
      </c>
      <c r="C812" s="50" t="s">
        <v>104</v>
      </c>
      <c r="D812" s="50" t="s">
        <v>6</v>
      </c>
      <c r="F812" t="s">
        <v>18</v>
      </c>
      <c r="G812" s="51"/>
      <c r="H812" s="50" t="s">
        <v>178</v>
      </c>
    </row>
    <row r="813" spans="1:8" s="50" customFormat="1">
      <c r="A813" s="50" t="s">
        <v>161</v>
      </c>
      <c r="B813" s="51">
        <v>6.3850909090909091E-10</v>
      </c>
      <c r="C813" s="50" t="s">
        <v>104</v>
      </c>
      <c r="D813" s="50" t="s">
        <v>6</v>
      </c>
      <c r="F813" t="s">
        <v>18</v>
      </c>
      <c r="G813" s="51"/>
      <c r="H813" s="50" t="s">
        <v>179</v>
      </c>
    </row>
    <row r="814" spans="1:8" s="50" customFormat="1">
      <c r="A814" s="50" t="s">
        <v>162</v>
      </c>
      <c r="B814" s="51">
        <v>2.7211468531468533E-3</v>
      </c>
      <c r="C814" s="3" t="s">
        <v>266</v>
      </c>
      <c r="D814" s="50" t="s">
        <v>7</v>
      </c>
      <c r="F814" t="s">
        <v>18</v>
      </c>
      <c r="G814" s="51"/>
      <c r="H814" s="50" t="s">
        <v>180</v>
      </c>
    </row>
    <row r="815" spans="1:8" s="50" customFormat="1">
      <c r="A815" s="50" t="s">
        <v>163</v>
      </c>
      <c r="B815" s="51">
        <v>-8.199944055944056E-7</v>
      </c>
      <c r="C815" s="50" t="s">
        <v>24</v>
      </c>
      <c r="D815" s="50" t="s">
        <v>7</v>
      </c>
      <c r="F815" t="s">
        <v>18</v>
      </c>
      <c r="G815" s="51"/>
      <c r="H815" s="50" t="s">
        <v>181</v>
      </c>
    </row>
    <row r="816" spans="1:8" s="50" customFormat="1">
      <c r="A816" s="50" t="s">
        <v>164</v>
      </c>
      <c r="B816" s="51">
        <v>8.4620139860139854E-5</v>
      </c>
      <c r="C816" s="50" t="s">
        <v>103</v>
      </c>
      <c r="D816" s="50" t="s">
        <v>7</v>
      </c>
      <c r="F816" t="s">
        <v>18</v>
      </c>
      <c r="G816" s="51"/>
      <c r="H816" s="50" t="s">
        <v>182</v>
      </c>
    </row>
    <row r="817" spans="1:8" s="50" customFormat="1">
      <c r="A817" s="50" t="s">
        <v>81</v>
      </c>
      <c r="B817" s="51">
        <v>1.6437146853146851E-2</v>
      </c>
      <c r="C817" s="50" t="s">
        <v>103</v>
      </c>
      <c r="D817" s="50" t="s">
        <v>28</v>
      </c>
      <c r="F817" t="s">
        <v>18</v>
      </c>
      <c r="G817" s="51"/>
      <c r="H817" s="50" t="s">
        <v>82</v>
      </c>
    </row>
    <row r="818" spans="1:8" s="50" customFormat="1">
      <c r="A818" s="50" t="s">
        <v>165</v>
      </c>
      <c r="B818" s="51">
        <v>-3.324335664335664E-2</v>
      </c>
      <c r="C818" s="50" t="s">
        <v>104</v>
      </c>
      <c r="D818" s="50" t="s">
        <v>7</v>
      </c>
      <c r="F818" t="s">
        <v>18</v>
      </c>
      <c r="G818" s="51"/>
      <c r="H818" s="50" t="s">
        <v>183</v>
      </c>
    </row>
    <row r="819" spans="1:8" s="50" customFormat="1">
      <c r="A819" s="50" t="s">
        <v>166</v>
      </c>
      <c r="B819" s="51">
        <v>2.1630965034965035</v>
      </c>
      <c r="C819" s="50" t="s">
        <v>104</v>
      </c>
      <c r="D819" s="50" t="s">
        <v>7</v>
      </c>
      <c r="F819" t="s">
        <v>18</v>
      </c>
      <c r="G819" s="51"/>
      <c r="H819" s="50" t="s">
        <v>184</v>
      </c>
    </row>
    <row r="820" spans="1:8" s="50" customFormat="1">
      <c r="A820" s="50" t="s">
        <v>187</v>
      </c>
      <c r="B820" s="51">
        <v>1.7894013986013986E-8</v>
      </c>
      <c r="D820" s="50" t="s">
        <v>7</v>
      </c>
      <c r="E820" s="50" t="s">
        <v>243</v>
      </c>
      <c r="F820" s="50" t="s">
        <v>27</v>
      </c>
      <c r="G820" s="51"/>
    </row>
    <row r="821" spans="1:8" s="50" customFormat="1">
      <c r="A821" s="50" t="s">
        <v>188</v>
      </c>
      <c r="B821" s="51">
        <v>1.5879776223776225E-6</v>
      </c>
      <c r="D821" s="50" t="s">
        <v>7</v>
      </c>
      <c r="E821" s="50" t="s">
        <v>243</v>
      </c>
      <c r="F821" s="50" t="s">
        <v>27</v>
      </c>
      <c r="G821" s="51"/>
    </row>
    <row r="822" spans="1:8" s="50" customFormat="1">
      <c r="A822" s="50" t="s">
        <v>190</v>
      </c>
      <c r="B822" s="51">
        <v>3.44013986013986E-8</v>
      </c>
      <c r="D822" s="50" t="s">
        <v>7</v>
      </c>
      <c r="E822" s="50" t="s">
        <v>243</v>
      </c>
      <c r="F822" s="50" t="s">
        <v>27</v>
      </c>
      <c r="G822" s="51"/>
    </row>
    <row r="823" spans="1:8" s="50" customFormat="1">
      <c r="A823" s="50" t="s">
        <v>192</v>
      </c>
      <c r="B823" s="51">
        <v>1.0477258741258742E-7</v>
      </c>
      <c r="D823" s="50" t="s">
        <v>7</v>
      </c>
      <c r="E823" s="50" t="s">
        <v>243</v>
      </c>
      <c r="F823" s="50" t="s">
        <v>27</v>
      </c>
      <c r="G823" s="51"/>
    </row>
    <row r="824" spans="1:8" s="50" customFormat="1">
      <c r="A824" s="50" t="s">
        <v>193</v>
      </c>
      <c r="B824" s="51">
        <v>2.1907384615384614E-10</v>
      </c>
      <c r="D824" s="50" t="s">
        <v>7</v>
      </c>
      <c r="E824" s="50" t="s">
        <v>243</v>
      </c>
      <c r="F824" s="50" t="s">
        <v>27</v>
      </c>
      <c r="G824" s="51"/>
    </row>
    <row r="825" spans="1:8" s="50" customFormat="1">
      <c r="A825" t="s">
        <v>477</v>
      </c>
      <c r="B825" s="51">
        <v>5.5354405594405596E-10</v>
      </c>
      <c r="D825" s="50" t="s">
        <v>7</v>
      </c>
      <c r="E825" s="50" t="s">
        <v>243</v>
      </c>
      <c r="F825" s="50" t="s">
        <v>27</v>
      </c>
      <c r="G825" s="51"/>
    </row>
    <row r="826" spans="1:8" s="50" customFormat="1">
      <c r="A826" s="50" t="s">
        <v>194</v>
      </c>
      <c r="B826" s="51">
        <v>2.331516083916084E-12</v>
      </c>
      <c r="D826" s="50" t="s">
        <v>7</v>
      </c>
      <c r="E826" s="50" t="s">
        <v>243</v>
      </c>
      <c r="F826" s="50" t="s">
        <v>27</v>
      </c>
      <c r="G826" s="51"/>
    </row>
    <row r="827" spans="1:8" s="50" customFormat="1">
      <c r="A827" s="50" t="s">
        <v>195</v>
      </c>
      <c r="B827" s="51">
        <v>6.5806993006993006E-9</v>
      </c>
      <c r="D827" s="50" t="s">
        <v>7</v>
      </c>
      <c r="E827" s="50" t="s">
        <v>243</v>
      </c>
      <c r="F827" s="50" t="s">
        <v>27</v>
      </c>
      <c r="G827" s="51"/>
    </row>
    <row r="828" spans="1:8" s="50" customFormat="1">
      <c r="A828" s="50" t="s">
        <v>196</v>
      </c>
      <c r="B828" s="51">
        <v>1.5445258741258742E-10</v>
      </c>
      <c r="D828" s="50" t="s">
        <v>7</v>
      </c>
      <c r="E828" s="50" t="s">
        <v>243</v>
      </c>
      <c r="F828" s="50" t="s">
        <v>27</v>
      </c>
      <c r="G828" s="51"/>
    </row>
    <row r="829" spans="1:8" s="50" customFormat="1">
      <c r="A829" s="50" t="s">
        <v>247</v>
      </c>
      <c r="B829" s="51">
        <v>3.7671608391608396E-4</v>
      </c>
      <c r="D829" s="50" t="s">
        <v>7</v>
      </c>
      <c r="E829" s="50" t="s">
        <v>243</v>
      </c>
      <c r="F829" s="50" t="s">
        <v>27</v>
      </c>
      <c r="G829" s="51"/>
    </row>
    <row r="830" spans="1:8" s="50" customFormat="1">
      <c r="A830" s="50" t="s">
        <v>134</v>
      </c>
      <c r="B830" s="51">
        <v>1.2993734265734267</v>
      </c>
      <c r="D830" s="50" t="s">
        <v>7</v>
      </c>
      <c r="E830" s="50" t="s">
        <v>243</v>
      </c>
      <c r="F830" s="50" t="s">
        <v>27</v>
      </c>
      <c r="G830" s="51"/>
    </row>
    <row r="831" spans="1:8" s="50" customFormat="1">
      <c r="A831" s="50" t="s">
        <v>248</v>
      </c>
      <c r="B831" s="51">
        <v>1.780993006993007E-4</v>
      </c>
      <c r="D831" s="50" t="s">
        <v>7</v>
      </c>
      <c r="E831" s="50" t="s">
        <v>243</v>
      </c>
      <c r="F831" s="50" t="s">
        <v>27</v>
      </c>
      <c r="G831" s="51"/>
    </row>
    <row r="832" spans="1:8" s="50" customFormat="1">
      <c r="A832" s="50" t="s">
        <v>198</v>
      </c>
      <c r="B832" s="51">
        <v>1.5339272727272729E-8</v>
      </c>
      <c r="D832" s="50" t="s">
        <v>7</v>
      </c>
      <c r="E832" s="50" t="s">
        <v>243</v>
      </c>
      <c r="F832" s="50" t="s">
        <v>27</v>
      </c>
      <c r="G832" s="51"/>
    </row>
    <row r="833" spans="1:7" s="50" customFormat="1">
      <c r="A833" s="50" t="s">
        <v>199</v>
      </c>
      <c r="B833" s="51">
        <v>1.9967160839160839E-8</v>
      </c>
      <c r="D833" s="50" t="s">
        <v>7</v>
      </c>
      <c r="E833" s="50" t="s">
        <v>243</v>
      </c>
      <c r="F833" s="50" t="s">
        <v>27</v>
      </c>
      <c r="G833" s="51"/>
    </row>
    <row r="834" spans="1:7" s="50" customFormat="1">
      <c r="A834" s="50" t="s">
        <v>200</v>
      </c>
      <c r="B834" s="51">
        <v>3.6201398601398602E-9</v>
      </c>
      <c r="D834" s="50" t="s">
        <v>7</v>
      </c>
      <c r="E834" s="50" t="s">
        <v>243</v>
      </c>
      <c r="F834" s="50" t="s">
        <v>27</v>
      </c>
      <c r="G834" s="51"/>
    </row>
    <row r="835" spans="1:7" s="50" customFormat="1">
      <c r="A835" s="50" t="s">
        <v>201</v>
      </c>
      <c r="B835" s="51">
        <v>2.8142937062937061E-5</v>
      </c>
      <c r="D835" s="50" t="s">
        <v>7</v>
      </c>
      <c r="E835" s="50" t="s">
        <v>243</v>
      </c>
      <c r="F835" s="50" t="s">
        <v>27</v>
      </c>
      <c r="G835" s="51"/>
    </row>
    <row r="836" spans="1:7" s="50" customFormat="1">
      <c r="A836" s="50" t="s">
        <v>202</v>
      </c>
      <c r="B836" s="51">
        <v>1.3099972027972028E-4</v>
      </c>
      <c r="D836" s="50" t="s">
        <v>7</v>
      </c>
      <c r="E836" s="50" t="s">
        <v>243</v>
      </c>
      <c r="F836" s="50" t="s">
        <v>27</v>
      </c>
      <c r="G836" s="51"/>
    </row>
    <row r="837" spans="1:7" s="50" customFormat="1">
      <c r="A837" s="50" t="s">
        <v>203</v>
      </c>
      <c r="B837" s="51">
        <v>2.0953006993006993E-13</v>
      </c>
      <c r="D837" s="50" t="s">
        <v>7</v>
      </c>
      <c r="E837" s="50" t="s">
        <v>243</v>
      </c>
      <c r="F837" s="50" t="s">
        <v>27</v>
      </c>
      <c r="G837" s="51"/>
    </row>
    <row r="838" spans="1:7" s="50" customFormat="1">
      <c r="A838" s="50" t="s">
        <v>204</v>
      </c>
      <c r="B838" s="51">
        <v>11.186685314685315</v>
      </c>
      <c r="D838" s="50" t="s">
        <v>17</v>
      </c>
      <c r="E838" s="50" t="s">
        <v>243</v>
      </c>
      <c r="F838" s="50" t="s">
        <v>27</v>
      </c>
      <c r="G838" s="51"/>
    </row>
    <row r="839" spans="1:7" s="50" customFormat="1">
      <c r="A839" s="50" t="s">
        <v>205</v>
      </c>
      <c r="B839" s="51">
        <v>5.0120559440559441E-6</v>
      </c>
      <c r="D839" s="50" t="s">
        <v>7</v>
      </c>
      <c r="E839" s="50" t="s">
        <v>243</v>
      </c>
      <c r="F839" s="50" t="s">
        <v>27</v>
      </c>
      <c r="G839" s="51"/>
    </row>
    <row r="840" spans="1:7" s="50" customFormat="1">
      <c r="A840" s="50" t="s">
        <v>206</v>
      </c>
      <c r="B840" s="51">
        <v>2.9628251748251747E-6</v>
      </c>
      <c r="D840" s="50" t="s">
        <v>7</v>
      </c>
      <c r="E840" s="50" t="s">
        <v>243</v>
      </c>
      <c r="F840" s="50" t="s">
        <v>27</v>
      </c>
      <c r="G840" s="51"/>
    </row>
    <row r="841" spans="1:7" s="50" customFormat="1">
      <c r="A841" s="50" t="s">
        <v>249</v>
      </c>
      <c r="B841" s="51">
        <v>6.7027972027972023E-11</v>
      </c>
      <c r="D841" s="50" t="s">
        <v>7</v>
      </c>
      <c r="E841" s="50" t="s">
        <v>243</v>
      </c>
      <c r="F841" s="50" t="s">
        <v>27</v>
      </c>
      <c r="G841" s="51"/>
    </row>
    <row r="842" spans="1:7" s="50" customFormat="1">
      <c r="A842" s="50" t="s">
        <v>207</v>
      </c>
      <c r="B842" s="51">
        <v>2.3611468531468532E-9</v>
      </c>
      <c r="D842" s="50" t="s">
        <v>7</v>
      </c>
      <c r="E842" s="50" t="s">
        <v>243</v>
      </c>
      <c r="F842" s="50" t="s">
        <v>27</v>
      </c>
      <c r="G842" s="51"/>
    </row>
    <row r="843" spans="1:7" s="50" customFormat="1">
      <c r="A843" s="50" t="s">
        <v>208</v>
      </c>
      <c r="B843" s="51">
        <v>3.3575664335664339E-9</v>
      </c>
      <c r="D843" s="50" t="s">
        <v>7</v>
      </c>
      <c r="E843" s="50" t="s">
        <v>243</v>
      </c>
      <c r="F843" s="50" t="s">
        <v>27</v>
      </c>
      <c r="G843" s="51"/>
    </row>
    <row r="844" spans="1:7" s="50" customFormat="1">
      <c r="A844" s="50" t="s">
        <v>250</v>
      </c>
      <c r="B844" s="51">
        <v>6.5313566433566434E-6</v>
      </c>
      <c r="D844" s="50" t="s">
        <v>7</v>
      </c>
      <c r="E844" s="50" t="s">
        <v>243</v>
      </c>
      <c r="F844" s="50" t="s">
        <v>27</v>
      </c>
      <c r="G844" s="51"/>
    </row>
    <row r="845" spans="1:7" s="50" customFormat="1">
      <c r="A845" s="50" t="s">
        <v>209</v>
      </c>
      <c r="B845" s="51">
        <v>1.8031972027972029E-9</v>
      </c>
      <c r="D845" s="50" t="s">
        <v>7</v>
      </c>
      <c r="E845" s="50" t="s">
        <v>243</v>
      </c>
      <c r="F845" s="50" t="s">
        <v>27</v>
      </c>
      <c r="G845" s="51"/>
    </row>
    <row r="846" spans="1:7" s="50" customFormat="1">
      <c r="A846" s="50" t="s">
        <v>210</v>
      </c>
      <c r="B846" s="51">
        <v>4.3580139860139859E-9</v>
      </c>
      <c r="D846" s="50" t="s">
        <v>7</v>
      </c>
      <c r="E846" s="50" t="s">
        <v>243</v>
      </c>
      <c r="F846" s="50" t="s">
        <v>27</v>
      </c>
      <c r="G846" s="51"/>
    </row>
    <row r="847" spans="1:7" s="50" customFormat="1">
      <c r="A847" s="50" t="s">
        <v>251</v>
      </c>
      <c r="B847" s="51">
        <v>1.5715888111888111E-6</v>
      </c>
      <c r="D847" s="50" t="s">
        <v>7</v>
      </c>
      <c r="E847" s="50" t="s">
        <v>243</v>
      </c>
      <c r="F847" s="50" t="s">
        <v>27</v>
      </c>
      <c r="G847" s="51"/>
    </row>
    <row r="848" spans="1:7" s="50" customFormat="1">
      <c r="A848" s="50" t="s">
        <v>252</v>
      </c>
      <c r="B848" s="51">
        <v>1.1556755244755246E-9</v>
      </c>
      <c r="D848" s="50" t="s">
        <v>7</v>
      </c>
      <c r="E848" s="50" t="s">
        <v>243</v>
      </c>
      <c r="F848" s="50" t="s">
        <v>27</v>
      </c>
      <c r="G848" s="51"/>
    </row>
    <row r="849" spans="1:7" s="50" customFormat="1">
      <c r="A849" s="50" t="s">
        <v>212</v>
      </c>
      <c r="B849" s="51">
        <v>4.768111888111888E-6</v>
      </c>
      <c r="D849" s="50" t="s">
        <v>7</v>
      </c>
      <c r="E849" s="50" t="s">
        <v>243</v>
      </c>
      <c r="F849" s="50" t="s">
        <v>27</v>
      </c>
      <c r="G849" s="51"/>
    </row>
    <row r="850" spans="1:7" s="50" customFormat="1">
      <c r="A850" s="50" t="s">
        <v>213</v>
      </c>
      <c r="B850" s="51">
        <v>1.4950573426573428E-8</v>
      </c>
      <c r="D850" s="50" t="s">
        <v>7</v>
      </c>
      <c r="E850" s="50" t="s">
        <v>243</v>
      </c>
      <c r="F850" s="50" t="s">
        <v>27</v>
      </c>
      <c r="G850" s="51"/>
    </row>
    <row r="851" spans="1:7" s="50" customFormat="1">
      <c r="A851" s="50" t="s">
        <v>214</v>
      </c>
      <c r="B851" s="51">
        <v>5.0286713286713293E-4</v>
      </c>
      <c r="D851" s="50" t="s">
        <v>7</v>
      </c>
      <c r="E851" s="50" t="s">
        <v>243</v>
      </c>
      <c r="F851" s="50" t="s">
        <v>27</v>
      </c>
      <c r="G851" s="51"/>
    </row>
    <row r="852" spans="1:7" s="50" customFormat="1">
      <c r="A852" s="50" t="s">
        <v>215</v>
      </c>
      <c r="B852" s="51">
        <v>1.2508867132867133E-5</v>
      </c>
      <c r="D852" s="50" t="s">
        <v>7</v>
      </c>
      <c r="E852" s="50" t="s">
        <v>243</v>
      </c>
      <c r="F852" s="50" t="s">
        <v>27</v>
      </c>
      <c r="G852" s="51"/>
    </row>
    <row r="853" spans="1:7" s="50" customFormat="1">
      <c r="A853" s="50" t="s">
        <v>216</v>
      </c>
      <c r="B853" s="51">
        <v>6.2859020979020983E-8</v>
      </c>
      <c r="D853" s="50" t="s">
        <v>7</v>
      </c>
      <c r="E853" s="50" t="s">
        <v>243</v>
      </c>
      <c r="F853" s="50" t="s">
        <v>27</v>
      </c>
      <c r="G853" s="51"/>
    </row>
    <row r="854" spans="1:7" s="50" customFormat="1">
      <c r="A854" s="50" t="s">
        <v>217</v>
      </c>
      <c r="B854" s="51">
        <v>4.5626853146853149E-11</v>
      </c>
      <c r="D854" s="50" t="s">
        <v>7</v>
      </c>
      <c r="E854" s="50" t="s">
        <v>243</v>
      </c>
      <c r="F854" s="50" t="s">
        <v>27</v>
      </c>
      <c r="G854" s="51"/>
    </row>
    <row r="855" spans="1:7" s="50" customFormat="1">
      <c r="A855" s="50" t="s">
        <v>253</v>
      </c>
      <c r="B855" s="51">
        <v>2.5215104895104896E-6</v>
      </c>
      <c r="D855" s="50" t="s">
        <v>7</v>
      </c>
      <c r="E855" s="50" t="s">
        <v>243</v>
      </c>
      <c r="F855" s="50" t="s">
        <v>27</v>
      </c>
      <c r="G855" s="51"/>
    </row>
    <row r="856" spans="1:7" s="50" customFormat="1">
      <c r="A856" s="50" t="s">
        <v>254</v>
      </c>
      <c r="B856" s="51">
        <v>3.796867132867133E-5</v>
      </c>
      <c r="D856" s="50" t="s">
        <v>7</v>
      </c>
      <c r="E856" s="50" t="s">
        <v>243</v>
      </c>
      <c r="F856" s="50" t="s">
        <v>27</v>
      </c>
      <c r="G856" s="51"/>
    </row>
    <row r="857" spans="1:7" s="50" customFormat="1">
      <c r="A857" s="50" t="s">
        <v>218</v>
      </c>
      <c r="B857" s="51">
        <v>1.3091412587412588E-8</v>
      </c>
      <c r="D857" s="50" t="s">
        <v>7</v>
      </c>
      <c r="E857" s="50" t="s">
        <v>243</v>
      </c>
      <c r="F857" s="50" t="s">
        <v>27</v>
      </c>
      <c r="G857" s="51"/>
    </row>
    <row r="858" spans="1:7" s="50" customFormat="1">
      <c r="A858" s="50" t="s">
        <v>238</v>
      </c>
      <c r="B858" s="51">
        <v>1.3673202797202796E-7</v>
      </c>
      <c r="D858" s="50" t="s">
        <v>7</v>
      </c>
      <c r="E858" s="50" t="s">
        <v>243</v>
      </c>
      <c r="F858" s="50" t="s">
        <v>27</v>
      </c>
      <c r="G858" s="51"/>
    </row>
    <row r="859" spans="1:7" s="50" customFormat="1">
      <c r="A859" s="50" t="s">
        <v>219</v>
      </c>
      <c r="B859" s="51">
        <v>2.7042797202797204E-5</v>
      </c>
      <c r="D859" s="50" t="s">
        <v>7</v>
      </c>
      <c r="E859" s="50" t="s">
        <v>243</v>
      </c>
      <c r="F859" s="50" t="s">
        <v>27</v>
      </c>
      <c r="G859" s="51"/>
    </row>
    <row r="860" spans="1:7" s="50" customFormat="1">
      <c r="A860" s="50" t="s">
        <v>221</v>
      </c>
      <c r="B860" s="51">
        <v>3.5010629370629369E-5</v>
      </c>
      <c r="D860" s="50" t="s">
        <v>7</v>
      </c>
      <c r="E860" s="50" t="s">
        <v>243</v>
      </c>
      <c r="F860" s="50" t="s">
        <v>27</v>
      </c>
      <c r="G860" s="51"/>
    </row>
    <row r="861" spans="1:7" s="50" customFormat="1">
      <c r="A861" s="50" t="s">
        <v>223</v>
      </c>
      <c r="B861" s="51">
        <v>1.1468895104895105E-11</v>
      </c>
      <c r="D861" s="50" t="s">
        <v>7</v>
      </c>
      <c r="E861" s="50" t="s">
        <v>243</v>
      </c>
      <c r="F861" s="50" t="s">
        <v>27</v>
      </c>
      <c r="G861" s="51"/>
    </row>
    <row r="862" spans="1:7" s="50" customFormat="1">
      <c r="A862" s="50" t="s">
        <v>225</v>
      </c>
      <c r="B862" s="51">
        <v>2.0954265734265734E-7</v>
      </c>
      <c r="D862" s="50" t="s">
        <v>7</v>
      </c>
      <c r="E862" s="50" t="s">
        <v>243</v>
      </c>
      <c r="F862" s="50" t="s">
        <v>27</v>
      </c>
      <c r="G862" s="51"/>
    </row>
    <row r="863" spans="1:7" s="50" customFormat="1">
      <c r="A863" s="50" t="s">
        <v>226</v>
      </c>
      <c r="B863" s="51">
        <v>1.3964223776223776E-7</v>
      </c>
      <c r="D863" s="50" t="s">
        <v>7</v>
      </c>
      <c r="E863" s="50" t="s">
        <v>243</v>
      </c>
      <c r="F863" s="50" t="s">
        <v>27</v>
      </c>
      <c r="G863" s="51"/>
    </row>
    <row r="864" spans="1:7" s="50" customFormat="1">
      <c r="A864" s="50" t="s">
        <v>227</v>
      </c>
      <c r="B864" s="51">
        <v>3.4107583216783218E-3</v>
      </c>
      <c r="D864" s="50" t="s">
        <v>37</v>
      </c>
      <c r="E864" s="50" t="s">
        <v>243</v>
      </c>
      <c r="F864" s="50" t="s">
        <v>27</v>
      </c>
      <c r="G864" s="51"/>
    </row>
    <row r="865" spans="1:7" s="50" customFormat="1">
      <c r="A865" s="50" t="s">
        <v>228</v>
      </c>
      <c r="B865" s="51">
        <v>8.571524475524476E-8</v>
      </c>
      <c r="D865" s="50" t="s">
        <v>7</v>
      </c>
      <c r="E865" s="50" t="s">
        <v>243</v>
      </c>
      <c r="F865" s="50" t="s">
        <v>27</v>
      </c>
      <c r="G865" s="51"/>
    </row>
    <row r="866" spans="1:7" s="50" customFormat="1">
      <c r="A866" s="50" t="s">
        <v>187</v>
      </c>
      <c r="B866" s="51">
        <v>1.6942909090909092E-2</v>
      </c>
      <c r="D866" s="50" t="s">
        <v>7</v>
      </c>
      <c r="E866" s="50" t="s">
        <v>244</v>
      </c>
      <c r="F866" s="50" t="s">
        <v>27</v>
      </c>
      <c r="G866" s="51"/>
    </row>
    <row r="867" spans="1:7" s="50" customFormat="1">
      <c r="A867" s="50" t="s">
        <v>187</v>
      </c>
      <c r="B867" s="51">
        <v>1.6301454545454547E-6</v>
      </c>
      <c r="D867" s="50" t="s">
        <v>7</v>
      </c>
      <c r="E867" s="50" t="s">
        <v>245</v>
      </c>
      <c r="F867" s="50" t="s">
        <v>27</v>
      </c>
      <c r="G867" s="51"/>
    </row>
    <row r="868" spans="1:7" s="50" customFormat="1">
      <c r="A868" s="50" t="s">
        <v>189</v>
      </c>
      <c r="B868" s="51">
        <v>2.0326909090909091E-9</v>
      </c>
      <c r="D868" s="50" t="s">
        <v>7</v>
      </c>
      <c r="E868" s="50" t="s">
        <v>244</v>
      </c>
      <c r="F868" s="50" t="s">
        <v>27</v>
      </c>
      <c r="G868" s="51"/>
    </row>
    <row r="869" spans="1:7" s="50" customFormat="1">
      <c r="A869" s="50" t="s">
        <v>189</v>
      </c>
      <c r="B869" s="51">
        <v>1.1073650349650351E-9</v>
      </c>
      <c r="D869" s="50" t="s">
        <v>7</v>
      </c>
      <c r="E869" s="50" t="s">
        <v>245</v>
      </c>
      <c r="F869" s="50" t="s">
        <v>27</v>
      </c>
      <c r="G869" s="51"/>
    </row>
    <row r="870" spans="1:7" s="50" customFormat="1">
      <c r="A870" s="50" t="s">
        <v>190</v>
      </c>
      <c r="B870" s="51">
        <v>2.6773426573426577E-6</v>
      </c>
      <c r="D870" s="50" t="s">
        <v>7</v>
      </c>
      <c r="E870" s="50" t="s">
        <v>244</v>
      </c>
      <c r="F870" s="50" t="s">
        <v>27</v>
      </c>
      <c r="G870" s="51"/>
    </row>
    <row r="871" spans="1:7" s="50" customFormat="1">
      <c r="A871" s="50" t="s">
        <v>190</v>
      </c>
      <c r="B871" s="51">
        <v>1.7638741258741259E-6</v>
      </c>
      <c r="D871" s="50" t="s">
        <v>7</v>
      </c>
      <c r="E871" s="50" t="s">
        <v>245</v>
      </c>
      <c r="F871" s="50" t="s">
        <v>27</v>
      </c>
      <c r="G871" s="51"/>
    </row>
    <row r="872" spans="1:7" s="50" customFormat="1">
      <c r="A872" s="50" t="s">
        <v>229</v>
      </c>
      <c r="B872" s="51">
        <v>8.6437762237762247E-4</v>
      </c>
      <c r="D872" s="50" t="s">
        <v>7</v>
      </c>
      <c r="E872" s="50" t="s">
        <v>244</v>
      </c>
      <c r="F872" s="50" t="s">
        <v>27</v>
      </c>
      <c r="G872" s="51"/>
    </row>
    <row r="873" spans="1:7" s="50" customFormat="1">
      <c r="A873" s="50" t="s">
        <v>229</v>
      </c>
      <c r="B873" s="51">
        <v>2.652923076923077E-4</v>
      </c>
      <c r="D873" s="50" t="s">
        <v>7</v>
      </c>
      <c r="E873" s="50" t="s">
        <v>245</v>
      </c>
      <c r="F873" s="50" t="s">
        <v>27</v>
      </c>
      <c r="G873" s="51"/>
    </row>
    <row r="874" spans="1:7" s="50" customFormat="1">
      <c r="A874" s="50" t="s">
        <v>255</v>
      </c>
      <c r="B874" s="51">
        <v>1.8568195804195807E-5</v>
      </c>
      <c r="D874" s="50" t="s">
        <v>7</v>
      </c>
      <c r="E874" s="50" t="s">
        <v>244</v>
      </c>
      <c r="F874" s="50" t="s">
        <v>27</v>
      </c>
      <c r="G874" s="51"/>
    </row>
    <row r="875" spans="1:7" s="50" customFormat="1">
      <c r="A875" s="50" t="s">
        <v>255</v>
      </c>
      <c r="B875" s="51">
        <v>2.3289230769230768E-7</v>
      </c>
      <c r="D875" s="50" t="s">
        <v>7</v>
      </c>
      <c r="E875" s="50" t="s">
        <v>245</v>
      </c>
      <c r="F875" s="50" t="s">
        <v>27</v>
      </c>
      <c r="G875" s="51"/>
    </row>
    <row r="876" spans="1:7" s="50" customFormat="1">
      <c r="A876" s="50" t="s">
        <v>195</v>
      </c>
      <c r="B876" s="51">
        <v>6.8299300699300701E-7</v>
      </c>
      <c r="D876" s="50" t="s">
        <v>7</v>
      </c>
      <c r="E876" s="50" t="s">
        <v>244</v>
      </c>
      <c r="F876" s="50" t="s">
        <v>27</v>
      </c>
      <c r="G876" s="51"/>
    </row>
    <row r="877" spans="1:7" s="50" customFormat="1">
      <c r="A877" s="50" t="s">
        <v>195</v>
      </c>
      <c r="B877" s="51">
        <v>1.2225146853146853E-5</v>
      </c>
      <c r="D877" s="50" t="s">
        <v>7</v>
      </c>
      <c r="E877" s="50" t="s">
        <v>245</v>
      </c>
      <c r="F877" s="50" t="s">
        <v>27</v>
      </c>
      <c r="G877" s="51"/>
    </row>
    <row r="878" spans="1:7" s="50" customFormat="1">
      <c r="A878" s="50" t="s">
        <v>231</v>
      </c>
      <c r="B878" s="51">
        <v>2.6426013986013985E-3</v>
      </c>
      <c r="D878" s="50" t="s">
        <v>7</v>
      </c>
      <c r="E878" s="50" t="s">
        <v>244</v>
      </c>
      <c r="F878" s="50" t="s">
        <v>27</v>
      </c>
      <c r="G878" s="51"/>
    </row>
    <row r="879" spans="1:7" s="50" customFormat="1">
      <c r="A879" s="50" t="s">
        <v>231</v>
      </c>
      <c r="B879" s="51">
        <v>2.7108251748251747E-4</v>
      </c>
      <c r="D879" s="50" t="s">
        <v>7</v>
      </c>
      <c r="E879" s="50" t="s">
        <v>245</v>
      </c>
      <c r="F879" s="50" t="s">
        <v>27</v>
      </c>
      <c r="G879" s="51"/>
    </row>
    <row r="880" spans="1:7" s="50" customFormat="1">
      <c r="A880" s="50" t="s">
        <v>196</v>
      </c>
      <c r="B880" s="51">
        <v>4.8599999999999998E-8</v>
      </c>
      <c r="D880" s="50" t="s">
        <v>7</v>
      </c>
      <c r="E880" s="50" t="s">
        <v>244</v>
      </c>
      <c r="F880" s="50" t="s">
        <v>27</v>
      </c>
      <c r="G880" s="51"/>
    </row>
    <row r="881" spans="1:7" s="50" customFormat="1">
      <c r="A881" s="50" t="s">
        <v>196</v>
      </c>
      <c r="B881" s="51">
        <v>5.3889230769230771E-11</v>
      </c>
      <c r="D881" s="50" t="s">
        <v>7</v>
      </c>
      <c r="E881" s="50" t="s">
        <v>245</v>
      </c>
      <c r="F881" s="50" t="s">
        <v>27</v>
      </c>
      <c r="G881" s="51"/>
    </row>
    <row r="882" spans="1:7" s="50" customFormat="1">
      <c r="A882" s="50" t="s">
        <v>232</v>
      </c>
      <c r="B882" s="51">
        <v>4.0634685314685309E-2</v>
      </c>
      <c r="D882" s="50" t="s">
        <v>7</v>
      </c>
      <c r="E882" s="50" t="s">
        <v>244</v>
      </c>
      <c r="F882" s="50" t="s">
        <v>27</v>
      </c>
      <c r="G882" s="51"/>
    </row>
    <row r="883" spans="1:7" s="50" customFormat="1">
      <c r="A883" s="50" t="s">
        <v>232</v>
      </c>
      <c r="B883" s="51">
        <v>8.6037482517482518E-4</v>
      </c>
      <c r="D883" s="50" t="s">
        <v>7</v>
      </c>
      <c r="E883" s="50" t="s">
        <v>245</v>
      </c>
      <c r="F883" s="50" t="s">
        <v>27</v>
      </c>
      <c r="G883" s="51"/>
    </row>
    <row r="884" spans="1:7" s="50" customFormat="1">
      <c r="A884" s="50" t="s">
        <v>233</v>
      </c>
      <c r="B884" s="51">
        <v>1.1063580419580421E-3</v>
      </c>
      <c r="D884" s="50" t="s">
        <v>7</v>
      </c>
      <c r="E884" s="50" t="s">
        <v>244</v>
      </c>
      <c r="F884" s="50" t="s">
        <v>27</v>
      </c>
      <c r="G884" s="51"/>
    </row>
    <row r="885" spans="1:7" s="50" customFormat="1">
      <c r="A885" s="50" t="s">
        <v>233</v>
      </c>
      <c r="B885" s="51">
        <v>7.4603076923076932E-3</v>
      </c>
      <c r="D885" s="50" t="s">
        <v>7</v>
      </c>
      <c r="E885" s="50" t="s">
        <v>245</v>
      </c>
      <c r="F885" s="50" t="s">
        <v>27</v>
      </c>
      <c r="G885" s="51"/>
    </row>
    <row r="886" spans="1:7" s="50" customFormat="1">
      <c r="A886" s="50" t="s">
        <v>198</v>
      </c>
      <c r="B886" s="51">
        <v>2.2805622377622377E-9</v>
      </c>
      <c r="D886" s="50" t="s">
        <v>7</v>
      </c>
      <c r="E886" s="50" t="s">
        <v>245</v>
      </c>
      <c r="F886" s="50" t="s">
        <v>27</v>
      </c>
      <c r="G886" s="51"/>
    </row>
    <row r="887" spans="1:7" s="50" customFormat="1">
      <c r="A887" s="50" t="s">
        <v>234</v>
      </c>
      <c r="B887" s="51">
        <v>1.0012027972027972E-6</v>
      </c>
      <c r="D887" s="50" t="s">
        <v>7</v>
      </c>
      <c r="E887" s="50" t="s">
        <v>244</v>
      </c>
      <c r="F887" s="50" t="s">
        <v>27</v>
      </c>
      <c r="G887" s="51"/>
    </row>
    <row r="888" spans="1:7" s="50" customFormat="1">
      <c r="A888" s="50" t="s">
        <v>234</v>
      </c>
      <c r="B888" s="51">
        <v>2.9024055944055941E-7</v>
      </c>
      <c r="D888" s="50" t="s">
        <v>7</v>
      </c>
      <c r="E888" s="50" t="s">
        <v>245</v>
      </c>
      <c r="F888" s="50" t="s">
        <v>27</v>
      </c>
      <c r="G888" s="51"/>
    </row>
    <row r="889" spans="1:7" s="50" customFormat="1">
      <c r="A889" s="50" t="s">
        <v>199</v>
      </c>
      <c r="B889" s="51">
        <v>9.6140139860139865E-6</v>
      </c>
      <c r="D889" s="50" t="s">
        <v>7</v>
      </c>
      <c r="E889" s="50" t="s">
        <v>244</v>
      </c>
      <c r="F889" s="50" t="s">
        <v>27</v>
      </c>
      <c r="G889" s="51"/>
    </row>
    <row r="890" spans="1:7" s="50" customFormat="1">
      <c r="A890" s="50" t="s">
        <v>199</v>
      </c>
      <c r="B890" s="51">
        <v>1.8245202797202798E-9</v>
      </c>
      <c r="D890" s="50" t="s">
        <v>7</v>
      </c>
      <c r="E890" s="50" t="s">
        <v>245</v>
      </c>
      <c r="F890" s="50" t="s">
        <v>27</v>
      </c>
      <c r="G890" s="51"/>
    </row>
    <row r="891" spans="1:7" s="50" customFormat="1">
      <c r="A891" s="50" t="s">
        <v>200</v>
      </c>
      <c r="B891" s="51">
        <v>3.7241118881118882E-5</v>
      </c>
      <c r="D891" s="50" t="s">
        <v>7</v>
      </c>
      <c r="E891" s="50" t="s">
        <v>244</v>
      </c>
      <c r="F891" s="50" t="s">
        <v>27</v>
      </c>
      <c r="G891" s="51"/>
    </row>
    <row r="892" spans="1:7" s="50" customFormat="1">
      <c r="A892" s="50" t="s">
        <v>200</v>
      </c>
      <c r="B892" s="51">
        <v>3.428055944055944E-9</v>
      </c>
      <c r="D892" s="50" t="s">
        <v>7</v>
      </c>
      <c r="E892" s="50" t="s">
        <v>245</v>
      </c>
      <c r="F892" s="50" t="s">
        <v>27</v>
      </c>
      <c r="G892" s="51"/>
    </row>
    <row r="893" spans="1:7" s="50" customFormat="1">
      <c r="A893" s="50" t="s">
        <v>235</v>
      </c>
      <c r="B893" s="51">
        <v>1.0456615384615384E-3</v>
      </c>
      <c r="D893" s="50" t="s">
        <v>7</v>
      </c>
      <c r="E893" s="50" t="s">
        <v>244</v>
      </c>
      <c r="F893" s="50" t="s">
        <v>27</v>
      </c>
      <c r="G893" s="51"/>
    </row>
    <row r="894" spans="1:7" s="50" customFormat="1">
      <c r="A894" s="50" t="s">
        <v>235</v>
      </c>
      <c r="B894" s="51">
        <v>1.1824363636363636E-4</v>
      </c>
      <c r="D894" s="50" t="s">
        <v>7</v>
      </c>
      <c r="E894" s="50" t="s">
        <v>245</v>
      </c>
      <c r="F894" s="50" t="s">
        <v>27</v>
      </c>
      <c r="G894" s="51"/>
    </row>
    <row r="895" spans="1:7" s="50" customFormat="1">
      <c r="A895" s="50" t="s">
        <v>236</v>
      </c>
      <c r="B895" s="51">
        <v>2.9298461538461538E-4</v>
      </c>
      <c r="D895" s="50" t="s">
        <v>7</v>
      </c>
      <c r="E895" s="50" t="s">
        <v>244</v>
      </c>
      <c r="F895" s="50" t="s">
        <v>27</v>
      </c>
      <c r="G895" s="51"/>
    </row>
    <row r="896" spans="1:7" s="50" customFormat="1">
      <c r="A896" s="50" t="s">
        <v>236</v>
      </c>
      <c r="B896" s="51">
        <v>1.278151048951049E-4</v>
      </c>
      <c r="D896" s="50" t="s">
        <v>7</v>
      </c>
      <c r="E896" s="50" t="s">
        <v>245</v>
      </c>
      <c r="F896" s="50" t="s">
        <v>27</v>
      </c>
      <c r="G896" s="51"/>
    </row>
    <row r="897" spans="1:7" s="50" customFormat="1">
      <c r="A897" s="50" t="s">
        <v>204</v>
      </c>
      <c r="B897" s="51">
        <v>3.7538181818181822</v>
      </c>
      <c r="D897" s="50" t="s">
        <v>17</v>
      </c>
      <c r="E897" s="50" t="s">
        <v>245</v>
      </c>
      <c r="F897" s="50" t="s">
        <v>27</v>
      </c>
      <c r="G897" s="51"/>
    </row>
    <row r="898" spans="1:7" s="50" customFormat="1">
      <c r="A898" s="50" t="s">
        <v>256</v>
      </c>
      <c r="B898" s="51">
        <v>2.2649034965034967E-15</v>
      </c>
      <c r="D898" s="50" t="s">
        <v>7</v>
      </c>
      <c r="E898" s="50" t="s">
        <v>244</v>
      </c>
      <c r="F898" s="50" t="s">
        <v>27</v>
      </c>
      <c r="G898" s="51"/>
    </row>
    <row r="899" spans="1:7" s="50" customFormat="1">
      <c r="A899" s="50" t="s">
        <v>256</v>
      </c>
      <c r="B899" s="51">
        <v>1.1779048951048952E-7</v>
      </c>
      <c r="D899" s="50" t="s">
        <v>7</v>
      </c>
      <c r="E899" s="50" t="s">
        <v>245</v>
      </c>
      <c r="F899" s="50" t="s">
        <v>27</v>
      </c>
      <c r="G899" s="51"/>
    </row>
    <row r="900" spans="1:7" s="50" customFormat="1">
      <c r="A900" s="50" t="s">
        <v>207</v>
      </c>
      <c r="B900" s="51">
        <v>6.756671328671329E-4</v>
      </c>
      <c r="D900" s="50" t="s">
        <v>7</v>
      </c>
      <c r="E900" s="50" t="s">
        <v>244</v>
      </c>
      <c r="F900" s="50" t="s">
        <v>27</v>
      </c>
      <c r="G900" s="51"/>
    </row>
    <row r="901" spans="1:7" s="50" customFormat="1">
      <c r="A901" s="50" t="s">
        <v>207</v>
      </c>
      <c r="B901" s="51">
        <v>2.7735104895104896E-8</v>
      </c>
      <c r="D901" s="50" t="s">
        <v>7</v>
      </c>
      <c r="E901" s="50" t="s">
        <v>245</v>
      </c>
      <c r="F901" s="50" t="s">
        <v>27</v>
      </c>
      <c r="G901" s="51"/>
    </row>
    <row r="902" spans="1:7" s="50" customFormat="1">
      <c r="A902" s="50" t="s">
        <v>208</v>
      </c>
      <c r="B902" s="51">
        <v>2.8694265734265735E-5</v>
      </c>
      <c r="D902" s="50" t="s">
        <v>7</v>
      </c>
      <c r="E902" s="50" t="s">
        <v>244</v>
      </c>
      <c r="F902" s="50" t="s">
        <v>27</v>
      </c>
      <c r="G902" s="51"/>
    </row>
    <row r="903" spans="1:7" s="50" customFormat="1">
      <c r="A903" s="50" t="s">
        <v>208</v>
      </c>
      <c r="B903" s="51">
        <v>2.7767832167832169E-9</v>
      </c>
      <c r="D903" s="50" t="s">
        <v>7</v>
      </c>
      <c r="E903" s="50" t="s">
        <v>245</v>
      </c>
      <c r="F903" s="50" t="s">
        <v>27</v>
      </c>
      <c r="G903" s="51"/>
    </row>
    <row r="904" spans="1:7" s="50" customFormat="1">
      <c r="A904" s="50" t="s">
        <v>250</v>
      </c>
      <c r="B904" s="51">
        <v>5.7670489510489508E-3</v>
      </c>
      <c r="D904" s="50" t="s">
        <v>7</v>
      </c>
      <c r="E904" s="50" t="s">
        <v>244</v>
      </c>
      <c r="F904" s="50" t="s">
        <v>27</v>
      </c>
      <c r="G904" s="51"/>
    </row>
    <row r="905" spans="1:7" s="50" customFormat="1">
      <c r="A905" s="50" t="s">
        <v>250</v>
      </c>
      <c r="B905" s="51">
        <v>4.6883076923076929E-5</v>
      </c>
      <c r="D905" s="50" t="s">
        <v>7</v>
      </c>
      <c r="E905" s="50" t="s">
        <v>245</v>
      </c>
      <c r="F905" s="50" t="s">
        <v>27</v>
      </c>
      <c r="G905" s="51"/>
    </row>
    <row r="906" spans="1:7" s="50" customFormat="1">
      <c r="A906" s="50" t="s">
        <v>209</v>
      </c>
      <c r="B906" s="51">
        <v>7.5036083916083917E-6</v>
      </c>
      <c r="D906" s="50" t="s">
        <v>7</v>
      </c>
      <c r="E906" s="50" t="s">
        <v>244</v>
      </c>
      <c r="F906" s="50" t="s">
        <v>27</v>
      </c>
      <c r="G906" s="51"/>
    </row>
    <row r="907" spans="1:7" s="50" customFormat="1">
      <c r="A907" s="50" t="s">
        <v>209</v>
      </c>
      <c r="B907" s="51">
        <v>1.1830405594405597E-9</v>
      </c>
      <c r="D907" s="50" t="s">
        <v>7</v>
      </c>
      <c r="E907" s="50" t="s">
        <v>245</v>
      </c>
      <c r="F907" s="50" t="s">
        <v>27</v>
      </c>
      <c r="G907" s="51"/>
    </row>
    <row r="908" spans="1:7" s="50" customFormat="1">
      <c r="A908" s="50" t="s">
        <v>210</v>
      </c>
      <c r="B908" s="51">
        <v>3.2294265734265737E-8</v>
      </c>
      <c r="D908" s="50" t="s">
        <v>7</v>
      </c>
      <c r="E908" s="50" t="s">
        <v>244</v>
      </c>
      <c r="F908" s="50" t="s">
        <v>27</v>
      </c>
      <c r="G908" s="51"/>
    </row>
    <row r="909" spans="1:7" s="50" customFormat="1">
      <c r="A909" s="50" t="s">
        <v>210</v>
      </c>
      <c r="B909" s="51">
        <v>8.1790489510489511E-10</v>
      </c>
      <c r="D909" s="50" t="s">
        <v>7</v>
      </c>
      <c r="E909" s="50" t="s">
        <v>245</v>
      </c>
      <c r="F909" s="50" t="s">
        <v>27</v>
      </c>
      <c r="G909" s="51"/>
    </row>
    <row r="910" spans="1:7" s="50" customFormat="1">
      <c r="A910" s="50" t="s">
        <v>252</v>
      </c>
      <c r="B910" s="51">
        <v>6.7717762237762231E-7</v>
      </c>
      <c r="D910" s="50" t="s">
        <v>7</v>
      </c>
      <c r="E910" s="50" t="s">
        <v>244</v>
      </c>
      <c r="F910" s="50" t="s">
        <v>27</v>
      </c>
      <c r="G910" s="51"/>
    </row>
    <row r="911" spans="1:7" s="50" customFormat="1">
      <c r="A911" s="50" t="s">
        <v>252</v>
      </c>
      <c r="B911" s="51">
        <v>1.4614741258741259E-7</v>
      </c>
      <c r="D911" s="50" t="s">
        <v>7</v>
      </c>
      <c r="E911" s="50" t="s">
        <v>245</v>
      </c>
      <c r="F911" s="50" t="s">
        <v>27</v>
      </c>
      <c r="G911" s="51"/>
    </row>
    <row r="912" spans="1:7" s="50" customFormat="1">
      <c r="A912" s="50" t="s">
        <v>213</v>
      </c>
      <c r="B912" s="51">
        <v>1.1745062937062937E-5</v>
      </c>
      <c r="D912" s="50" t="s">
        <v>7</v>
      </c>
      <c r="E912" s="50" t="s">
        <v>244</v>
      </c>
      <c r="F912" s="50" t="s">
        <v>27</v>
      </c>
      <c r="G912" s="51"/>
    </row>
    <row r="913" spans="1:7" s="50" customFormat="1">
      <c r="A913" s="50" t="s">
        <v>213</v>
      </c>
      <c r="B913" s="51">
        <v>8.059972027972029E-9</v>
      </c>
      <c r="D913" s="50" t="s">
        <v>7</v>
      </c>
      <c r="E913" s="50" t="s">
        <v>245</v>
      </c>
      <c r="F913" s="50" t="s">
        <v>27</v>
      </c>
      <c r="G913" s="51"/>
    </row>
    <row r="914" spans="1:7" s="50" customFormat="1">
      <c r="A914" s="50" t="s">
        <v>237</v>
      </c>
      <c r="B914" s="51">
        <v>3.1501258741258742E-4</v>
      </c>
      <c r="D914" s="50" t="s">
        <v>7</v>
      </c>
      <c r="E914" s="50" t="s">
        <v>244</v>
      </c>
      <c r="F914" s="50" t="s">
        <v>27</v>
      </c>
      <c r="G914" s="51"/>
    </row>
    <row r="915" spans="1:7" s="50" customFormat="1">
      <c r="A915" s="50" t="s">
        <v>237</v>
      </c>
      <c r="B915" s="51">
        <v>1.1284363636363638E-4</v>
      </c>
      <c r="D915" s="50" t="s">
        <v>7</v>
      </c>
      <c r="E915" s="50" t="s">
        <v>245</v>
      </c>
      <c r="F915" s="50" t="s">
        <v>27</v>
      </c>
      <c r="G915" s="51"/>
    </row>
    <row r="916" spans="1:7" s="50" customFormat="1">
      <c r="A916" s="50" t="s">
        <v>257</v>
      </c>
      <c r="B916" s="51">
        <v>2.2315216783216782E-4</v>
      </c>
      <c r="D916" s="50" t="s">
        <v>7</v>
      </c>
      <c r="E916" s="50" t="s">
        <v>244</v>
      </c>
      <c r="F916" s="50" t="s">
        <v>27</v>
      </c>
      <c r="G916" s="51"/>
    </row>
    <row r="917" spans="1:7" s="50" customFormat="1">
      <c r="A917" s="50" t="s">
        <v>257</v>
      </c>
      <c r="B917" s="51">
        <v>3.6944055944055944E-6</v>
      </c>
      <c r="D917" s="50" t="s">
        <v>7</v>
      </c>
      <c r="E917" s="50" t="s">
        <v>245</v>
      </c>
      <c r="F917" s="50" t="s">
        <v>27</v>
      </c>
      <c r="G917" s="51"/>
    </row>
    <row r="918" spans="1:7" s="50" customFormat="1">
      <c r="A918" s="50" t="s">
        <v>254</v>
      </c>
      <c r="B918" s="51">
        <v>5.5145454545454551E-3</v>
      </c>
      <c r="D918" s="50" t="s">
        <v>7</v>
      </c>
      <c r="E918" s="50" t="s">
        <v>244</v>
      </c>
      <c r="F918" s="50" t="s">
        <v>27</v>
      </c>
      <c r="G918" s="51"/>
    </row>
    <row r="919" spans="1:7" s="50" customFormat="1">
      <c r="A919" s="50" t="s">
        <v>254</v>
      </c>
      <c r="B919" s="51">
        <v>2.0839972027972028E-3</v>
      </c>
      <c r="D919" s="50" t="s">
        <v>7</v>
      </c>
      <c r="E919" s="50" t="s">
        <v>245</v>
      </c>
      <c r="F919" s="50" t="s">
        <v>27</v>
      </c>
      <c r="G919" s="51"/>
    </row>
    <row r="920" spans="1:7" s="50" customFormat="1">
      <c r="A920" s="50" t="s">
        <v>218</v>
      </c>
      <c r="B920" s="51">
        <v>8.4209790209790204E-7</v>
      </c>
      <c r="D920" s="50" t="s">
        <v>7</v>
      </c>
      <c r="E920" s="50" t="s">
        <v>244</v>
      </c>
      <c r="F920" s="50" t="s">
        <v>27</v>
      </c>
      <c r="G920" s="51"/>
    </row>
    <row r="921" spans="1:7" s="50" customFormat="1">
      <c r="A921" s="50" t="s">
        <v>218</v>
      </c>
      <c r="B921" s="51">
        <v>2.1863832167832167E-7</v>
      </c>
      <c r="D921" s="50" t="s">
        <v>7</v>
      </c>
      <c r="E921" s="50" t="s">
        <v>245</v>
      </c>
      <c r="F921" s="50" t="s">
        <v>27</v>
      </c>
      <c r="G921" s="51"/>
    </row>
    <row r="922" spans="1:7" s="50" customFormat="1">
      <c r="A922" s="50" t="s">
        <v>238</v>
      </c>
      <c r="B922" s="51">
        <v>6.4825174825174827E-3</v>
      </c>
      <c r="D922" s="50" t="s">
        <v>7</v>
      </c>
      <c r="E922" s="50" t="s">
        <v>244</v>
      </c>
      <c r="F922" s="50" t="s">
        <v>27</v>
      </c>
      <c r="G922" s="51"/>
    </row>
    <row r="923" spans="1:7" s="50" customFormat="1">
      <c r="A923" s="50" t="s">
        <v>238</v>
      </c>
      <c r="B923" s="51">
        <v>2.0803972027972029E-5</v>
      </c>
      <c r="D923" s="50" t="s">
        <v>7</v>
      </c>
      <c r="E923" s="50" t="s">
        <v>245</v>
      </c>
      <c r="F923" s="50" t="s">
        <v>27</v>
      </c>
      <c r="G923" s="51"/>
    </row>
    <row r="924" spans="1:7" s="50" customFormat="1">
      <c r="A924" s="50" t="s">
        <v>239</v>
      </c>
      <c r="B924" s="51">
        <v>2.1556699300699302E-3</v>
      </c>
      <c r="D924" s="50" t="s">
        <v>7</v>
      </c>
      <c r="E924" s="50" t="s">
        <v>244</v>
      </c>
      <c r="F924" s="50" t="s">
        <v>27</v>
      </c>
      <c r="G924" s="51"/>
    </row>
    <row r="925" spans="1:7" s="50" customFormat="1">
      <c r="A925" s="50" t="s">
        <v>239</v>
      </c>
      <c r="B925" s="51">
        <v>1.0839524475524476E-3</v>
      </c>
      <c r="D925" s="50" t="s">
        <v>7</v>
      </c>
      <c r="E925" s="50" t="s">
        <v>245</v>
      </c>
      <c r="F925" s="50" t="s">
        <v>27</v>
      </c>
      <c r="G925" s="51"/>
    </row>
    <row r="926" spans="1:7" s="50" customFormat="1">
      <c r="A926" s="50" t="s">
        <v>240</v>
      </c>
      <c r="B926" s="51">
        <v>7.8711608391608401E-3</v>
      </c>
      <c r="D926" s="50" t="s">
        <v>7</v>
      </c>
      <c r="E926" s="50" t="s">
        <v>244</v>
      </c>
      <c r="F926" s="50" t="s">
        <v>27</v>
      </c>
      <c r="G926" s="51"/>
    </row>
    <row r="927" spans="1:7" s="50" customFormat="1">
      <c r="A927" s="50" t="s">
        <v>240</v>
      </c>
      <c r="B927" s="51">
        <v>1.3452923076923077E-3</v>
      </c>
      <c r="D927" s="50" t="s">
        <v>7</v>
      </c>
      <c r="E927" s="50" t="s">
        <v>245</v>
      </c>
      <c r="F927" s="50" t="s">
        <v>27</v>
      </c>
      <c r="G927" s="51"/>
    </row>
    <row r="928" spans="1:7" s="50" customFormat="1">
      <c r="A928" s="50" t="s">
        <v>241</v>
      </c>
      <c r="B928" s="51">
        <v>1.0456615384615384E-3</v>
      </c>
      <c r="D928" s="50" t="s">
        <v>7</v>
      </c>
      <c r="E928" s="50" t="s">
        <v>244</v>
      </c>
      <c r="F928" s="50" t="s">
        <v>27</v>
      </c>
      <c r="G928" s="51"/>
    </row>
    <row r="929" spans="1:7" s="50" customFormat="1">
      <c r="A929" s="50" t="s">
        <v>241</v>
      </c>
      <c r="B929" s="51">
        <v>1.1824363636363636E-4</v>
      </c>
      <c r="D929" s="50" t="s">
        <v>7</v>
      </c>
      <c r="E929" s="50" t="s">
        <v>245</v>
      </c>
      <c r="F929" s="50" t="s">
        <v>27</v>
      </c>
      <c r="G929" s="51"/>
    </row>
    <row r="930" spans="1:7" s="50" customFormat="1">
      <c r="A930" s="50" t="s">
        <v>222</v>
      </c>
      <c r="B930" s="51">
        <v>2.4847804195804196E-9</v>
      </c>
      <c r="D930" s="50" t="s">
        <v>7</v>
      </c>
      <c r="E930" s="50" t="s">
        <v>244</v>
      </c>
      <c r="F930" s="50" t="s">
        <v>27</v>
      </c>
      <c r="G930" s="51"/>
    </row>
    <row r="931" spans="1:7" s="50" customFormat="1">
      <c r="A931" s="50" t="s">
        <v>222</v>
      </c>
      <c r="B931" s="51">
        <v>4.1483076923076925E-12</v>
      </c>
      <c r="D931" s="50" t="s">
        <v>7</v>
      </c>
      <c r="E931" s="50" t="s">
        <v>245</v>
      </c>
      <c r="F931" s="50" t="s">
        <v>27</v>
      </c>
      <c r="G931" s="51"/>
    </row>
    <row r="932" spans="1:7" s="50" customFormat="1">
      <c r="A932" s="50" t="s">
        <v>223</v>
      </c>
      <c r="B932" s="51">
        <v>1.1653426573426574E-5</v>
      </c>
      <c r="D932" s="50" t="s">
        <v>7</v>
      </c>
      <c r="E932" s="50" t="s">
        <v>244</v>
      </c>
      <c r="F932" s="50" t="s">
        <v>27</v>
      </c>
      <c r="G932" s="51"/>
    </row>
    <row r="933" spans="1:7" s="50" customFormat="1">
      <c r="A933" s="50" t="s">
        <v>223</v>
      </c>
      <c r="B933" s="51">
        <v>1.5872475524475522E-8</v>
      </c>
      <c r="D933" s="50" t="s">
        <v>7</v>
      </c>
      <c r="E933" s="50" t="s">
        <v>245</v>
      </c>
      <c r="F933" s="50" t="s">
        <v>27</v>
      </c>
      <c r="G933" s="51"/>
    </row>
    <row r="934" spans="1:7" s="50" customFormat="1">
      <c r="A934" s="50" t="s">
        <v>226</v>
      </c>
      <c r="B934" s="51">
        <v>2.5718601398601402E-6</v>
      </c>
      <c r="D934" s="50" t="s">
        <v>7</v>
      </c>
      <c r="E934" s="50" t="s">
        <v>244</v>
      </c>
      <c r="F934" s="50" t="s">
        <v>27</v>
      </c>
      <c r="G934" s="51"/>
    </row>
    <row r="935" spans="1:7" s="50" customFormat="1">
      <c r="A935" s="50" t="s">
        <v>226</v>
      </c>
      <c r="B935" s="51">
        <v>9.6709090909090917E-9</v>
      </c>
      <c r="D935" s="50" t="s">
        <v>7</v>
      </c>
      <c r="E935" s="50" t="s">
        <v>245</v>
      </c>
      <c r="F935" s="50" t="s">
        <v>27</v>
      </c>
      <c r="G935" s="51"/>
    </row>
    <row r="936" spans="1:7" s="50" customFormat="1">
      <c r="A936" s="50" t="s">
        <v>227</v>
      </c>
      <c r="B936" s="51">
        <v>7.3078993006993006E-4</v>
      </c>
      <c r="D936" s="50" t="s">
        <v>37</v>
      </c>
      <c r="E936" s="50" t="s">
        <v>245</v>
      </c>
      <c r="F936" s="50" t="s">
        <v>27</v>
      </c>
      <c r="G936" s="51"/>
    </row>
    <row r="937" spans="1:7" s="50" customFormat="1">
      <c r="A937" s="50" t="s">
        <v>228</v>
      </c>
      <c r="B937" s="51">
        <v>5.7428811188811191E-5</v>
      </c>
      <c r="D937" s="50" t="s">
        <v>7</v>
      </c>
      <c r="E937" s="50" t="s">
        <v>244</v>
      </c>
      <c r="F937" s="50" t="s">
        <v>27</v>
      </c>
      <c r="G937" s="51"/>
    </row>
    <row r="938" spans="1:7" s="50" customFormat="1">
      <c r="A938" s="50" t="s">
        <v>228</v>
      </c>
      <c r="B938" s="51">
        <v>7.8240839160839163E-9</v>
      </c>
      <c r="D938" s="50" t="s">
        <v>7</v>
      </c>
      <c r="E938" s="50" t="s">
        <v>245</v>
      </c>
      <c r="F938" s="50" t="s">
        <v>27</v>
      </c>
      <c r="G938" s="51"/>
    </row>
    <row r="939" spans="1:7" s="50" customFormat="1">
      <c r="A939" s="50" t="s">
        <v>242</v>
      </c>
      <c r="B939" s="51">
        <v>1.2098517482517483</v>
      </c>
      <c r="D939" s="50" t="s">
        <v>7</v>
      </c>
      <c r="E939" s="50" t="s">
        <v>111</v>
      </c>
      <c r="F939" s="50" t="s">
        <v>27</v>
      </c>
      <c r="G939" s="51"/>
    </row>
    <row r="940" spans="1:7" s="50" customFormat="1">
      <c r="A940" s="50" t="s">
        <v>35</v>
      </c>
      <c r="B940" s="51">
        <f>(1/0.42)*0.29*6.09</f>
        <v>4.2050000000000001</v>
      </c>
      <c r="D940" s="50" t="s">
        <v>17</v>
      </c>
      <c r="E940" s="50" t="s">
        <v>36</v>
      </c>
      <c r="F940" s="50" t="s">
        <v>27</v>
      </c>
      <c r="G940" s="51"/>
    </row>
    <row r="941" spans="1:7" s="50" customFormat="1">
      <c r="B941" s="52"/>
    </row>
    <row r="942" spans="1:7" s="50" customFormat="1" ht="15.75">
      <c r="A942" s="49" t="s">
        <v>0</v>
      </c>
      <c r="B942" s="49" t="s">
        <v>136</v>
      </c>
    </row>
    <row r="943" spans="1:7" s="50" customFormat="1">
      <c r="A943" s="50" t="s">
        <v>1</v>
      </c>
      <c r="B943" s="50" t="s">
        <v>104</v>
      </c>
    </row>
    <row r="944" spans="1:7" s="50" customFormat="1">
      <c r="A944" s="50" t="s">
        <v>2</v>
      </c>
      <c r="B944" s="50">
        <v>1</v>
      </c>
    </row>
    <row r="945" spans="1:8" s="50" customFormat="1">
      <c r="A945" s="50" t="s">
        <v>9</v>
      </c>
      <c r="B945" s="50" t="s">
        <v>132</v>
      </c>
    </row>
    <row r="946" spans="1:8" s="50" customFormat="1">
      <c r="A946" s="50" t="s">
        <v>3</v>
      </c>
      <c r="B946" s="3" t="s">
        <v>131</v>
      </c>
    </row>
    <row r="947" spans="1:8" s="50" customFormat="1">
      <c r="A947" s="50" t="s">
        <v>4</v>
      </c>
      <c r="B947" s="50" t="s">
        <v>5</v>
      </c>
    </row>
    <row r="948" spans="1:8">
      <c r="A948" t="s">
        <v>260</v>
      </c>
      <c r="B948" s="23">
        <f>0.33*29%*90%</f>
        <v>8.6129999999999998E-2</v>
      </c>
    </row>
    <row r="949" spans="1:8" s="50" customFormat="1">
      <c r="A949" s="50" t="s">
        <v>6</v>
      </c>
      <c r="B949" s="50" t="s">
        <v>125</v>
      </c>
    </row>
    <row r="950" spans="1:8" s="50" customFormat="1" ht="15.75">
      <c r="A950" s="49" t="s">
        <v>10</v>
      </c>
    </row>
    <row r="951" spans="1:8" s="50" customFormat="1">
      <c r="A951" s="50" t="s">
        <v>11</v>
      </c>
      <c r="B951" s="50" t="s">
        <v>12</v>
      </c>
      <c r="C951" s="50" t="s">
        <v>1</v>
      </c>
      <c r="D951" s="50" t="s">
        <v>6</v>
      </c>
      <c r="E951" s="50" t="s">
        <v>13</v>
      </c>
      <c r="F951" s="50" t="s">
        <v>4</v>
      </c>
      <c r="G951" s="50" t="s">
        <v>9</v>
      </c>
      <c r="H951" s="50" t="s">
        <v>3</v>
      </c>
    </row>
    <row r="952" spans="1:8" s="50" customFormat="1">
      <c r="A952" s="50" t="str">
        <f>B942</f>
        <v>electricity production, at co-generation biowaste-fired power plant, post, pipeline 200km, storage 1000m</v>
      </c>
      <c r="B952" s="50">
        <v>1</v>
      </c>
      <c r="C952" s="50" t="str">
        <f>B943</f>
        <v>CH</v>
      </c>
      <c r="D952" s="50" t="s">
        <v>125</v>
      </c>
      <c r="F952" s="50" t="s">
        <v>15</v>
      </c>
      <c r="G952" s="50" t="s">
        <v>16</v>
      </c>
      <c r="H952" s="51" t="str">
        <f>B946</f>
        <v>electricity, from biowaste, municipal incineration, energy allocation</v>
      </c>
    </row>
    <row r="953" spans="1:8" s="50" customFormat="1">
      <c r="A953" s="50" t="s">
        <v>133</v>
      </c>
      <c r="B953" s="50">
        <f>0.9*1.42931076923077</f>
        <v>1.2863796923076931</v>
      </c>
      <c r="C953" s="50" t="s">
        <v>103</v>
      </c>
      <c r="D953" s="50" t="s">
        <v>7</v>
      </c>
      <c r="F953" s="50" t="s">
        <v>18</v>
      </c>
      <c r="H953" s="50" t="s">
        <v>133</v>
      </c>
    </row>
    <row r="954" spans="1:8" s="50" customFormat="1">
      <c r="A954" s="50" t="s">
        <v>110</v>
      </c>
      <c r="B954" s="51">
        <v>1.4293107692307701</v>
      </c>
      <c r="D954" s="50" t="s">
        <v>7</v>
      </c>
      <c r="E954" s="50" t="s">
        <v>111</v>
      </c>
      <c r="F954" s="50" t="s">
        <v>27</v>
      </c>
      <c r="G954" s="52"/>
    </row>
    <row r="955" spans="1:8" s="50" customFormat="1">
      <c r="A955" s="50" t="s">
        <v>148</v>
      </c>
      <c r="B955" s="51">
        <v>1.4856646153846155E-3</v>
      </c>
      <c r="C955" s="50" t="s">
        <v>103</v>
      </c>
      <c r="D955" s="50" t="s">
        <v>7</v>
      </c>
      <c r="F955" t="s">
        <v>18</v>
      </c>
      <c r="G955" s="51"/>
      <c r="H955" s="50" t="s">
        <v>169</v>
      </c>
    </row>
    <row r="956" spans="1:8" s="50" customFormat="1">
      <c r="A956" s="50" t="s">
        <v>149</v>
      </c>
      <c r="B956" s="51">
        <v>8.5691076923076925E-7</v>
      </c>
      <c r="C956" s="50" t="s">
        <v>103</v>
      </c>
      <c r="D956" s="50" t="s">
        <v>7</v>
      </c>
      <c r="F956" t="s">
        <v>18</v>
      </c>
      <c r="G956" s="51"/>
      <c r="H956" s="50" t="s">
        <v>170</v>
      </c>
    </row>
    <row r="957" spans="1:8" s="50" customFormat="1">
      <c r="A957" s="50" t="s">
        <v>167</v>
      </c>
      <c r="B957" s="51">
        <v>1.4626800000000002E-2</v>
      </c>
      <c r="C957" s="50" t="s">
        <v>104</v>
      </c>
      <c r="D957" s="50" t="s">
        <v>7</v>
      </c>
      <c r="F957" t="s">
        <v>18</v>
      </c>
      <c r="G957" s="51"/>
      <c r="H957" s="50" t="s">
        <v>185</v>
      </c>
    </row>
    <row r="958" spans="1:8" s="50" customFormat="1">
      <c r="A958" s="50" t="s">
        <v>150</v>
      </c>
      <c r="B958" s="51">
        <v>2.0071107692307694E-4</v>
      </c>
      <c r="C958" s="50" t="s">
        <v>24</v>
      </c>
      <c r="D958" s="50" t="s">
        <v>7</v>
      </c>
      <c r="F958" t="s">
        <v>18</v>
      </c>
      <c r="G958" s="51"/>
      <c r="H958" s="50" t="s">
        <v>171</v>
      </c>
    </row>
    <row r="959" spans="1:8" s="50" customFormat="1">
      <c r="A959" s="50" t="s">
        <v>151</v>
      </c>
      <c r="B959" s="51">
        <v>1.5524584615384618E-6</v>
      </c>
      <c r="C959" s="50" t="s">
        <v>24</v>
      </c>
      <c r="D959" s="50" t="s">
        <v>7</v>
      </c>
      <c r="F959" t="s">
        <v>18</v>
      </c>
      <c r="G959" s="51"/>
      <c r="H959" s="50" t="s">
        <v>172</v>
      </c>
    </row>
    <row r="960" spans="1:8" s="50" customFormat="1">
      <c r="A960" t="s">
        <v>493</v>
      </c>
      <c r="B960" s="51">
        <v>1.8996092307692309E-6</v>
      </c>
      <c r="C960" s="50" t="s">
        <v>24</v>
      </c>
      <c r="D960" s="50" t="s">
        <v>7</v>
      </c>
      <c r="F960" t="s">
        <v>18</v>
      </c>
      <c r="G960" s="51"/>
      <c r="H960" t="s">
        <v>494</v>
      </c>
    </row>
    <row r="961" spans="1:8" s="50" customFormat="1">
      <c r="A961" s="50" t="s">
        <v>168</v>
      </c>
      <c r="B961" s="51">
        <v>0.27780923076923081</v>
      </c>
      <c r="C961" s="50" t="s">
        <v>104</v>
      </c>
      <c r="D961" s="50" t="s">
        <v>17</v>
      </c>
      <c r="F961" t="s">
        <v>18</v>
      </c>
      <c r="G961" s="51"/>
      <c r="H961" s="50" t="s">
        <v>186</v>
      </c>
    </row>
    <row r="962" spans="1:8" s="50" customFormat="1">
      <c r="A962" s="50" t="s">
        <v>152</v>
      </c>
      <c r="B962" s="51">
        <v>1.0662369230769232E-3</v>
      </c>
      <c r="C962" s="50" t="s">
        <v>103</v>
      </c>
      <c r="D962" s="50" t="s">
        <v>7</v>
      </c>
      <c r="F962" t="s">
        <v>18</v>
      </c>
      <c r="G962" s="51"/>
      <c r="H962" s="50" t="s">
        <v>173</v>
      </c>
    </row>
    <row r="963" spans="1:8" s="50" customFormat="1">
      <c r="A963" s="50" t="s">
        <v>153</v>
      </c>
      <c r="B963" s="51">
        <v>2.5794830769230773E-3</v>
      </c>
      <c r="C963" s="50" t="s">
        <v>103</v>
      </c>
      <c r="D963" s="50" t="s">
        <v>7</v>
      </c>
      <c r="F963" t="s">
        <v>18</v>
      </c>
      <c r="G963" s="51"/>
      <c r="H963" s="50" t="s">
        <v>174</v>
      </c>
    </row>
    <row r="964" spans="1:8" s="50" customFormat="1">
      <c r="A964" s="50" t="s">
        <v>154</v>
      </c>
      <c r="B964" s="51">
        <v>3.0120923076923081E-6</v>
      </c>
      <c r="C964" s="50" t="s">
        <v>24</v>
      </c>
      <c r="D964" s="50" t="s">
        <v>7</v>
      </c>
      <c r="F964" t="s">
        <v>18</v>
      </c>
      <c r="G964" s="51"/>
      <c r="H964" t="s">
        <v>474</v>
      </c>
    </row>
    <row r="965" spans="1:8" s="50" customFormat="1">
      <c r="A965" s="50" t="s">
        <v>155</v>
      </c>
      <c r="B965" s="51">
        <v>-8.0249538461538462E-3</v>
      </c>
      <c r="C965" s="50" t="s">
        <v>24</v>
      </c>
      <c r="D965" s="50" t="s">
        <v>7</v>
      </c>
      <c r="F965" t="s">
        <v>18</v>
      </c>
      <c r="G965" s="51"/>
      <c r="H965" s="50" t="s">
        <v>175</v>
      </c>
    </row>
    <row r="966" spans="1:8" s="50" customFormat="1">
      <c r="A966" s="50" t="s">
        <v>156</v>
      </c>
      <c r="B966" s="51">
        <v>6.9230769230769237E-10</v>
      </c>
      <c r="C966" s="50" t="s">
        <v>104</v>
      </c>
      <c r="D966" s="50" t="s">
        <v>6</v>
      </c>
      <c r="F966" t="s">
        <v>18</v>
      </c>
      <c r="G966" s="51"/>
      <c r="H966" s="50" t="s">
        <v>176</v>
      </c>
    </row>
    <row r="967" spans="1:8" s="50" customFormat="1">
      <c r="A967" s="50" t="s">
        <v>157</v>
      </c>
      <c r="B967" s="51">
        <v>7.290553846153848E-2</v>
      </c>
      <c r="C967" s="50" t="s">
        <v>104</v>
      </c>
      <c r="D967" s="50" t="s">
        <v>7</v>
      </c>
      <c r="F967" t="s">
        <v>18</v>
      </c>
      <c r="G967" s="51"/>
      <c r="H967" s="50" t="s">
        <v>157</v>
      </c>
    </row>
    <row r="968" spans="1:8" s="50" customFormat="1">
      <c r="A968" s="50" t="s">
        <v>158</v>
      </c>
      <c r="B968" s="51">
        <v>0.39508615384615386</v>
      </c>
      <c r="C968" s="50" t="s">
        <v>104</v>
      </c>
      <c r="D968" s="50" t="s">
        <v>7</v>
      </c>
      <c r="F968" t="s">
        <v>18</v>
      </c>
      <c r="G968" s="51"/>
      <c r="H968" s="50" t="s">
        <v>158</v>
      </c>
    </row>
    <row r="969" spans="1:8" s="50" customFormat="1">
      <c r="A969" s="50" t="s">
        <v>159</v>
      </c>
      <c r="B969" s="51">
        <v>3.8215384615384617E-3</v>
      </c>
      <c r="C969" s="50" t="s">
        <v>103</v>
      </c>
      <c r="D969" s="50" t="s">
        <v>7</v>
      </c>
      <c r="F969" t="s">
        <v>18</v>
      </c>
      <c r="G969" s="51"/>
      <c r="H969" s="50" t="s">
        <v>177</v>
      </c>
    </row>
    <row r="970" spans="1:8" s="50" customFormat="1">
      <c r="A970" s="50" t="s">
        <v>160</v>
      </c>
      <c r="B970" s="51">
        <v>1.5188676923076925E-10</v>
      </c>
      <c r="C970" s="50" t="s">
        <v>104</v>
      </c>
      <c r="D970" s="50" t="s">
        <v>6</v>
      </c>
      <c r="F970" t="s">
        <v>18</v>
      </c>
      <c r="G970" s="51"/>
      <c r="H970" s="50" t="s">
        <v>178</v>
      </c>
    </row>
    <row r="971" spans="1:8" s="50" customFormat="1">
      <c r="A971" s="50" t="s">
        <v>161</v>
      </c>
      <c r="B971" s="51">
        <v>7.0236000000000004E-10</v>
      </c>
      <c r="C971" s="50" t="s">
        <v>104</v>
      </c>
      <c r="D971" s="50" t="s">
        <v>6</v>
      </c>
      <c r="F971" t="s">
        <v>18</v>
      </c>
      <c r="G971" s="51"/>
      <c r="H971" s="50" t="s">
        <v>179</v>
      </c>
    </row>
    <row r="972" spans="1:8" s="50" customFormat="1">
      <c r="A972" s="50" t="s">
        <v>162</v>
      </c>
      <c r="B972" s="51">
        <v>2.9932615384615389E-3</v>
      </c>
      <c r="C972" s="3" t="s">
        <v>266</v>
      </c>
      <c r="D972" s="50" t="s">
        <v>7</v>
      </c>
      <c r="F972" t="s">
        <v>18</v>
      </c>
      <c r="G972" s="51"/>
      <c r="H972" s="50" t="s">
        <v>180</v>
      </c>
    </row>
    <row r="973" spans="1:8" s="50" customFormat="1">
      <c r="A973" s="50" t="s">
        <v>163</v>
      </c>
      <c r="B973" s="51">
        <v>-9.0199384615384619E-7</v>
      </c>
      <c r="C973" s="50" t="s">
        <v>24</v>
      </c>
      <c r="D973" s="50" t="s">
        <v>7</v>
      </c>
      <c r="F973" t="s">
        <v>18</v>
      </c>
      <c r="G973" s="51"/>
      <c r="H973" s="50" t="s">
        <v>181</v>
      </c>
    </row>
    <row r="974" spans="1:8" s="50" customFormat="1">
      <c r="A974" s="50" t="s">
        <v>164</v>
      </c>
      <c r="B974" s="51">
        <v>9.3082153846153848E-5</v>
      </c>
      <c r="C974" s="50" t="s">
        <v>103</v>
      </c>
      <c r="D974" s="50" t="s">
        <v>7</v>
      </c>
      <c r="F974" t="s">
        <v>18</v>
      </c>
      <c r="G974" s="51"/>
      <c r="H974" s="50" t="s">
        <v>182</v>
      </c>
    </row>
    <row r="975" spans="1:8" s="50" customFormat="1">
      <c r="A975" s="50" t="s">
        <v>81</v>
      </c>
      <c r="B975" s="51">
        <v>1.8080861538461539E-2</v>
      </c>
      <c r="C975" s="50" t="s">
        <v>103</v>
      </c>
      <c r="D975" s="50" t="s">
        <v>28</v>
      </c>
      <c r="F975" t="s">
        <v>18</v>
      </c>
      <c r="G975" s="51"/>
      <c r="H975" s="50" t="s">
        <v>82</v>
      </c>
    </row>
    <row r="976" spans="1:8" s="50" customFormat="1">
      <c r="A976" s="50" t="s">
        <v>165</v>
      </c>
      <c r="B976" s="51">
        <v>-3.6567692307692308E-2</v>
      </c>
      <c r="C976" s="50" t="s">
        <v>104</v>
      </c>
      <c r="D976" s="50" t="s">
        <v>7</v>
      </c>
      <c r="F976" t="s">
        <v>18</v>
      </c>
      <c r="G976" s="51"/>
      <c r="H976" s="50" t="s">
        <v>183</v>
      </c>
    </row>
    <row r="977" spans="1:8" s="50" customFormat="1">
      <c r="A977" s="50" t="s">
        <v>166</v>
      </c>
      <c r="B977" s="51">
        <v>2.3794061538461539</v>
      </c>
      <c r="C977" s="50" t="s">
        <v>104</v>
      </c>
      <c r="D977" s="50" t="s">
        <v>7</v>
      </c>
      <c r="F977" t="s">
        <v>18</v>
      </c>
      <c r="G977" s="51"/>
      <c r="H977" s="50" t="s">
        <v>184</v>
      </c>
    </row>
    <row r="978" spans="1:8" s="50" customFormat="1">
      <c r="A978" s="50" t="s">
        <v>187</v>
      </c>
      <c r="B978" s="51">
        <v>1.9683415384615385E-8</v>
      </c>
      <c r="D978" s="50" t="s">
        <v>7</v>
      </c>
      <c r="E978" s="50" t="s">
        <v>243</v>
      </c>
      <c r="F978" s="50" t="s">
        <v>27</v>
      </c>
      <c r="G978" s="51"/>
    </row>
    <row r="979" spans="1:8" s="50" customFormat="1">
      <c r="A979" s="50" t="s">
        <v>188</v>
      </c>
      <c r="B979" s="51">
        <v>1.7467753846153849E-6</v>
      </c>
      <c r="D979" s="50" t="s">
        <v>7</v>
      </c>
      <c r="E979" s="50" t="s">
        <v>243</v>
      </c>
      <c r="F979" s="50" t="s">
        <v>27</v>
      </c>
      <c r="G979" s="51"/>
    </row>
    <row r="980" spans="1:8" s="50" customFormat="1">
      <c r="A980" s="50" t="s">
        <v>190</v>
      </c>
      <c r="B980" s="51">
        <v>3.784153846153846E-8</v>
      </c>
      <c r="D980" s="50" t="s">
        <v>7</v>
      </c>
      <c r="E980" s="50" t="s">
        <v>243</v>
      </c>
      <c r="F980" s="50" t="s">
        <v>27</v>
      </c>
      <c r="G980" s="51"/>
    </row>
    <row r="981" spans="1:8" s="50" customFormat="1">
      <c r="A981" s="50" t="s">
        <v>192</v>
      </c>
      <c r="B981" s="51">
        <v>1.1524984615384617E-7</v>
      </c>
      <c r="D981" s="50" t="s">
        <v>7</v>
      </c>
      <c r="E981" s="50" t="s">
        <v>243</v>
      </c>
      <c r="F981" s="50" t="s">
        <v>27</v>
      </c>
      <c r="G981" s="51"/>
    </row>
    <row r="982" spans="1:8" s="50" customFormat="1">
      <c r="A982" s="50" t="s">
        <v>193</v>
      </c>
      <c r="B982" s="51">
        <v>2.409812307692308E-10</v>
      </c>
      <c r="D982" s="50" t="s">
        <v>7</v>
      </c>
      <c r="E982" s="50" t="s">
        <v>243</v>
      </c>
      <c r="F982" s="50" t="s">
        <v>27</v>
      </c>
      <c r="G982" s="51"/>
    </row>
    <row r="983" spans="1:8" s="50" customFormat="1">
      <c r="A983" t="s">
        <v>477</v>
      </c>
      <c r="B983" s="51">
        <v>6.0889846153846164E-10</v>
      </c>
      <c r="D983" s="50" t="s">
        <v>7</v>
      </c>
      <c r="E983" s="50" t="s">
        <v>243</v>
      </c>
      <c r="F983" s="50" t="s">
        <v>27</v>
      </c>
      <c r="G983" s="51"/>
    </row>
    <row r="984" spans="1:8" s="50" customFormat="1">
      <c r="A984" s="50" t="s">
        <v>194</v>
      </c>
      <c r="B984" s="51">
        <v>2.5646676923076926E-12</v>
      </c>
      <c r="D984" s="50" t="s">
        <v>7</v>
      </c>
      <c r="E984" s="50" t="s">
        <v>243</v>
      </c>
      <c r="F984" s="50" t="s">
        <v>27</v>
      </c>
      <c r="G984" s="51"/>
    </row>
    <row r="985" spans="1:8" s="50" customFormat="1">
      <c r="A985" s="50" t="s">
        <v>195</v>
      </c>
      <c r="B985" s="51">
        <v>7.2387692307692315E-9</v>
      </c>
      <c r="D985" s="50" t="s">
        <v>7</v>
      </c>
      <c r="E985" s="50" t="s">
        <v>243</v>
      </c>
      <c r="F985" s="50" t="s">
        <v>27</v>
      </c>
      <c r="G985" s="51"/>
    </row>
    <row r="986" spans="1:8" s="50" customFormat="1">
      <c r="A986" s="50" t="s">
        <v>196</v>
      </c>
      <c r="B986" s="51">
        <v>1.6989784615384617E-10</v>
      </c>
      <c r="D986" s="50" t="s">
        <v>7</v>
      </c>
      <c r="E986" s="50" t="s">
        <v>243</v>
      </c>
      <c r="F986" s="50" t="s">
        <v>27</v>
      </c>
      <c r="G986" s="51"/>
    </row>
    <row r="987" spans="1:8" s="50" customFormat="1">
      <c r="A987" s="50" t="s">
        <v>247</v>
      </c>
      <c r="B987" s="51">
        <v>4.143876923076924E-4</v>
      </c>
      <c r="D987" s="50" t="s">
        <v>7</v>
      </c>
      <c r="E987" s="50" t="s">
        <v>243</v>
      </c>
      <c r="F987" s="50" t="s">
        <v>27</v>
      </c>
      <c r="G987" s="51"/>
    </row>
    <row r="988" spans="1:8" s="50" customFormat="1">
      <c r="A988" s="50" t="s">
        <v>134</v>
      </c>
      <c r="B988" s="51">
        <f>1.42931076923077-B953</f>
        <v>0.14293107692307694</v>
      </c>
      <c r="D988" s="50" t="s">
        <v>7</v>
      </c>
      <c r="E988" s="50" t="s">
        <v>243</v>
      </c>
      <c r="F988" s="50" t="s">
        <v>27</v>
      </c>
      <c r="G988" s="51"/>
    </row>
    <row r="989" spans="1:8" s="50" customFormat="1">
      <c r="A989" s="50" t="s">
        <v>248</v>
      </c>
      <c r="B989" s="51">
        <v>1.9590923076923079E-4</v>
      </c>
      <c r="D989" s="50" t="s">
        <v>7</v>
      </c>
      <c r="E989" s="50" t="s">
        <v>243</v>
      </c>
      <c r="F989" s="50" t="s">
        <v>27</v>
      </c>
      <c r="G989" s="51"/>
    </row>
    <row r="990" spans="1:8" s="50" customFormat="1">
      <c r="A990" s="50" t="s">
        <v>198</v>
      </c>
      <c r="B990" s="51">
        <v>1.6873200000000002E-8</v>
      </c>
      <c r="D990" s="50" t="s">
        <v>7</v>
      </c>
      <c r="E990" s="50" t="s">
        <v>243</v>
      </c>
      <c r="F990" s="50" t="s">
        <v>27</v>
      </c>
      <c r="G990" s="51"/>
    </row>
    <row r="991" spans="1:8" s="50" customFormat="1">
      <c r="A991" s="50" t="s">
        <v>199</v>
      </c>
      <c r="B991" s="51">
        <v>2.1963876923076926E-8</v>
      </c>
      <c r="D991" s="50" t="s">
        <v>7</v>
      </c>
      <c r="E991" s="50" t="s">
        <v>243</v>
      </c>
      <c r="F991" s="50" t="s">
        <v>27</v>
      </c>
      <c r="G991" s="51"/>
    </row>
    <row r="992" spans="1:8" s="50" customFormat="1">
      <c r="A992" s="50" t="s">
        <v>200</v>
      </c>
      <c r="B992" s="51">
        <v>3.9821538461538467E-9</v>
      </c>
      <c r="D992" s="50" t="s">
        <v>7</v>
      </c>
      <c r="E992" s="50" t="s">
        <v>243</v>
      </c>
      <c r="F992" s="50" t="s">
        <v>27</v>
      </c>
      <c r="G992" s="51"/>
    </row>
    <row r="993" spans="1:7" s="50" customFormat="1">
      <c r="A993" s="50" t="s">
        <v>201</v>
      </c>
      <c r="B993" s="51">
        <v>3.0957230769230766E-5</v>
      </c>
      <c r="D993" s="50" t="s">
        <v>7</v>
      </c>
      <c r="E993" s="50" t="s">
        <v>243</v>
      </c>
      <c r="F993" s="50" t="s">
        <v>27</v>
      </c>
      <c r="G993" s="51"/>
    </row>
    <row r="994" spans="1:7" s="50" customFormat="1">
      <c r="A994" s="50" t="s">
        <v>202</v>
      </c>
      <c r="B994" s="51">
        <v>1.4409969230769231E-4</v>
      </c>
      <c r="D994" s="50" t="s">
        <v>7</v>
      </c>
      <c r="E994" s="50" t="s">
        <v>243</v>
      </c>
      <c r="F994" s="50" t="s">
        <v>27</v>
      </c>
      <c r="G994" s="51"/>
    </row>
    <row r="995" spans="1:7" s="50" customFormat="1">
      <c r="A995" s="50" t="s">
        <v>203</v>
      </c>
      <c r="B995" s="51">
        <v>2.3048307692307694E-13</v>
      </c>
      <c r="D995" s="50" t="s">
        <v>7</v>
      </c>
      <c r="E995" s="50" t="s">
        <v>243</v>
      </c>
      <c r="F995" s="50" t="s">
        <v>27</v>
      </c>
      <c r="G995" s="51"/>
    </row>
    <row r="996" spans="1:7" s="50" customFormat="1">
      <c r="A996" s="50" t="s">
        <v>204</v>
      </c>
      <c r="B996" s="51">
        <v>12.305353846153848</v>
      </c>
      <c r="D996" s="50" t="s">
        <v>17</v>
      </c>
      <c r="E996" s="50" t="s">
        <v>243</v>
      </c>
      <c r="F996" s="50" t="s">
        <v>27</v>
      </c>
      <c r="G996" s="51"/>
    </row>
    <row r="997" spans="1:7" s="50" customFormat="1">
      <c r="A997" s="50" t="s">
        <v>205</v>
      </c>
      <c r="B997" s="51">
        <v>5.5132615384615392E-6</v>
      </c>
      <c r="D997" s="50" t="s">
        <v>7</v>
      </c>
      <c r="E997" s="50" t="s">
        <v>243</v>
      </c>
      <c r="F997" s="50" t="s">
        <v>27</v>
      </c>
      <c r="G997" s="51"/>
    </row>
    <row r="998" spans="1:7" s="50" customFormat="1">
      <c r="A998" s="50" t="s">
        <v>206</v>
      </c>
      <c r="B998" s="51">
        <v>3.2591076923076926E-6</v>
      </c>
      <c r="D998" s="50" t="s">
        <v>7</v>
      </c>
      <c r="E998" s="50" t="s">
        <v>243</v>
      </c>
      <c r="F998" s="50" t="s">
        <v>27</v>
      </c>
      <c r="G998" s="51"/>
    </row>
    <row r="999" spans="1:7" s="50" customFormat="1">
      <c r="A999" s="50" t="s">
        <v>249</v>
      </c>
      <c r="B999" s="51">
        <v>7.3730769230769237E-11</v>
      </c>
      <c r="D999" s="50" t="s">
        <v>7</v>
      </c>
      <c r="E999" s="50" t="s">
        <v>243</v>
      </c>
      <c r="F999" s="50" t="s">
        <v>27</v>
      </c>
      <c r="G999" s="51"/>
    </row>
    <row r="1000" spans="1:7" s="50" customFormat="1">
      <c r="A1000" s="50" t="s">
        <v>207</v>
      </c>
      <c r="B1000" s="51">
        <v>2.5972615384615388E-9</v>
      </c>
      <c r="D1000" s="50" t="s">
        <v>7</v>
      </c>
      <c r="E1000" s="50" t="s">
        <v>243</v>
      </c>
      <c r="F1000" s="50" t="s">
        <v>27</v>
      </c>
      <c r="G1000" s="51"/>
    </row>
    <row r="1001" spans="1:7" s="50" customFormat="1">
      <c r="A1001" s="50" t="s">
        <v>208</v>
      </c>
      <c r="B1001" s="51">
        <v>3.6933230769230774E-9</v>
      </c>
      <c r="D1001" s="50" t="s">
        <v>7</v>
      </c>
      <c r="E1001" s="50" t="s">
        <v>243</v>
      </c>
      <c r="F1001" s="50" t="s">
        <v>27</v>
      </c>
      <c r="G1001" s="51"/>
    </row>
    <row r="1002" spans="1:7" s="50" customFormat="1">
      <c r="A1002" s="50" t="s">
        <v>250</v>
      </c>
      <c r="B1002" s="51">
        <v>7.1844923076923085E-6</v>
      </c>
      <c r="D1002" s="50" t="s">
        <v>7</v>
      </c>
      <c r="E1002" s="50" t="s">
        <v>243</v>
      </c>
      <c r="F1002" s="50" t="s">
        <v>27</v>
      </c>
      <c r="G1002" s="51"/>
    </row>
    <row r="1003" spans="1:7" s="50" customFormat="1">
      <c r="A1003" s="50" t="s">
        <v>209</v>
      </c>
      <c r="B1003" s="51">
        <v>1.9835169230769234E-9</v>
      </c>
      <c r="D1003" s="50" t="s">
        <v>7</v>
      </c>
      <c r="E1003" s="50" t="s">
        <v>243</v>
      </c>
      <c r="F1003" s="50" t="s">
        <v>27</v>
      </c>
      <c r="G1003" s="51"/>
    </row>
    <row r="1004" spans="1:7" s="50" customFormat="1">
      <c r="A1004" s="50" t="s">
        <v>210</v>
      </c>
      <c r="B1004" s="51">
        <v>4.7938153846153849E-9</v>
      </c>
      <c r="D1004" s="50" t="s">
        <v>7</v>
      </c>
      <c r="E1004" s="50" t="s">
        <v>243</v>
      </c>
      <c r="F1004" s="50" t="s">
        <v>27</v>
      </c>
      <c r="G1004" s="51"/>
    </row>
    <row r="1005" spans="1:7" s="50" customFormat="1">
      <c r="A1005" s="50" t="s">
        <v>251</v>
      </c>
      <c r="B1005" s="51">
        <v>1.7287476923076924E-6</v>
      </c>
      <c r="D1005" s="50" t="s">
        <v>7</v>
      </c>
      <c r="E1005" s="50" t="s">
        <v>243</v>
      </c>
      <c r="F1005" s="50" t="s">
        <v>27</v>
      </c>
      <c r="G1005" s="51"/>
    </row>
    <row r="1006" spans="1:7" s="50" customFormat="1">
      <c r="A1006" s="50" t="s">
        <v>252</v>
      </c>
      <c r="B1006" s="51">
        <v>1.271243076923077E-9</v>
      </c>
      <c r="D1006" s="50" t="s">
        <v>7</v>
      </c>
      <c r="E1006" s="50" t="s">
        <v>243</v>
      </c>
      <c r="F1006" s="50" t="s">
        <v>27</v>
      </c>
      <c r="G1006" s="51"/>
    </row>
    <row r="1007" spans="1:7" s="50" customFormat="1">
      <c r="A1007" s="50" t="s">
        <v>212</v>
      </c>
      <c r="B1007" s="51">
        <v>5.2449230769230768E-6</v>
      </c>
      <c r="D1007" s="50" t="s">
        <v>7</v>
      </c>
      <c r="E1007" s="50" t="s">
        <v>243</v>
      </c>
      <c r="F1007" s="50" t="s">
        <v>27</v>
      </c>
      <c r="G1007" s="51"/>
    </row>
    <row r="1008" spans="1:7" s="50" customFormat="1">
      <c r="A1008" s="50" t="s">
        <v>213</v>
      </c>
      <c r="B1008" s="51">
        <v>1.6445630769230772E-8</v>
      </c>
      <c r="D1008" s="50" t="s">
        <v>7</v>
      </c>
      <c r="E1008" s="50" t="s">
        <v>243</v>
      </c>
      <c r="F1008" s="50" t="s">
        <v>27</v>
      </c>
      <c r="G1008" s="51"/>
    </row>
    <row r="1009" spans="1:7" s="50" customFormat="1">
      <c r="A1009" s="50" t="s">
        <v>214</v>
      </c>
      <c r="B1009" s="51">
        <v>5.5315384615384623E-4</v>
      </c>
      <c r="D1009" s="50" t="s">
        <v>7</v>
      </c>
      <c r="E1009" s="50" t="s">
        <v>243</v>
      </c>
      <c r="F1009" s="50" t="s">
        <v>27</v>
      </c>
      <c r="G1009" s="51"/>
    </row>
    <row r="1010" spans="1:7" s="50" customFormat="1">
      <c r="A1010" s="50" t="s">
        <v>215</v>
      </c>
      <c r="B1010" s="51">
        <v>1.3759753846153847E-5</v>
      </c>
      <c r="D1010" s="50" t="s">
        <v>7</v>
      </c>
      <c r="E1010" s="50" t="s">
        <v>243</v>
      </c>
      <c r="F1010" s="50" t="s">
        <v>27</v>
      </c>
      <c r="G1010" s="51"/>
    </row>
    <row r="1011" spans="1:7" s="50" customFormat="1">
      <c r="A1011" s="50" t="s">
        <v>216</v>
      </c>
      <c r="B1011" s="51">
        <v>6.9144923076923085E-8</v>
      </c>
      <c r="D1011" s="50" t="s">
        <v>7</v>
      </c>
      <c r="E1011" s="50" t="s">
        <v>243</v>
      </c>
      <c r="F1011" s="50" t="s">
        <v>27</v>
      </c>
      <c r="G1011" s="51"/>
    </row>
    <row r="1012" spans="1:7" s="50" customFormat="1">
      <c r="A1012" s="50" t="s">
        <v>217</v>
      </c>
      <c r="B1012" s="51">
        <v>5.0189538461538465E-11</v>
      </c>
      <c r="D1012" s="50" t="s">
        <v>7</v>
      </c>
      <c r="E1012" s="50" t="s">
        <v>243</v>
      </c>
      <c r="F1012" s="50" t="s">
        <v>27</v>
      </c>
      <c r="G1012" s="51"/>
    </row>
    <row r="1013" spans="1:7" s="50" customFormat="1">
      <c r="A1013" s="50" t="s">
        <v>253</v>
      </c>
      <c r="B1013" s="51">
        <v>2.7736615384615388E-6</v>
      </c>
      <c r="D1013" s="50" t="s">
        <v>7</v>
      </c>
      <c r="E1013" s="50" t="s">
        <v>243</v>
      </c>
      <c r="F1013" s="50" t="s">
        <v>27</v>
      </c>
      <c r="G1013" s="51"/>
    </row>
    <row r="1014" spans="1:7" s="50" customFormat="1">
      <c r="A1014" s="50" t="s">
        <v>254</v>
      </c>
      <c r="B1014" s="51">
        <v>4.1765538461538464E-5</v>
      </c>
      <c r="D1014" s="50" t="s">
        <v>7</v>
      </c>
      <c r="E1014" s="50" t="s">
        <v>243</v>
      </c>
      <c r="F1014" s="50" t="s">
        <v>27</v>
      </c>
      <c r="G1014" s="51"/>
    </row>
    <row r="1015" spans="1:7" s="50" customFormat="1">
      <c r="A1015" s="50" t="s">
        <v>218</v>
      </c>
      <c r="B1015" s="51">
        <v>1.4400553846153849E-8</v>
      </c>
      <c r="D1015" s="50" t="s">
        <v>7</v>
      </c>
      <c r="E1015" s="50" t="s">
        <v>243</v>
      </c>
      <c r="F1015" s="50" t="s">
        <v>27</v>
      </c>
      <c r="G1015" s="51"/>
    </row>
    <row r="1016" spans="1:7" s="50" customFormat="1">
      <c r="A1016" s="50" t="s">
        <v>238</v>
      </c>
      <c r="B1016" s="51">
        <v>1.5040523076923076E-7</v>
      </c>
      <c r="D1016" s="50" t="s">
        <v>7</v>
      </c>
      <c r="E1016" s="50" t="s">
        <v>243</v>
      </c>
      <c r="F1016" s="50" t="s">
        <v>27</v>
      </c>
      <c r="G1016" s="51"/>
    </row>
    <row r="1017" spans="1:7" s="50" customFormat="1">
      <c r="A1017" s="50" t="s">
        <v>219</v>
      </c>
      <c r="B1017" s="51">
        <v>2.9747076923076925E-5</v>
      </c>
      <c r="D1017" s="50" t="s">
        <v>7</v>
      </c>
      <c r="E1017" s="50" t="s">
        <v>243</v>
      </c>
      <c r="F1017" s="50" t="s">
        <v>27</v>
      </c>
      <c r="G1017" s="51"/>
    </row>
    <row r="1018" spans="1:7" s="50" customFormat="1">
      <c r="A1018" s="50" t="s">
        <v>221</v>
      </c>
      <c r="B1018" s="51">
        <v>3.8511692307692312E-5</v>
      </c>
      <c r="D1018" s="50" t="s">
        <v>7</v>
      </c>
      <c r="E1018" s="50" t="s">
        <v>243</v>
      </c>
      <c r="F1018" s="50" t="s">
        <v>27</v>
      </c>
      <c r="G1018" s="51"/>
    </row>
    <row r="1019" spans="1:7" s="50" customFormat="1">
      <c r="A1019" s="50" t="s">
        <v>223</v>
      </c>
      <c r="B1019" s="51">
        <v>1.2615784615384616E-11</v>
      </c>
      <c r="D1019" s="50" t="s">
        <v>7</v>
      </c>
      <c r="E1019" s="50" t="s">
        <v>243</v>
      </c>
      <c r="F1019" s="50" t="s">
        <v>27</v>
      </c>
      <c r="G1019" s="51"/>
    </row>
    <row r="1020" spans="1:7" s="50" customFormat="1">
      <c r="A1020" s="50" t="s">
        <v>225</v>
      </c>
      <c r="B1020" s="51">
        <v>2.304969230769231E-7</v>
      </c>
      <c r="D1020" s="50" t="s">
        <v>7</v>
      </c>
      <c r="E1020" s="50" t="s">
        <v>243</v>
      </c>
      <c r="F1020" s="50" t="s">
        <v>27</v>
      </c>
      <c r="G1020" s="51"/>
    </row>
    <row r="1021" spans="1:7" s="50" customFormat="1">
      <c r="A1021" s="50" t="s">
        <v>226</v>
      </c>
      <c r="B1021" s="51">
        <v>1.5360646153846155E-7</v>
      </c>
      <c r="D1021" s="50" t="s">
        <v>7</v>
      </c>
      <c r="E1021" s="50" t="s">
        <v>243</v>
      </c>
      <c r="F1021" s="50" t="s">
        <v>27</v>
      </c>
      <c r="G1021" s="51"/>
    </row>
    <row r="1022" spans="1:7" s="50" customFormat="1">
      <c r="A1022" s="50" t="s">
        <v>227</v>
      </c>
      <c r="B1022" s="51">
        <v>3.7518341538461545E-3</v>
      </c>
      <c r="D1022" s="50" t="s">
        <v>37</v>
      </c>
      <c r="E1022" s="50" t="s">
        <v>243</v>
      </c>
      <c r="F1022" s="50" t="s">
        <v>27</v>
      </c>
      <c r="G1022" s="51"/>
    </row>
    <row r="1023" spans="1:7" s="50" customFormat="1">
      <c r="A1023" s="50" t="s">
        <v>228</v>
      </c>
      <c r="B1023" s="51">
        <v>9.4286769230769241E-8</v>
      </c>
      <c r="D1023" s="50" t="s">
        <v>7</v>
      </c>
      <c r="E1023" s="50" t="s">
        <v>243</v>
      </c>
      <c r="F1023" s="50" t="s">
        <v>27</v>
      </c>
      <c r="G1023" s="51"/>
    </row>
    <row r="1024" spans="1:7" s="50" customFormat="1">
      <c r="A1024" s="50" t="s">
        <v>187</v>
      </c>
      <c r="B1024" s="51">
        <v>1.8637200000000003E-2</v>
      </c>
      <c r="D1024" s="50" t="s">
        <v>7</v>
      </c>
      <c r="E1024" s="50" t="s">
        <v>244</v>
      </c>
      <c r="F1024" s="50" t="s">
        <v>27</v>
      </c>
      <c r="G1024" s="51"/>
    </row>
    <row r="1025" spans="1:7" s="50" customFormat="1">
      <c r="A1025" s="50" t="s">
        <v>187</v>
      </c>
      <c r="B1025" s="51">
        <v>1.7931600000000002E-6</v>
      </c>
      <c r="D1025" s="50" t="s">
        <v>7</v>
      </c>
      <c r="E1025" s="50" t="s">
        <v>245</v>
      </c>
      <c r="F1025" s="50" t="s">
        <v>27</v>
      </c>
      <c r="G1025" s="51"/>
    </row>
    <row r="1026" spans="1:7" s="50" customFormat="1">
      <c r="A1026" s="50" t="s">
        <v>189</v>
      </c>
      <c r="B1026" s="51">
        <v>2.2359600000000002E-9</v>
      </c>
      <c r="D1026" s="50" t="s">
        <v>7</v>
      </c>
      <c r="E1026" s="50" t="s">
        <v>244</v>
      </c>
      <c r="F1026" s="50" t="s">
        <v>27</v>
      </c>
      <c r="G1026" s="51"/>
    </row>
    <row r="1027" spans="1:7" s="50" customFormat="1">
      <c r="A1027" s="50" t="s">
        <v>189</v>
      </c>
      <c r="B1027" s="51">
        <v>1.2181015384615386E-9</v>
      </c>
      <c r="D1027" s="50" t="s">
        <v>7</v>
      </c>
      <c r="E1027" s="50" t="s">
        <v>245</v>
      </c>
      <c r="F1027" s="50" t="s">
        <v>27</v>
      </c>
      <c r="G1027" s="51"/>
    </row>
    <row r="1028" spans="1:7" s="50" customFormat="1">
      <c r="A1028" s="50" t="s">
        <v>190</v>
      </c>
      <c r="B1028" s="51">
        <v>2.9450769230769235E-6</v>
      </c>
      <c r="D1028" s="50" t="s">
        <v>7</v>
      </c>
      <c r="E1028" s="50" t="s">
        <v>244</v>
      </c>
      <c r="F1028" s="50" t="s">
        <v>27</v>
      </c>
      <c r="G1028" s="51"/>
    </row>
    <row r="1029" spans="1:7" s="50" customFormat="1">
      <c r="A1029" s="50" t="s">
        <v>190</v>
      </c>
      <c r="B1029" s="51">
        <v>1.9402615384615388E-6</v>
      </c>
      <c r="D1029" s="50" t="s">
        <v>7</v>
      </c>
      <c r="E1029" s="50" t="s">
        <v>245</v>
      </c>
      <c r="F1029" s="50" t="s">
        <v>27</v>
      </c>
      <c r="G1029" s="51"/>
    </row>
    <row r="1030" spans="1:7" s="50" customFormat="1">
      <c r="A1030" s="50" t="s">
        <v>229</v>
      </c>
      <c r="B1030" s="51">
        <v>9.5081538461538483E-4</v>
      </c>
      <c r="D1030" s="50" t="s">
        <v>7</v>
      </c>
      <c r="E1030" s="50" t="s">
        <v>244</v>
      </c>
      <c r="F1030" s="50" t="s">
        <v>27</v>
      </c>
      <c r="G1030" s="51"/>
    </row>
    <row r="1031" spans="1:7" s="50" customFormat="1">
      <c r="A1031" s="50" t="s">
        <v>229</v>
      </c>
      <c r="B1031" s="51">
        <v>2.9182153846153848E-4</v>
      </c>
      <c r="D1031" s="50" t="s">
        <v>7</v>
      </c>
      <c r="E1031" s="50" t="s">
        <v>245</v>
      </c>
      <c r="F1031" s="50" t="s">
        <v>27</v>
      </c>
      <c r="G1031" s="51"/>
    </row>
    <row r="1032" spans="1:7" s="50" customFormat="1">
      <c r="A1032" s="50" t="s">
        <v>255</v>
      </c>
      <c r="B1032" s="51">
        <v>2.0425015384615391E-5</v>
      </c>
      <c r="D1032" s="50" t="s">
        <v>7</v>
      </c>
      <c r="E1032" s="50" t="s">
        <v>244</v>
      </c>
      <c r="F1032" s="50" t="s">
        <v>27</v>
      </c>
      <c r="G1032" s="51"/>
    </row>
    <row r="1033" spans="1:7" s="50" customFormat="1">
      <c r="A1033" s="50" t="s">
        <v>255</v>
      </c>
      <c r="B1033" s="51">
        <v>2.5618153846153849E-7</v>
      </c>
      <c r="D1033" s="50" t="s">
        <v>7</v>
      </c>
      <c r="E1033" s="50" t="s">
        <v>245</v>
      </c>
      <c r="F1033" s="50" t="s">
        <v>27</v>
      </c>
      <c r="G1033" s="51"/>
    </row>
    <row r="1034" spans="1:7" s="50" customFormat="1">
      <c r="A1034" s="50" t="s">
        <v>195</v>
      </c>
      <c r="B1034" s="51">
        <v>7.5129230769230772E-7</v>
      </c>
      <c r="D1034" s="50" t="s">
        <v>7</v>
      </c>
      <c r="E1034" s="50" t="s">
        <v>244</v>
      </c>
      <c r="F1034" s="50" t="s">
        <v>27</v>
      </c>
      <c r="G1034" s="51"/>
    </row>
    <row r="1035" spans="1:7" s="50" customFormat="1">
      <c r="A1035" s="50" t="s">
        <v>195</v>
      </c>
      <c r="B1035" s="51">
        <v>1.344766153846154E-5</v>
      </c>
      <c r="D1035" s="50" t="s">
        <v>7</v>
      </c>
      <c r="E1035" s="50" t="s">
        <v>245</v>
      </c>
      <c r="F1035" s="50" t="s">
        <v>27</v>
      </c>
      <c r="G1035" s="51"/>
    </row>
    <row r="1036" spans="1:7" s="50" customFormat="1">
      <c r="A1036" s="50" t="s">
        <v>231</v>
      </c>
      <c r="B1036" s="51">
        <v>2.9068615384615385E-3</v>
      </c>
      <c r="D1036" s="50" t="s">
        <v>7</v>
      </c>
      <c r="E1036" s="50" t="s">
        <v>244</v>
      </c>
      <c r="F1036" s="50" t="s">
        <v>27</v>
      </c>
      <c r="G1036" s="51"/>
    </row>
    <row r="1037" spans="1:7" s="50" customFormat="1">
      <c r="A1037" s="50" t="s">
        <v>231</v>
      </c>
      <c r="B1037" s="51">
        <v>2.9819076923076924E-4</v>
      </c>
      <c r="D1037" s="50" t="s">
        <v>7</v>
      </c>
      <c r="E1037" s="50" t="s">
        <v>245</v>
      </c>
      <c r="F1037" s="50" t="s">
        <v>27</v>
      </c>
      <c r="G1037" s="51"/>
    </row>
    <row r="1038" spans="1:7" s="50" customFormat="1">
      <c r="A1038" s="50" t="s">
        <v>196</v>
      </c>
      <c r="B1038" s="51">
        <v>5.3460000000000004E-8</v>
      </c>
      <c r="D1038" s="50" t="s">
        <v>7</v>
      </c>
      <c r="E1038" s="50" t="s">
        <v>244</v>
      </c>
      <c r="F1038" s="50" t="s">
        <v>27</v>
      </c>
      <c r="G1038" s="51"/>
    </row>
    <row r="1039" spans="1:7" s="50" customFormat="1">
      <c r="A1039" s="50" t="s">
        <v>196</v>
      </c>
      <c r="B1039" s="51">
        <v>5.9278153846153849E-11</v>
      </c>
      <c r="D1039" s="50" t="s">
        <v>7</v>
      </c>
      <c r="E1039" s="50" t="s">
        <v>245</v>
      </c>
      <c r="F1039" s="50" t="s">
        <v>27</v>
      </c>
      <c r="G1039" s="51"/>
    </row>
    <row r="1040" spans="1:7" s="50" customFormat="1">
      <c r="A1040" s="50" t="s">
        <v>232</v>
      </c>
      <c r="B1040" s="51">
        <v>4.4698153846153846E-2</v>
      </c>
      <c r="D1040" s="50" t="s">
        <v>7</v>
      </c>
      <c r="E1040" s="50" t="s">
        <v>244</v>
      </c>
      <c r="F1040" s="50" t="s">
        <v>27</v>
      </c>
      <c r="G1040" s="51"/>
    </row>
    <row r="1041" spans="1:7" s="50" customFormat="1">
      <c r="A1041" s="50" t="s">
        <v>232</v>
      </c>
      <c r="B1041" s="51">
        <v>9.4641230769230782E-4</v>
      </c>
      <c r="D1041" s="50" t="s">
        <v>7</v>
      </c>
      <c r="E1041" s="50" t="s">
        <v>245</v>
      </c>
      <c r="F1041" s="50" t="s">
        <v>27</v>
      </c>
      <c r="G1041" s="51"/>
    </row>
    <row r="1042" spans="1:7" s="50" customFormat="1">
      <c r="A1042" s="50" t="s">
        <v>233</v>
      </c>
      <c r="B1042" s="51">
        <v>1.2169938461538464E-3</v>
      </c>
      <c r="D1042" s="50" t="s">
        <v>7</v>
      </c>
      <c r="E1042" s="50" t="s">
        <v>244</v>
      </c>
      <c r="F1042" s="50" t="s">
        <v>27</v>
      </c>
      <c r="G1042" s="51"/>
    </row>
    <row r="1043" spans="1:7" s="50" customFormat="1">
      <c r="A1043" s="50" t="s">
        <v>233</v>
      </c>
      <c r="B1043" s="51">
        <v>8.2063384615384625E-3</v>
      </c>
      <c r="D1043" s="50" t="s">
        <v>7</v>
      </c>
      <c r="E1043" s="50" t="s">
        <v>245</v>
      </c>
      <c r="F1043" s="50" t="s">
        <v>27</v>
      </c>
      <c r="G1043" s="51"/>
    </row>
    <row r="1044" spans="1:7" s="50" customFormat="1">
      <c r="A1044" s="50" t="s">
        <v>198</v>
      </c>
      <c r="B1044" s="51">
        <v>2.5086184615384618E-9</v>
      </c>
      <c r="D1044" s="50" t="s">
        <v>7</v>
      </c>
      <c r="E1044" s="50" t="s">
        <v>245</v>
      </c>
      <c r="F1044" s="50" t="s">
        <v>27</v>
      </c>
      <c r="G1044" s="51"/>
    </row>
    <row r="1045" spans="1:7" s="50" customFormat="1">
      <c r="A1045" s="50" t="s">
        <v>234</v>
      </c>
      <c r="B1045" s="51">
        <v>1.101323076923077E-6</v>
      </c>
      <c r="D1045" s="50" t="s">
        <v>7</v>
      </c>
      <c r="E1045" s="50" t="s">
        <v>244</v>
      </c>
      <c r="F1045" s="50" t="s">
        <v>27</v>
      </c>
      <c r="G1045" s="51"/>
    </row>
    <row r="1046" spans="1:7" s="50" customFormat="1">
      <c r="A1046" s="50" t="s">
        <v>234</v>
      </c>
      <c r="B1046" s="51">
        <v>3.192646153846154E-7</v>
      </c>
      <c r="D1046" s="50" t="s">
        <v>7</v>
      </c>
      <c r="E1046" s="50" t="s">
        <v>245</v>
      </c>
      <c r="F1046" s="50" t="s">
        <v>27</v>
      </c>
      <c r="G1046" s="51"/>
    </row>
    <row r="1047" spans="1:7" s="50" customFormat="1">
      <c r="A1047" s="50" t="s">
        <v>199</v>
      </c>
      <c r="B1047" s="51">
        <v>1.0575415384615386E-5</v>
      </c>
      <c r="D1047" s="50" t="s">
        <v>7</v>
      </c>
      <c r="E1047" s="50" t="s">
        <v>244</v>
      </c>
      <c r="F1047" s="50" t="s">
        <v>27</v>
      </c>
      <c r="G1047" s="51"/>
    </row>
    <row r="1048" spans="1:7" s="50" customFormat="1">
      <c r="A1048" s="50" t="s">
        <v>199</v>
      </c>
      <c r="B1048" s="51">
        <v>2.0069723076923078E-9</v>
      </c>
      <c r="D1048" s="50" t="s">
        <v>7</v>
      </c>
      <c r="E1048" s="50" t="s">
        <v>245</v>
      </c>
      <c r="F1048" s="50" t="s">
        <v>27</v>
      </c>
      <c r="G1048" s="51"/>
    </row>
    <row r="1049" spans="1:7" s="50" customFormat="1">
      <c r="A1049" s="50" t="s">
        <v>200</v>
      </c>
      <c r="B1049" s="51">
        <v>4.0965230769230776E-5</v>
      </c>
      <c r="D1049" s="50" t="s">
        <v>7</v>
      </c>
      <c r="E1049" s="50" t="s">
        <v>244</v>
      </c>
      <c r="F1049" s="50" t="s">
        <v>27</v>
      </c>
      <c r="G1049" s="51"/>
    </row>
    <row r="1050" spans="1:7" s="50" customFormat="1">
      <c r="A1050" s="50" t="s">
        <v>200</v>
      </c>
      <c r="B1050" s="51">
        <v>3.7708615384615385E-9</v>
      </c>
      <c r="D1050" s="50" t="s">
        <v>7</v>
      </c>
      <c r="E1050" s="50" t="s">
        <v>245</v>
      </c>
      <c r="F1050" s="50" t="s">
        <v>27</v>
      </c>
      <c r="G1050" s="51"/>
    </row>
    <row r="1051" spans="1:7" s="50" customFormat="1">
      <c r="A1051" s="50" t="s">
        <v>235</v>
      </c>
      <c r="B1051" s="51">
        <v>1.1502276923076923E-3</v>
      </c>
      <c r="D1051" s="50" t="s">
        <v>7</v>
      </c>
      <c r="E1051" s="50" t="s">
        <v>244</v>
      </c>
      <c r="F1051" s="50" t="s">
        <v>27</v>
      </c>
      <c r="G1051" s="51"/>
    </row>
    <row r="1052" spans="1:7" s="50" customFormat="1">
      <c r="A1052" s="50" t="s">
        <v>235</v>
      </c>
      <c r="B1052" s="51">
        <v>1.30068E-4</v>
      </c>
      <c r="D1052" s="50" t="s">
        <v>7</v>
      </c>
      <c r="E1052" s="50" t="s">
        <v>245</v>
      </c>
      <c r="F1052" s="50" t="s">
        <v>27</v>
      </c>
      <c r="G1052" s="51"/>
    </row>
    <row r="1053" spans="1:7" s="50" customFormat="1">
      <c r="A1053" s="50" t="s">
        <v>236</v>
      </c>
      <c r="B1053" s="51">
        <v>3.2228307692307693E-4</v>
      </c>
      <c r="D1053" s="50" t="s">
        <v>7</v>
      </c>
      <c r="E1053" s="50" t="s">
        <v>244</v>
      </c>
      <c r="F1053" s="50" t="s">
        <v>27</v>
      </c>
      <c r="G1053" s="51"/>
    </row>
    <row r="1054" spans="1:7" s="50" customFormat="1">
      <c r="A1054" s="50" t="s">
        <v>236</v>
      </c>
      <c r="B1054" s="51">
        <v>1.4059661538461541E-4</v>
      </c>
      <c r="D1054" s="50" t="s">
        <v>7</v>
      </c>
      <c r="E1054" s="50" t="s">
        <v>245</v>
      </c>
      <c r="F1054" s="50" t="s">
        <v>27</v>
      </c>
      <c r="G1054" s="51"/>
    </row>
    <row r="1055" spans="1:7" s="50" customFormat="1">
      <c r="A1055" s="50" t="s">
        <v>204</v>
      </c>
      <c r="B1055" s="51">
        <v>4.1292000000000009</v>
      </c>
      <c r="D1055" s="50" t="s">
        <v>17</v>
      </c>
      <c r="E1055" s="50" t="s">
        <v>245</v>
      </c>
      <c r="F1055" s="50" t="s">
        <v>27</v>
      </c>
      <c r="G1055" s="51"/>
    </row>
    <row r="1056" spans="1:7" s="50" customFormat="1">
      <c r="A1056" s="50" t="s">
        <v>256</v>
      </c>
      <c r="B1056" s="51">
        <v>2.4913938461538465E-15</v>
      </c>
      <c r="D1056" s="50" t="s">
        <v>7</v>
      </c>
      <c r="E1056" s="50" t="s">
        <v>244</v>
      </c>
      <c r="F1056" s="50" t="s">
        <v>27</v>
      </c>
      <c r="G1056" s="51"/>
    </row>
    <row r="1057" spans="1:7" s="50" customFormat="1">
      <c r="A1057" s="50" t="s">
        <v>256</v>
      </c>
      <c r="B1057" s="51">
        <v>1.2956953846153849E-7</v>
      </c>
      <c r="D1057" s="50" t="s">
        <v>7</v>
      </c>
      <c r="E1057" s="50" t="s">
        <v>245</v>
      </c>
      <c r="F1057" s="50" t="s">
        <v>27</v>
      </c>
      <c r="G1057" s="51"/>
    </row>
    <row r="1058" spans="1:7" s="50" customFormat="1">
      <c r="A1058" s="50" t="s">
        <v>207</v>
      </c>
      <c r="B1058" s="51">
        <v>7.4323384615384625E-4</v>
      </c>
      <c r="D1058" s="50" t="s">
        <v>7</v>
      </c>
      <c r="E1058" s="50" t="s">
        <v>244</v>
      </c>
      <c r="F1058" s="50" t="s">
        <v>27</v>
      </c>
      <c r="G1058" s="51"/>
    </row>
    <row r="1059" spans="1:7" s="50" customFormat="1">
      <c r="A1059" s="50" t="s">
        <v>207</v>
      </c>
      <c r="B1059" s="51">
        <v>3.0508615384615385E-8</v>
      </c>
      <c r="D1059" s="50" t="s">
        <v>7</v>
      </c>
      <c r="E1059" s="50" t="s">
        <v>245</v>
      </c>
      <c r="F1059" s="50" t="s">
        <v>27</v>
      </c>
      <c r="G1059" s="51"/>
    </row>
    <row r="1060" spans="1:7" s="50" customFormat="1">
      <c r="A1060" s="50" t="s">
        <v>208</v>
      </c>
      <c r="B1060" s="51">
        <v>3.156369230769231E-5</v>
      </c>
      <c r="D1060" s="50" t="s">
        <v>7</v>
      </c>
      <c r="E1060" s="50" t="s">
        <v>244</v>
      </c>
      <c r="F1060" s="50" t="s">
        <v>27</v>
      </c>
      <c r="G1060" s="51"/>
    </row>
    <row r="1061" spans="1:7" s="50" customFormat="1">
      <c r="A1061" s="50" t="s">
        <v>208</v>
      </c>
      <c r="B1061" s="51">
        <v>3.0544615384615388E-9</v>
      </c>
      <c r="D1061" s="50" t="s">
        <v>7</v>
      </c>
      <c r="E1061" s="50" t="s">
        <v>245</v>
      </c>
      <c r="F1061" s="50" t="s">
        <v>27</v>
      </c>
      <c r="G1061" s="51"/>
    </row>
    <row r="1062" spans="1:7" s="50" customFormat="1">
      <c r="A1062" s="50" t="s">
        <v>250</v>
      </c>
      <c r="B1062" s="51">
        <v>6.3437538461538464E-3</v>
      </c>
      <c r="D1062" s="50" t="s">
        <v>7</v>
      </c>
      <c r="E1062" s="50" t="s">
        <v>244</v>
      </c>
      <c r="F1062" s="50" t="s">
        <v>27</v>
      </c>
      <c r="G1062" s="51"/>
    </row>
    <row r="1063" spans="1:7" s="50" customFormat="1">
      <c r="A1063" s="50" t="s">
        <v>250</v>
      </c>
      <c r="B1063" s="51">
        <v>5.1571384615384624E-5</v>
      </c>
      <c r="D1063" s="50" t="s">
        <v>7</v>
      </c>
      <c r="E1063" s="50" t="s">
        <v>245</v>
      </c>
      <c r="F1063" s="50" t="s">
        <v>27</v>
      </c>
      <c r="G1063" s="51"/>
    </row>
    <row r="1064" spans="1:7" s="50" customFormat="1">
      <c r="A1064" s="50" t="s">
        <v>209</v>
      </c>
      <c r="B1064" s="51">
        <v>8.2539692307692318E-6</v>
      </c>
      <c r="D1064" s="50" t="s">
        <v>7</v>
      </c>
      <c r="E1064" s="50" t="s">
        <v>244</v>
      </c>
      <c r="F1064" s="50" t="s">
        <v>27</v>
      </c>
      <c r="G1064" s="51"/>
    </row>
    <row r="1065" spans="1:7" s="50" customFormat="1">
      <c r="A1065" s="50" t="s">
        <v>209</v>
      </c>
      <c r="B1065" s="51">
        <v>1.3013446153846158E-9</v>
      </c>
      <c r="D1065" s="50" t="s">
        <v>7</v>
      </c>
      <c r="E1065" s="50" t="s">
        <v>245</v>
      </c>
      <c r="F1065" s="50" t="s">
        <v>27</v>
      </c>
      <c r="G1065" s="51"/>
    </row>
    <row r="1066" spans="1:7" s="50" customFormat="1">
      <c r="A1066" s="50" t="s">
        <v>210</v>
      </c>
      <c r="B1066" s="51">
        <v>3.552369230769231E-8</v>
      </c>
      <c r="D1066" s="50" t="s">
        <v>7</v>
      </c>
      <c r="E1066" s="50" t="s">
        <v>244</v>
      </c>
      <c r="F1066" s="50" t="s">
        <v>27</v>
      </c>
      <c r="G1066" s="51"/>
    </row>
    <row r="1067" spans="1:7" s="50" customFormat="1">
      <c r="A1067" s="50" t="s">
        <v>210</v>
      </c>
      <c r="B1067" s="51">
        <v>8.9969538461538472E-10</v>
      </c>
      <c r="D1067" s="50" t="s">
        <v>7</v>
      </c>
      <c r="E1067" s="50" t="s">
        <v>245</v>
      </c>
      <c r="F1067" s="50" t="s">
        <v>27</v>
      </c>
      <c r="G1067" s="51"/>
    </row>
    <row r="1068" spans="1:7" s="50" customFormat="1">
      <c r="A1068" s="50" t="s">
        <v>252</v>
      </c>
      <c r="B1068" s="51">
        <v>7.4489538461538462E-7</v>
      </c>
      <c r="D1068" s="50" t="s">
        <v>7</v>
      </c>
      <c r="E1068" s="50" t="s">
        <v>244</v>
      </c>
      <c r="F1068" s="50" t="s">
        <v>27</v>
      </c>
      <c r="G1068" s="51"/>
    </row>
    <row r="1069" spans="1:7" s="50" customFormat="1">
      <c r="A1069" s="50" t="s">
        <v>252</v>
      </c>
      <c r="B1069" s="51">
        <v>1.6076215384615385E-7</v>
      </c>
      <c r="D1069" s="50" t="s">
        <v>7</v>
      </c>
      <c r="E1069" s="50" t="s">
        <v>245</v>
      </c>
      <c r="F1069" s="50" t="s">
        <v>27</v>
      </c>
      <c r="G1069" s="51"/>
    </row>
    <row r="1070" spans="1:7" s="50" customFormat="1">
      <c r="A1070" s="50" t="s">
        <v>213</v>
      </c>
      <c r="B1070" s="51">
        <v>1.2919569230769232E-5</v>
      </c>
      <c r="D1070" s="50" t="s">
        <v>7</v>
      </c>
      <c r="E1070" s="50" t="s">
        <v>244</v>
      </c>
      <c r="F1070" s="50" t="s">
        <v>27</v>
      </c>
      <c r="G1070" s="51"/>
    </row>
    <row r="1071" spans="1:7" s="50" customFormat="1">
      <c r="A1071" s="50" t="s">
        <v>213</v>
      </c>
      <c r="B1071" s="51">
        <v>8.8659692307692327E-9</v>
      </c>
      <c r="D1071" s="50" t="s">
        <v>7</v>
      </c>
      <c r="E1071" s="50" t="s">
        <v>245</v>
      </c>
      <c r="F1071" s="50" t="s">
        <v>27</v>
      </c>
      <c r="G1071" s="51"/>
    </row>
    <row r="1072" spans="1:7" s="50" customFormat="1">
      <c r="A1072" s="50" t="s">
        <v>237</v>
      </c>
      <c r="B1072" s="51">
        <v>3.4651384615384616E-4</v>
      </c>
      <c r="D1072" s="50" t="s">
        <v>7</v>
      </c>
      <c r="E1072" s="50" t="s">
        <v>244</v>
      </c>
      <c r="F1072" s="50" t="s">
        <v>27</v>
      </c>
      <c r="G1072" s="51"/>
    </row>
    <row r="1073" spans="1:7" s="50" customFormat="1">
      <c r="A1073" s="50" t="s">
        <v>237</v>
      </c>
      <c r="B1073" s="51">
        <v>1.2412800000000002E-4</v>
      </c>
      <c r="D1073" s="50" t="s">
        <v>7</v>
      </c>
      <c r="E1073" s="50" t="s">
        <v>245</v>
      </c>
      <c r="F1073" s="50" t="s">
        <v>27</v>
      </c>
      <c r="G1073" s="51"/>
    </row>
    <row r="1074" spans="1:7" s="50" customFormat="1">
      <c r="A1074" s="50" t="s">
        <v>257</v>
      </c>
      <c r="B1074" s="51">
        <v>2.454673846153846E-4</v>
      </c>
      <c r="D1074" s="50" t="s">
        <v>7</v>
      </c>
      <c r="E1074" s="50" t="s">
        <v>244</v>
      </c>
      <c r="F1074" s="50" t="s">
        <v>27</v>
      </c>
      <c r="G1074" s="51"/>
    </row>
    <row r="1075" spans="1:7" s="50" customFormat="1">
      <c r="A1075" s="50" t="s">
        <v>257</v>
      </c>
      <c r="B1075" s="51">
        <v>4.0638461538461546E-6</v>
      </c>
      <c r="D1075" s="50" t="s">
        <v>7</v>
      </c>
      <c r="E1075" s="50" t="s">
        <v>245</v>
      </c>
      <c r="F1075" s="50" t="s">
        <v>27</v>
      </c>
      <c r="G1075" s="51"/>
    </row>
    <row r="1076" spans="1:7" s="50" customFormat="1">
      <c r="A1076" s="50" t="s">
        <v>254</v>
      </c>
      <c r="B1076" s="51">
        <v>6.0660000000000011E-3</v>
      </c>
      <c r="D1076" s="50" t="s">
        <v>7</v>
      </c>
      <c r="E1076" s="50" t="s">
        <v>244</v>
      </c>
      <c r="F1076" s="50" t="s">
        <v>27</v>
      </c>
      <c r="G1076" s="51"/>
    </row>
    <row r="1077" spans="1:7" s="50" customFormat="1">
      <c r="A1077" s="50" t="s">
        <v>254</v>
      </c>
      <c r="B1077" s="51">
        <v>2.2923969230769234E-3</v>
      </c>
      <c r="D1077" s="50" t="s">
        <v>7</v>
      </c>
      <c r="E1077" s="50" t="s">
        <v>245</v>
      </c>
      <c r="F1077" s="50" t="s">
        <v>27</v>
      </c>
      <c r="G1077" s="51"/>
    </row>
    <row r="1078" spans="1:7" s="50" customFormat="1">
      <c r="A1078" s="50" t="s">
        <v>218</v>
      </c>
      <c r="B1078" s="51">
        <v>9.2630769230769232E-7</v>
      </c>
      <c r="D1078" s="50" t="s">
        <v>7</v>
      </c>
      <c r="E1078" s="50" t="s">
        <v>244</v>
      </c>
      <c r="F1078" s="50" t="s">
        <v>27</v>
      </c>
      <c r="G1078" s="51"/>
    </row>
    <row r="1079" spans="1:7" s="50" customFormat="1">
      <c r="A1079" s="50" t="s">
        <v>218</v>
      </c>
      <c r="B1079" s="51">
        <v>2.4050215384615388E-7</v>
      </c>
      <c r="D1079" s="50" t="s">
        <v>7</v>
      </c>
      <c r="E1079" s="50" t="s">
        <v>245</v>
      </c>
      <c r="F1079" s="50" t="s">
        <v>27</v>
      </c>
      <c r="G1079" s="51"/>
    </row>
    <row r="1080" spans="1:7" s="50" customFormat="1">
      <c r="A1080" s="50" t="s">
        <v>238</v>
      </c>
      <c r="B1080" s="51">
        <v>7.1307692307692313E-3</v>
      </c>
      <c r="D1080" s="50" t="s">
        <v>7</v>
      </c>
      <c r="E1080" s="50" t="s">
        <v>244</v>
      </c>
      <c r="F1080" s="50" t="s">
        <v>27</v>
      </c>
      <c r="G1080" s="51"/>
    </row>
    <row r="1081" spans="1:7" s="50" customFormat="1">
      <c r="A1081" s="50" t="s">
        <v>238</v>
      </c>
      <c r="B1081" s="51">
        <v>2.2884369230769233E-5</v>
      </c>
      <c r="D1081" s="50" t="s">
        <v>7</v>
      </c>
      <c r="E1081" s="50" t="s">
        <v>245</v>
      </c>
      <c r="F1081" s="50" t="s">
        <v>27</v>
      </c>
      <c r="G1081" s="51"/>
    </row>
    <row r="1082" spans="1:7" s="50" customFormat="1">
      <c r="A1082" s="50" t="s">
        <v>239</v>
      </c>
      <c r="B1082" s="51">
        <v>2.3712369230769236E-3</v>
      </c>
      <c r="D1082" s="50" t="s">
        <v>7</v>
      </c>
      <c r="E1082" s="50" t="s">
        <v>244</v>
      </c>
      <c r="F1082" s="50" t="s">
        <v>27</v>
      </c>
      <c r="G1082" s="51"/>
    </row>
    <row r="1083" spans="1:7" s="50" customFormat="1">
      <c r="A1083" s="50" t="s">
        <v>239</v>
      </c>
      <c r="B1083" s="51">
        <v>1.1923476923076924E-3</v>
      </c>
      <c r="D1083" s="50" t="s">
        <v>7</v>
      </c>
      <c r="E1083" s="50" t="s">
        <v>245</v>
      </c>
      <c r="F1083" s="50" t="s">
        <v>27</v>
      </c>
      <c r="G1083" s="51"/>
    </row>
    <row r="1084" spans="1:7" s="50" customFormat="1">
      <c r="A1084" s="50" t="s">
        <v>240</v>
      </c>
      <c r="B1084" s="51">
        <v>8.6582769230769251E-3</v>
      </c>
      <c r="D1084" s="50" t="s">
        <v>7</v>
      </c>
      <c r="E1084" s="50" t="s">
        <v>244</v>
      </c>
      <c r="F1084" s="50" t="s">
        <v>27</v>
      </c>
      <c r="G1084" s="51"/>
    </row>
    <row r="1085" spans="1:7" s="50" customFormat="1">
      <c r="A1085" s="50" t="s">
        <v>240</v>
      </c>
      <c r="B1085" s="51">
        <v>1.4798215384615387E-3</v>
      </c>
      <c r="D1085" s="50" t="s">
        <v>7</v>
      </c>
      <c r="E1085" s="50" t="s">
        <v>245</v>
      </c>
      <c r="F1085" s="50" t="s">
        <v>27</v>
      </c>
      <c r="G1085" s="51"/>
    </row>
    <row r="1086" spans="1:7" s="50" customFormat="1">
      <c r="A1086" s="50" t="s">
        <v>241</v>
      </c>
      <c r="B1086" s="51">
        <v>1.1502276923076923E-3</v>
      </c>
      <c r="D1086" s="50" t="s">
        <v>7</v>
      </c>
      <c r="E1086" s="50" t="s">
        <v>244</v>
      </c>
      <c r="F1086" s="50" t="s">
        <v>27</v>
      </c>
      <c r="G1086" s="51"/>
    </row>
    <row r="1087" spans="1:7" s="50" customFormat="1">
      <c r="A1087" s="50" t="s">
        <v>241</v>
      </c>
      <c r="B1087" s="51">
        <v>1.30068E-4</v>
      </c>
      <c r="D1087" s="50" t="s">
        <v>7</v>
      </c>
      <c r="E1087" s="50" t="s">
        <v>245</v>
      </c>
      <c r="F1087" s="50" t="s">
        <v>27</v>
      </c>
      <c r="G1087" s="51"/>
    </row>
    <row r="1088" spans="1:7" s="50" customFormat="1">
      <c r="A1088" s="50" t="s">
        <v>222</v>
      </c>
      <c r="B1088" s="51">
        <v>2.7332584615384619E-9</v>
      </c>
      <c r="D1088" s="50" t="s">
        <v>7</v>
      </c>
      <c r="E1088" s="50" t="s">
        <v>244</v>
      </c>
      <c r="F1088" s="50" t="s">
        <v>27</v>
      </c>
      <c r="G1088" s="51"/>
    </row>
    <row r="1089" spans="1:7" s="50" customFormat="1">
      <c r="A1089" s="50" t="s">
        <v>222</v>
      </c>
      <c r="B1089" s="51">
        <v>4.5631384615384617E-12</v>
      </c>
      <c r="D1089" s="50" t="s">
        <v>7</v>
      </c>
      <c r="E1089" s="50" t="s">
        <v>245</v>
      </c>
      <c r="F1089" s="50" t="s">
        <v>27</v>
      </c>
      <c r="G1089" s="51"/>
    </row>
    <row r="1090" spans="1:7" s="50" customFormat="1">
      <c r="A1090" s="50" t="s">
        <v>223</v>
      </c>
      <c r="B1090" s="51">
        <v>1.2818769230769233E-5</v>
      </c>
      <c r="D1090" s="50" t="s">
        <v>7</v>
      </c>
      <c r="E1090" s="50" t="s">
        <v>244</v>
      </c>
      <c r="F1090" s="50" t="s">
        <v>27</v>
      </c>
      <c r="G1090" s="51"/>
    </row>
    <row r="1091" spans="1:7" s="50" customFormat="1">
      <c r="A1091" s="50" t="s">
        <v>223</v>
      </c>
      <c r="B1091" s="51">
        <v>1.7459723076923075E-8</v>
      </c>
      <c r="D1091" s="50" t="s">
        <v>7</v>
      </c>
      <c r="E1091" s="50" t="s">
        <v>245</v>
      </c>
      <c r="F1091" s="50" t="s">
        <v>27</v>
      </c>
      <c r="G1091" s="51"/>
    </row>
    <row r="1092" spans="1:7" s="50" customFormat="1">
      <c r="A1092" s="50" t="s">
        <v>226</v>
      </c>
      <c r="B1092" s="51">
        <v>2.8290461538461545E-6</v>
      </c>
      <c r="D1092" s="50" t="s">
        <v>7</v>
      </c>
      <c r="E1092" s="50" t="s">
        <v>244</v>
      </c>
      <c r="F1092" s="50" t="s">
        <v>27</v>
      </c>
      <c r="G1092" s="51"/>
    </row>
    <row r="1093" spans="1:7" s="50" customFormat="1">
      <c r="A1093" s="50" t="s">
        <v>226</v>
      </c>
      <c r="B1093" s="51">
        <v>1.0638000000000002E-8</v>
      </c>
      <c r="D1093" s="50" t="s">
        <v>7</v>
      </c>
      <c r="E1093" s="50" t="s">
        <v>245</v>
      </c>
      <c r="F1093" s="50" t="s">
        <v>27</v>
      </c>
      <c r="G1093" s="51"/>
    </row>
    <row r="1094" spans="1:7" s="50" customFormat="1">
      <c r="A1094" s="50" t="s">
        <v>227</v>
      </c>
      <c r="B1094" s="51">
        <v>8.0386892307692318E-4</v>
      </c>
      <c r="D1094" s="50" t="s">
        <v>37</v>
      </c>
      <c r="E1094" s="50" t="s">
        <v>245</v>
      </c>
      <c r="F1094" s="50" t="s">
        <v>27</v>
      </c>
      <c r="G1094" s="51"/>
    </row>
    <row r="1095" spans="1:7" s="50" customFormat="1">
      <c r="A1095" s="50" t="s">
        <v>228</v>
      </c>
      <c r="B1095" s="51">
        <v>6.3171692307692316E-5</v>
      </c>
      <c r="D1095" s="50" t="s">
        <v>7</v>
      </c>
      <c r="E1095" s="50" t="s">
        <v>244</v>
      </c>
      <c r="F1095" s="50" t="s">
        <v>27</v>
      </c>
      <c r="G1095" s="51"/>
    </row>
    <row r="1096" spans="1:7" s="50" customFormat="1">
      <c r="A1096" s="50" t="s">
        <v>228</v>
      </c>
      <c r="B1096" s="51">
        <v>8.6064923076923091E-9</v>
      </c>
      <c r="D1096" s="50" t="s">
        <v>7</v>
      </c>
      <c r="E1096" s="50" t="s">
        <v>245</v>
      </c>
      <c r="F1096" s="50" t="s">
        <v>27</v>
      </c>
      <c r="G1096" s="51"/>
    </row>
    <row r="1097" spans="1:7" s="50" customFormat="1">
      <c r="A1097" s="50" t="s">
        <v>242</v>
      </c>
      <c r="B1097" s="51">
        <v>1.3308369230769233</v>
      </c>
      <c r="D1097" s="50" t="s">
        <v>7</v>
      </c>
      <c r="E1097" s="50" t="s">
        <v>111</v>
      </c>
      <c r="F1097" s="50" t="s">
        <v>27</v>
      </c>
      <c r="G1097" s="51"/>
    </row>
    <row r="1098" spans="1:7" s="50" customFormat="1">
      <c r="A1098" s="50" t="s">
        <v>35</v>
      </c>
      <c r="B1098" s="51">
        <f>(1/0.42)*0.29*6.09*1.1</f>
        <v>4.6255000000000006</v>
      </c>
      <c r="D1098" s="50" t="s">
        <v>17</v>
      </c>
      <c r="E1098" s="50" t="s">
        <v>36</v>
      </c>
      <c r="F1098" s="50" t="s">
        <v>27</v>
      </c>
      <c r="G1098" s="51"/>
    </row>
    <row r="1099" spans="1:7" s="50" customFormat="1"/>
    <row r="1100" spans="1:7" s="50" customFormat="1" ht="15.75">
      <c r="A1100" s="49" t="s">
        <v>0</v>
      </c>
      <c r="B1100" s="49" t="s">
        <v>137</v>
      </c>
    </row>
    <row r="1101" spans="1:7" s="50" customFormat="1">
      <c r="A1101" s="50" t="s">
        <v>1</v>
      </c>
      <c r="B1101" s="50" t="s">
        <v>104</v>
      </c>
    </row>
    <row r="1102" spans="1:7" s="50" customFormat="1">
      <c r="A1102" s="50" t="s">
        <v>2</v>
      </c>
      <c r="B1102" s="50">
        <v>1</v>
      </c>
    </row>
    <row r="1103" spans="1:7" s="50" customFormat="1">
      <c r="A1103" s="50" t="s">
        <v>3</v>
      </c>
      <c r="B1103" s="3" t="s">
        <v>138</v>
      </c>
    </row>
    <row r="1104" spans="1:7" s="50" customFormat="1">
      <c r="A1104" s="50" t="s">
        <v>4</v>
      </c>
      <c r="B1104" s="50" t="s">
        <v>5</v>
      </c>
    </row>
    <row r="1105" spans="1:8" s="50" customFormat="1">
      <c r="A1105" s="50" t="s">
        <v>6</v>
      </c>
      <c r="B1105" s="50" t="s">
        <v>17</v>
      </c>
    </row>
    <row r="1106" spans="1:8">
      <c r="A1106" t="s">
        <v>260</v>
      </c>
      <c r="B1106" s="23">
        <f>0.33*71%*90%</f>
        <v>0.21087</v>
      </c>
    </row>
    <row r="1107" spans="1:8" s="50" customFormat="1">
      <c r="A1107" s="50" t="s">
        <v>9</v>
      </c>
      <c r="B1107" s="50" t="s">
        <v>132</v>
      </c>
    </row>
    <row r="1108" spans="1:8" s="50" customFormat="1" ht="15.75">
      <c r="A1108" s="49" t="s">
        <v>10</v>
      </c>
    </row>
    <row r="1109" spans="1:8" s="50" customFormat="1">
      <c r="A1109" s="50" t="s">
        <v>11</v>
      </c>
      <c r="B1109" s="50" t="s">
        <v>12</v>
      </c>
      <c r="C1109" s="50" t="s">
        <v>1</v>
      </c>
      <c r="D1109" s="50" t="s">
        <v>6</v>
      </c>
      <c r="E1109" s="50" t="s">
        <v>13</v>
      </c>
      <c r="F1109" s="50" t="s">
        <v>4</v>
      </c>
      <c r="G1109" s="50" t="s">
        <v>9</v>
      </c>
      <c r="H1109" s="50" t="s">
        <v>3</v>
      </c>
    </row>
    <row r="1110" spans="1:8" s="50" customFormat="1">
      <c r="A1110" s="50" t="str">
        <f>B1100</f>
        <v>heat production, at co-generation biowaste-fired power plant, post, pipeline 200km, storage 1000m</v>
      </c>
      <c r="B1110" s="50">
        <v>1</v>
      </c>
      <c r="C1110" s="50" t="str">
        <f>B1101</f>
        <v>CH</v>
      </c>
      <c r="D1110" s="50" t="s">
        <v>17</v>
      </c>
      <c r="F1110" s="50" t="s">
        <v>15</v>
      </c>
      <c r="G1110" s="50" t="s">
        <v>16</v>
      </c>
      <c r="H1110" s="51" t="str">
        <f>B1103</f>
        <v>heat, from biowaste, municipal incineration, energy allocation</v>
      </c>
    </row>
    <row r="1111" spans="1:8" s="50" customFormat="1">
      <c r="A1111" s="50" t="s">
        <v>133</v>
      </c>
      <c r="B1111" s="50">
        <f>0.9*0.397030769230769</f>
        <v>0.35732769230769212</v>
      </c>
      <c r="C1111" s="50" t="s">
        <v>103</v>
      </c>
      <c r="D1111" s="50" t="s">
        <v>7</v>
      </c>
      <c r="F1111" s="50" t="s">
        <v>18</v>
      </c>
      <c r="H1111" s="50" t="s">
        <v>133</v>
      </c>
    </row>
    <row r="1112" spans="1:8" s="50" customFormat="1">
      <c r="A1112" s="50" t="s">
        <v>110</v>
      </c>
      <c r="B1112" s="51">
        <v>0.39703076923076902</v>
      </c>
      <c r="D1112" s="50" t="s">
        <v>7</v>
      </c>
      <c r="E1112" s="50" t="s">
        <v>111</v>
      </c>
      <c r="F1112" s="50" t="s">
        <v>27</v>
      </c>
      <c r="G1112" s="52"/>
    </row>
    <row r="1113" spans="1:8" s="50" customFormat="1">
      <c r="A1113" s="50" t="s">
        <v>148</v>
      </c>
      <c r="B1113" s="51">
        <v>4.1268461538461552E-4</v>
      </c>
      <c r="C1113" s="50" t="s">
        <v>103</v>
      </c>
      <c r="D1113" s="50" t="s">
        <v>7</v>
      </c>
      <c r="F1113" t="s">
        <v>18</v>
      </c>
      <c r="G1113" s="51"/>
      <c r="H1113" s="50" t="s">
        <v>169</v>
      </c>
    </row>
    <row r="1114" spans="1:8" s="50" customFormat="1">
      <c r="A1114" s="50" t="s">
        <v>149</v>
      </c>
      <c r="B1114" s="51">
        <v>2.3803076923076926E-7</v>
      </c>
      <c r="C1114" s="50" t="s">
        <v>103</v>
      </c>
      <c r="D1114" s="50" t="s">
        <v>7</v>
      </c>
      <c r="F1114" t="s">
        <v>18</v>
      </c>
      <c r="G1114" s="51"/>
      <c r="H1114" s="50" t="s">
        <v>170</v>
      </c>
    </row>
    <row r="1115" spans="1:8" s="50" customFormat="1">
      <c r="A1115" s="50" t="s">
        <v>167</v>
      </c>
      <c r="B1115" s="51">
        <v>4.0630000000000006E-3</v>
      </c>
      <c r="C1115" s="50" t="s">
        <v>104</v>
      </c>
      <c r="D1115" s="50" t="s">
        <v>7</v>
      </c>
      <c r="F1115" t="s">
        <v>18</v>
      </c>
      <c r="G1115" s="51"/>
      <c r="H1115" s="50" t="s">
        <v>185</v>
      </c>
    </row>
    <row r="1116" spans="1:8" s="50" customFormat="1">
      <c r="A1116" s="50" t="s">
        <v>150</v>
      </c>
      <c r="B1116" s="51">
        <v>5.575307692307693E-5</v>
      </c>
      <c r="C1116" s="50" t="s">
        <v>24</v>
      </c>
      <c r="D1116" s="50" t="s">
        <v>7</v>
      </c>
      <c r="F1116" t="s">
        <v>18</v>
      </c>
      <c r="G1116" s="51"/>
      <c r="H1116" s="50" t="s">
        <v>171</v>
      </c>
    </row>
    <row r="1117" spans="1:8" s="50" customFormat="1">
      <c r="A1117" s="50" t="s">
        <v>151</v>
      </c>
      <c r="B1117" s="51">
        <v>4.3123846153846167E-7</v>
      </c>
      <c r="C1117" s="50" t="s">
        <v>24</v>
      </c>
      <c r="D1117" s="50" t="s">
        <v>7</v>
      </c>
      <c r="F1117" t="s">
        <v>18</v>
      </c>
      <c r="G1117" s="51"/>
      <c r="H1117" s="50" t="s">
        <v>172</v>
      </c>
    </row>
    <row r="1118" spans="1:8" s="50" customFormat="1">
      <c r="A1118" t="s">
        <v>493</v>
      </c>
      <c r="B1118" s="51">
        <v>5.2766923076923077E-7</v>
      </c>
      <c r="C1118" s="50" t="s">
        <v>24</v>
      </c>
      <c r="D1118" s="50" t="s">
        <v>7</v>
      </c>
      <c r="F1118" t="s">
        <v>18</v>
      </c>
      <c r="G1118" s="51"/>
      <c r="H1118" t="s">
        <v>494</v>
      </c>
    </row>
    <row r="1119" spans="1:8" s="50" customFormat="1">
      <c r="A1119" s="50" t="s">
        <v>168</v>
      </c>
      <c r="B1119" s="51">
        <v>7.7169230769230782E-2</v>
      </c>
      <c r="C1119" s="50" t="s">
        <v>104</v>
      </c>
      <c r="D1119" s="50" t="s">
        <v>17</v>
      </c>
      <c r="F1119" t="s">
        <v>18</v>
      </c>
      <c r="G1119" s="51"/>
      <c r="H1119" s="50" t="s">
        <v>186</v>
      </c>
    </row>
    <row r="1120" spans="1:8" s="50" customFormat="1">
      <c r="A1120" s="50" t="s">
        <v>152</v>
      </c>
      <c r="B1120" s="51">
        <v>2.9617692307692316E-4</v>
      </c>
      <c r="C1120" s="50" t="s">
        <v>103</v>
      </c>
      <c r="D1120" s="50" t="s">
        <v>7</v>
      </c>
      <c r="F1120" t="s">
        <v>18</v>
      </c>
      <c r="G1120" s="51"/>
      <c r="H1120" s="50" t="s">
        <v>173</v>
      </c>
    </row>
    <row r="1121" spans="1:8" s="50" customFormat="1">
      <c r="A1121" s="50" t="s">
        <v>153</v>
      </c>
      <c r="B1121" s="51">
        <v>7.1652307692307712E-4</v>
      </c>
      <c r="C1121" s="50" t="s">
        <v>103</v>
      </c>
      <c r="D1121" s="50" t="s">
        <v>7</v>
      </c>
      <c r="F1121" t="s">
        <v>18</v>
      </c>
      <c r="G1121" s="51"/>
      <c r="H1121" s="50" t="s">
        <v>174</v>
      </c>
    </row>
    <row r="1122" spans="1:8" s="50" customFormat="1">
      <c r="A1122" s="50" t="s">
        <v>154</v>
      </c>
      <c r="B1122" s="51">
        <v>8.3669230769230778E-7</v>
      </c>
      <c r="C1122" s="50" t="s">
        <v>24</v>
      </c>
      <c r="D1122" s="50" t="s">
        <v>7</v>
      </c>
      <c r="F1122" t="s">
        <v>18</v>
      </c>
      <c r="G1122" s="51"/>
      <c r="H1122" t="s">
        <v>474</v>
      </c>
    </row>
    <row r="1123" spans="1:8" s="50" customFormat="1">
      <c r="A1123" s="50" t="s">
        <v>155</v>
      </c>
      <c r="B1123" s="51">
        <v>-2.2291538461538469E-3</v>
      </c>
      <c r="C1123" s="50" t="s">
        <v>24</v>
      </c>
      <c r="D1123" s="50" t="s">
        <v>7</v>
      </c>
      <c r="F1123" t="s">
        <v>18</v>
      </c>
      <c r="G1123" s="51"/>
      <c r="H1123" s="50" t="s">
        <v>175</v>
      </c>
    </row>
    <row r="1124" spans="1:8" s="50" customFormat="1">
      <c r="A1124" s="50" t="s">
        <v>156</v>
      </c>
      <c r="B1124" s="51">
        <v>1.9230769230769236E-10</v>
      </c>
      <c r="C1124" s="50" t="s">
        <v>104</v>
      </c>
      <c r="D1124" s="50" t="s">
        <v>6</v>
      </c>
      <c r="F1124" t="s">
        <v>18</v>
      </c>
      <c r="G1124" s="51"/>
      <c r="H1124" s="50" t="s">
        <v>176</v>
      </c>
    </row>
    <row r="1125" spans="1:8" s="50" customFormat="1">
      <c r="A1125" s="50" t="s">
        <v>157</v>
      </c>
      <c r="B1125" s="51">
        <v>2.0251538461538467E-2</v>
      </c>
      <c r="C1125" s="50" t="s">
        <v>104</v>
      </c>
      <c r="D1125" s="50" t="s">
        <v>7</v>
      </c>
      <c r="F1125" t="s">
        <v>18</v>
      </c>
      <c r="G1125" s="51"/>
      <c r="H1125" s="50" t="s">
        <v>157</v>
      </c>
    </row>
    <row r="1126" spans="1:8" s="50" customFormat="1">
      <c r="A1126" s="50" t="s">
        <v>158</v>
      </c>
      <c r="B1126" s="51">
        <v>0.10974615384615387</v>
      </c>
      <c r="C1126" s="50" t="s">
        <v>104</v>
      </c>
      <c r="D1126" s="50" t="s">
        <v>7</v>
      </c>
      <c r="F1126" t="s">
        <v>18</v>
      </c>
      <c r="G1126" s="51"/>
      <c r="H1126" s="50" t="s">
        <v>158</v>
      </c>
    </row>
    <row r="1127" spans="1:8" s="50" customFormat="1">
      <c r="A1127" s="50" t="s">
        <v>159</v>
      </c>
      <c r="B1127" s="51">
        <v>1.0615384615384616E-3</v>
      </c>
      <c r="C1127" s="50" t="s">
        <v>103</v>
      </c>
      <c r="D1127" s="50" t="s">
        <v>7</v>
      </c>
      <c r="F1127" t="s">
        <v>18</v>
      </c>
      <c r="G1127" s="51"/>
      <c r="H1127" s="50" t="s">
        <v>177</v>
      </c>
    </row>
    <row r="1128" spans="1:8" s="50" customFormat="1">
      <c r="A1128" s="50" t="s">
        <v>160</v>
      </c>
      <c r="B1128" s="51">
        <v>4.2190769230769235E-11</v>
      </c>
      <c r="C1128" s="50" t="s">
        <v>104</v>
      </c>
      <c r="D1128" s="50" t="s">
        <v>6</v>
      </c>
      <c r="F1128" t="s">
        <v>18</v>
      </c>
      <c r="G1128" s="51"/>
      <c r="H1128" s="50" t="s">
        <v>178</v>
      </c>
    </row>
    <row r="1129" spans="1:8" s="50" customFormat="1">
      <c r="A1129" s="50" t="s">
        <v>161</v>
      </c>
      <c r="B1129" s="51">
        <v>1.9510000000000003E-10</v>
      </c>
      <c r="C1129" s="50" t="s">
        <v>104</v>
      </c>
      <c r="D1129" s="50" t="s">
        <v>6</v>
      </c>
      <c r="F1129" t="s">
        <v>18</v>
      </c>
      <c r="G1129" s="51"/>
      <c r="H1129" s="50" t="s">
        <v>179</v>
      </c>
    </row>
    <row r="1130" spans="1:8" s="50" customFormat="1">
      <c r="A1130" s="50" t="s">
        <v>162</v>
      </c>
      <c r="B1130" s="51">
        <v>8.3146153846153873E-4</v>
      </c>
      <c r="C1130" s="3" t="s">
        <v>266</v>
      </c>
      <c r="D1130" s="50" t="s">
        <v>7</v>
      </c>
      <c r="F1130" t="s">
        <v>18</v>
      </c>
      <c r="G1130" s="51"/>
      <c r="H1130" s="50" t="s">
        <v>180</v>
      </c>
    </row>
    <row r="1131" spans="1:8" s="50" customFormat="1">
      <c r="A1131" s="50" t="s">
        <v>163</v>
      </c>
      <c r="B1131" s="51">
        <v>-2.5055384615384618E-7</v>
      </c>
      <c r="C1131" s="50" t="s">
        <v>24</v>
      </c>
      <c r="D1131" s="50" t="s">
        <v>7</v>
      </c>
      <c r="F1131" t="s">
        <v>18</v>
      </c>
      <c r="G1131" s="51"/>
      <c r="H1131" s="50" t="s">
        <v>181</v>
      </c>
    </row>
    <row r="1132" spans="1:8" s="50" customFormat="1">
      <c r="A1132" s="50" t="s">
        <v>164</v>
      </c>
      <c r="B1132" s="51">
        <v>2.5856153846153849E-5</v>
      </c>
      <c r="C1132" s="50" t="s">
        <v>103</v>
      </c>
      <c r="D1132" s="50" t="s">
        <v>7</v>
      </c>
      <c r="F1132" t="s">
        <v>18</v>
      </c>
      <c r="G1132" s="51"/>
      <c r="H1132" s="50" t="s">
        <v>182</v>
      </c>
    </row>
    <row r="1133" spans="1:8" s="50" customFormat="1">
      <c r="A1133" s="50" t="s">
        <v>81</v>
      </c>
      <c r="B1133" s="51">
        <v>5.022461538461539E-3</v>
      </c>
      <c r="C1133" s="50" t="s">
        <v>103</v>
      </c>
      <c r="D1133" s="50" t="s">
        <v>28</v>
      </c>
      <c r="F1133" t="s">
        <v>18</v>
      </c>
      <c r="G1133" s="51"/>
      <c r="H1133" s="50" t="s">
        <v>82</v>
      </c>
    </row>
    <row r="1134" spans="1:8" s="50" customFormat="1">
      <c r="A1134" s="50" t="s">
        <v>165</v>
      </c>
      <c r="B1134" s="51">
        <v>-1.015769230769231E-2</v>
      </c>
      <c r="C1134" s="50" t="s">
        <v>104</v>
      </c>
      <c r="D1134" s="50" t="s">
        <v>7</v>
      </c>
      <c r="F1134" t="s">
        <v>18</v>
      </c>
      <c r="G1134" s="51"/>
      <c r="H1134" s="50" t="s">
        <v>183</v>
      </c>
    </row>
    <row r="1135" spans="1:8" s="50" customFormat="1">
      <c r="A1135" s="50" t="s">
        <v>166</v>
      </c>
      <c r="B1135" s="51">
        <v>0.66094615384615407</v>
      </c>
      <c r="C1135" s="50" t="s">
        <v>104</v>
      </c>
      <c r="D1135" s="50" t="s">
        <v>7</v>
      </c>
      <c r="F1135" t="s">
        <v>18</v>
      </c>
      <c r="G1135" s="51"/>
      <c r="H1135" s="50" t="s">
        <v>184</v>
      </c>
    </row>
    <row r="1136" spans="1:8" s="50" customFormat="1">
      <c r="A1136" s="50" t="s">
        <v>187</v>
      </c>
      <c r="B1136" s="51">
        <v>5.4676153846153856E-9</v>
      </c>
      <c r="D1136" s="50" t="s">
        <v>7</v>
      </c>
      <c r="E1136" s="50" t="s">
        <v>243</v>
      </c>
      <c r="F1136" s="50" t="s">
        <v>27</v>
      </c>
      <c r="G1136" s="51"/>
    </row>
    <row r="1137" spans="1:7" s="50" customFormat="1">
      <c r="A1137" s="50" t="s">
        <v>188</v>
      </c>
      <c r="B1137" s="51">
        <v>4.8521538461538472E-7</v>
      </c>
      <c r="D1137" s="50" t="s">
        <v>7</v>
      </c>
      <c r="E1137" s="50" t="s">
        <v>243</v>
      </c>
      <c r="F1137" s="50" t="s">
        <v>27</v>
      </c>
      <c r="G1137" s="51"/>
    </row>
    <row r="1138" spans="1:7" s="50" customFormat="1">
      <c r="A1138" s="50" t="s">
        <v>190</v>
      </c>
      <c r="B1138" s="51">
        <v>1.0511538461538464E-8</v>
      </c>
      <c r="D1138" s="50" t="s">
        <v>7</v>
      </c>
      <c r="E1138" s="50" t="s">
        <v>243</v>
      </c>
      <c r="F1138" s="50" t="s">
        <v>27</v>
      </c>
      <c r="G1138" s="51"/>
    </row>
    <row r="1139" spans="1:7" s="50" customFormat="1">
      <c r="A1139" s="50" t="s">
        <v>192</v>
      </c>
      <c r="B1139" s="51">
        <v>3.2013846153846166E-8</v>
      </c>
      <c r="D1139" s="50" t="s">
        <v>7</v>
      </c>
      <c r="E1139" s="50" t="s">
        <v>243</v>
      </c>
      <c r="F1139" s="50" t="s">
        <v>27</v>
      </c>
      <c r="G1139" s="51"/>
    </row>
    <row r="1140" spans="1:7" s="50" customFormat="1">
      <c r="A1140" s="50" t="s">
        <v>193</v>
      </c>
      <c r="B1140" s="51">
        <v>6.693923076923078E-11</v>
      </c>
      <c r="D1140" s="50" t="s">
        <v>7</v>
      </c>
      <c r="E1140" s="50" t="s">
        <v>243</v>
      </c>
      <c r="F1140" s="50" t="s">
        <v>27</v>
      </c>
      <c r="G1140" s="51"/>
    </row>
    <row r="1141" spans="1:7" s="50" customFormat="1">
      <c r="A1141" t="s">
        <v>477</v>
      </c>
      <c r="B1141" s="51">
        <v>1.6913846153846155E-10</v>
      </c>
      <c r="D1141" s="50" t="s">
        <v>7</v>
      </c>
      <c r="E1141" s="50" t="s">
        <v>243</v>
      </c>
      <c r="F1141" s="50" t="s">
        <v>27</v>
      </c>
      <c r="G1141" s="51"/>
    </row>
    <row r="1142" spans="1:7" s="50" customFormat="1">
      <c r="A1142" s="50" t="s">
        <v>194</v>
      </c>
      <c r="B1142" s="51">
        <v>7.1240769230769254E-13</v>
      </c>
      <c r="D1142" s="50" t="s">
        <v>7</v>
      </c>
      <c r="E1142" s="50" t="s">
        <v>243</v>
      </c>
      <c r="F1142" s="50" t="s">
        <v>27</v>
      </c>
      <c r="G1142" s="51"/>
    </row>
    <row r="1143" spans="1:7" s="50" customFormat="1">
      <c r="A1143" s="50" t="s">
        <v>195</v>
      </c>
      <c r="B1143" s="51">
        <v>2.010769230769231E-9</v>
      </c>
      <c r="D1143" s="50" t="s">
        <v>7</v>
      </c>
      <c r="E1143" s="50" t="s">
        <v>243</v>
      </c>
      <c r="F1143" s="50" t="s">
        <v>27</v>
      </c>
      <c r="G1143" s="51"/>
    </row>
    <row r="1144" spans="1:7" s="50" customFormat="1">
      <c r="A1144" s="50" t="s">
        <v>196</v>
      </c>
      <c r="B1144" s="51">
        <v>4.719384615384617E-11</v>
      </c>
      <c r="D1144" s="50" t="s">
        <v>7</v>
      </c>
      <c r="E1144" s="50" t="s">
        <v>243</v>
      </c>
      <c r="F1144" s="50" t="s">
        <v>27</v>
      </c>
      <c r="G1144" s="51"/>
    </row>
    <row r="1145" spans="1:7" s="50" customFormat="1">
      <c r="A1145" s="50" t="s">
        <v>247</v>
      </c>
      <c r="B1145" s="51">
        <v>1.1510769230769233E-4</v>
      </c>
      <c r="D1145" s="50" t="s">
        <v>7</v>
      </c>
      <c r="E1145" s="50" t="s">
        <v>243</v>
      </c>
      <c r="F1145" s="50" t="s">
        <v>27</v>
      </c>
      <c r="G1145" s="51"/>
    </row>
    <row r="1146" spans="1:7" s="50" customFormat="1">
      <c r="A1146" s="50" t="s">
        <v>134</v>
      </c>
      <c r="B1146" s="51">
        <f>0.397030769230769-B1111</f>
        <v>3.9703076923076897E-2</v>
      </c>
      <c r="D1146" s="50" t="s">
        <v>7</v>
      </c>
      <c r="E1146" s="50" t="s">
        <v>243</v>
      </c>
      <c r="F1146" s="50" t="s">
        <v>27</v>
      </c>
      <c r="G1146" s="51"/>
    </row>
    <row r="1147" spans="1:7" s="50" customFormat="1">
      <c r="A1147" s="50" t="s">
        <v>248</v>
      </c>
      <c r="B1147" s="51">
        <v>5.441923076923078E-5</v>
      </c>
      <c r="D1147" s="50" t="s">
        <v>7</v>
      </c>
      <c r="E1147" s="50" t="s">
        <v>243</v>
      </c>
      <c r="F1147" s="50" t="s">
        <v>27</v>
      </c>
      <c r="G1147" s="51"/>
    </row>
    <row r="1148" spans="1:7" s="50" customFormat="1">
      <c r="A1148" s="50" t="s">
        <v>198</v>
      </c>
      <c r="B1148" s="51">
        <v>4.6870000000000009E-9</v>
      </c>
      <c r="D1148" s="50" t="s">
        <v>7</v>
      </c>
      <c r="E1148" s="50" t="s">
        <v>243</v>
      </c>
      <c r="F1148" s="50" t="s">
        <v>27</v>
      </c>
      <c r="G1148" s="51"/>
    </row>
    <row r="1149" spans="1:7" s="50" customFormat="1">
      <c r="A1149" s="50" t="s">
        <v>199</v>
      </c>
      <c r="B1149" s="51">
        <v>6.1010769230769246E-9</v>
      </c>
      <c r="D1149" s="50" t="s">
        <v>7</v>
      </c>
      <c r="E1149" s="50" t="s">
        <v>243</v>
      </c>
      <c r="F1149" s="50" t="s">
        <v>27</v>
      </c>
      <c r="G1149" s="51"/>
    </row>
    <row r="1150" spans="1:7" s="50" customFormat="1">
      <c r="A1150" s="50" t="s">
        <v>200</v>
      </c>
      <c r="B1150" s="51">
        <v>1.1061538461538465E-9</v>
      </c>
      <c r="D1150" s="50" t="s">
        <v>7</v>
      </c>
      <c r="E1150" s="50" t="s">
        <v>243</v>
      </c>
      <c r="F1150" s="50" t="s">
        <v>27</v>
      </c>
      <c r="G1150" s="51"/>
    </row>
    <row r="1151" spans="1:7" s="50" customFormat="1">
      <c r="A1151" s="50" t="s">
        <v>201</v>
      </c>
      <c r="B1151" s="51">
        <v>8.5992307692307698E-6</v>
      </c>
      <c r="D1151" s="50" t="s">
        <v>7</v>
      </c>
      <c r="E1151" s="50" t="s">
        <v>243</v>
      </c>
      <c r="F1151" s="50" t="s">
        <v>27</v>
      </c>
      <c r="G1151" s="51"/>
    </row>
    <row r="1152" spans="1:7" s="50" customFormat="1">
      <c r="A1152" s="50" t="s">
        <v>202</v>
      </c>
      <c r="B1152" s="51">
        <v>4.0027692307692315E-5</v>
      </c>
      <c r="D1152" s="50" t="s">
        <v>7</v>
      </c>
      <c r="E1152" s="50" t="s">
        <v>243</v>
      </c>
      <c r="F1152" s="50" t="s">
        <v>27</v>
      </c>
      <c r="G1152" s="51"/>
    </row>
    <row r="1153" spans="1:7" s="50" customFormat="1">
      <c r="A1153" s="50" t="s">
        <v>203</v>
      </c>
      <c r="B1153" s="51">
        <v>6.4023076923076933E-14</v>
      </c>
      <c r="D1153" s="50" t="s">
        <v>7</v>
      </c>
      <c r="E1153" s="50" t="s">
        <v>243</v>
      </c>
      <c r="F1153" s="50" t="s">
        <v>27</v>
      </c>
      <c r="G1153" s="51"/>
    </row>
    <row r="1154" spans="1:7" s="50" customFormat="1">
      <c r="A1154" s="50" t="s">
        <v>204</v>
      </c>
      <c r="B1154" s="51">
        <v>3.4181538461538472</v>
      </c>
      <c r="D1154" s="50" t="s">
        <v>17</v>
      </c>
      <c r="E1154" s="50" t="s">
        <v>243</v>
      </c>
      <c r="F1154" s="50" t="s">
        <v>27</v>
      </c>
      <c r="G1154" s="51"/>
    </row>
    <row r="1155" spans="1:7" s="50" customFormat="1">
      <c r="A1155" s="50" t="s">
        <v>205</v>
      </c>
      <c r="B1155" s="51">
        <v>1.5314615384615386E-6</v>
      </c>
      <c r="D1155" s="50" t="s">
        <v>7</v>
      </c>
      <c r="E1155" s="50" t="s">
        <v>243</v>
      </c>
      <c r="F1155" s="50" t="s">
        <v>27</v>
      </c>
      <c r="G1155" s="51"/>
    </row>
    <row r="1156" spans="1:7" s="50" customFormat="1">
      <c r="A1156" s="50" t="s">
        <v>206</v>
      </c>
      <c r="B1156" s="51">
        <v>9.0530769230769244E-7</v>
      </c>
      <c r="D1156" s="50" t="s">
        <v>7</v>
      </c>
      <c r="E1156" s="50" t="s">
        <v>243</v>
      </c>
      <c r="F1156" s="50" t="s">
        <v>27</v>
      </c>
      <c r="G1156" s="51"/>
    </row>
    <row r="1157" spans="1:7" s="50" customFormat="1">
      <c r="A1157" s="50" t="s">
        <v>249</v>
      </c>
      <c r="B1157" s="51">
        <v>2.0480769230769236E-11</v>
      </c>
      <c r="D1157" s="50" t="s">
        <v>7</v>
      </c>
      <c r="E1157" s="50" t="s">
        <v>243</v>
      </c>
      <c r="F1157" s="50" t="s">
        <v>27</v>
      </c>
      <c r="G1157" s="51"/>
    </row>
    <row r="1158" spans="1:7" s="50" customFormat="1">
      <c r="A1158" s="50" t="s">
        <v>207</v>
      </c>
      <c r="B1158" s="51">
        <v>7.2146153846153871E-10</v>
      </c>
      <c r="D1158" s="50" t="s">
        <v>7</v>
      </c>
      <c r="E1158" s="50" t="s">
        <v>243</v>
      </c>
      <c r="F1158" s="50" t="s">
        <v>27</v>
      </c>
      <c r="G1158" s="51"/>
    </row>
    <row r="1159" spans="1:7" s="50" customFormat="1">
      <c r="A1159" s="50" t="s">
        <v>208</v>
      </c>
      <c r="B1159" s="51">
        <v>1.0259230769230773E-9</v>
      </c>
      <c r="D1159" s="50" t="s">
        <v>7</v>
      </c>
      <c r="E1159" s="50" t="s">
        <v>243</v>
      </c>
      <c r="F1159" s="50" t="s">
        <v>27</v>
      </c>
      <c r="G1159" s="51"/>
    </row>
    <row r="1160" spans="1:7" s="50" customFormat="1">
      <c r="A1160" s="50" t="s">
        <v>250</v>
      </c>
      <c r="B1160" s="51">
        <v>1.9956923076923079E-6</v>
      </c>
      <c r="D1160" s="50" t="s">
        <v>7</v>
      </c>
      <c r="E1160" s="50" t="s">
        <v>243</v>
      </c>
      <c r="F1160" s="50" t="s">
        <v>27</v>
      </c>
      <c r="G1160" s="51"/>
    </row>
    <row r="1161" spans="1:7" s="50" customFormat="1">
      <c r="A1161" s="50" t="s">
        <v>209</v>
      </c>
      <c r="B1161" s="51">
        <v>5.509769230769232E-10</v>
      </c>
      <c r="D1161" s="50" t="s">
        <v>7</v>
      </c>
      <c r="E1161" s="50" t="s">
        <v>243</v>
      </c>
      <c r="F1161" s="50" t="s">
        <v>27</v>
      </c>
      <c r="G1161" s="51"/>
    </row>
    <row r="1162" spans="1:7" s="50" customFormat="1">
      <c r="A1162" s="50" t="s">
        <v>210</v>
      </c>
      <c r="B1162" s="51">
        <v>1.3316153846153848E-9</v>
      </c>
      <c r="D1162" s="50" t="s">
        <v>7</v>
      </c>
      <c r="E1162" s="50" t="s">
        <v>243</v>
      </c>
      <c r="F1162" s="50" t="s">
        <v>27</v>
      </c>
      <c r="G1162" s="51"/>
    </row>
    <row r="1163" spans="1:7" s="50" customFormat="1">
      <c r="A1163" s="50" t="s">
        <v>251</v>
      </c>
      <c r="B1163" s="51">
        <v>4.8020769230769237E-7</v>
      </c>
      <c r="D1163" s="50" t="s">
        <v>7</v>
      </c>
      <c r="E1163" s="50" t="s">
        <v>243</v>
      </c>
      <c r="F1163" s="50" t="s">
        <v>27</v>
      </c>
      <c r="G1163" s="51"/>
    </row>
    <row r="1164" spans="1:7" s="50" customFormat="1">
      <c r="A1164" s="50" t="s">
        <v>252</v>
      </c>
      <c r="B1164" s="51">
        <v>3.5312307692307701E-10</v>
      </c>
      <c r="D1164" s="50" t="s">
        <v>7</v>
      </c>
      <c r="E1164" s="50" t="s">
        <v>243</v>
      </c>
      <c r="F1164" s="50" t="s">
        <v>27</v>
      </c>
      <c r="G1164" s="51"/>
    </row>
    <row r="1165" spans="1:7" s="50" customFormat="1">
      <c r="A1165" s="50" t="s">
        <v>212</v>
      </c>
      <c r="B1165" s="51">
        <v>1.4569230769230773E-6</v>
      </c>
      <c r="D1165" s="50" t="s">
        <v>7</v>
      </c>
      <c r="E1165" s="50" t="s">
        <v>243</v>
      </c>
      <c r="F1165" s="50" t="s">
        <v>27</v>
      </c>
      <c r="G1165" s="51"/>
    </row>
    <row r="1166" spans="1:7" s="50" customFormat="1">
      <c r="A1166" s="50" t="s">
        <v>213</v>
      </c>
      <c r="B1166" s="51">
        <v>4.5682307692307696E-9</v>
      </c>
      <c r="D1166" s="50" t="s">
        <v>7</v>
      </c>
      <c r="E1166" s="50" t="s">
        <v>243</v>
      </c>
      <c r="F1166" s="50" t="s">
        <v>27</v>
      </c>
      <c r="G1166" s="51"/>
    </row>
    <row r="1167" spans="1:7" s="50" customFormat="1">
      <c r="A1167" s="50" t="s">
        <v>214</v>
      </c>
      <c r="B1167" s="51">
        <v>1.536538461538462E-4</v>
      </c>
      <c r="D1167" s="50" t="s">
        <v>7</v>
      </c>
      <c r="E1167" s="50" t="s">
        <v>243</v>
      </c>
      <c r="F1167" s="50" t="s">
        <v>27</v>
      </c>
      <c r="G1167" s="51"/>
    </row>
    <row r="1168" spans="1:7" s="50" customFormat="1">
      <c r="A1168" s="50" t="s">
        <v>215</v>
      </c>
      <c r="B1168" s="51">
        <v>3.8221538461538467E-6</v>
      </c>
      <c r="D1168" s="50" t="s">
        <v>7</v>
      </c>
      <c r="E1168" s="50" t="s">
        <v>243</v>
      </c>
      <c r="F1168" s="50" t="s">
        <v>27</v>
      </c>
      <c r="G1168" s="51"/>
    </row>
    <row r="1169" spans="1:7" s="50" customFormat="1">
      <c r="A1169" s="50" t="s">
        <v>216</v>
      </c>
      <c r="B1169" s="51">
        <v>1.9206923076923082E-8</v>
      </c>
      <c r="D1169" s="50" t="s">
        <v>7</v>
      </c>
      <c r="E1169" s="50" t="s">
        <v>243</v>
      </c>
      <c r="F1169" s="50" t="s">
        <v>27</v>
      </c>
      <c r="G1169" s="51"/>
    </row>
    <row r="1170" spans="1:7" s="50" customFormat="1">
      <c r="A1170" s="50" t="s">
        <v>217</v>
      </c>
      <c r="B1170" s="51">
        <v>1.3941538461538464E-11</v>
      </c>
      <c r="D1170" s="50" t="s">
        <v>7</v>
      </c>
      <c r="E1170" s="50" t="s">
        <v>243</v>
      </c>
      <c r="F1170" s="50" t="s">
        <v>27</v>
      </c>
      <c r="G1170" s="51"/>
    </row>
    <row r="1171" spans="1:7" s="50" customFormat="1">
      <c r="A1171" s="50" t="s">
        <v>253</v>
      </c>
      <c r="B1171" s="51">
        <v>7.7046153846153862E-7</v>
      </c>
      <c r="D1171" s="50" t="s">
        <v>7</v>
      </c>
      <c r="E1171" s="50" t="s">
        <v>243</v>
      </c>
      <c r="F1171" s="50" t="s">
        <v>27</v>
      </c>
      <c r="G1171" s="51"/>
    </row>
    <row r="1172" spans="1:7" s="50" customFormat="1">
      <c r="A1172" s="50" t="s">
        <v>254</v>
      </c>
      <c r="B1172" s="51">
        <v>1.1601538461538464E-5</v>
      </c>
      <c r="D1172" s="50" t="s">
        <v>7</v>
      </c>
      <c r="E1172" s="50" t="s">
        <v>243</v>
      </c>
      <c r="F1172" s="50" t="s">
        <v>27</v>
      </c>
      <c r="G1172" s="51"/>
    </row>
    <row r="1173" spans="1:7" s="50" customFormat="1">
      <c r="A1173" s="50" t="s">
        <v>218</v>
      </c>
      <c r="B1173" s="51">
        <v>4.0001538461538472E-9</v>
      </c>
      <c r="D1173" s="50" t="s">
        <v>7</v>
      </c>
      <c r="E1173" s="50" t="s">
        <v>243</v>
      </c>
      <c r="F1173" s="50" t="s">
        <v>27</v>
      </c>
      <c r="G1173" s="51"/>
    </row>
    <row r="1174" spans="1:7" s="50" customFormat="1">
      <c r="A1174" s="50" t="s">
        <v>238</v>
      </c>
      <c r="B1174" s="51">
        <v>4.1779230769230774E-8</v>
      </c>
      <c r="D1174" s="50" t="s">
        <v>7</v>
      </c>
      <c r="E1174" s="50" t="s">
        <v>243</v>
      </c>
      <c r="F1174" s="50" t="s">
        <v>27</v>
      </c>
      <c r="G1174" s="51"/>
    </row>
    <row r="1175" spans="1:7" s="50" customFormat="1">
      <c r="A1175" s="50" t="s">
        <v>219</v>
      </c>
      <c r="B1175" s="51">
        <v>8.2630769230769241E-6</v>
      </c>
      <c r="D1175" s="50" t="s">
        <v>7</v>
      </c>
      <c r="E1175" s="50" t="s">
        <v>243</v>
      </c>
      <c r="F1175" s="50" t="s">
        <v>27</v>
      </c>
      <c r="G1175" s="51"/>
    </row>
    <row r="1176" spans="1:7" s="50" customFormat="1">
      <c r="A1176" s="50" t="s">
        <v>221</v>
      </c>
      <c r="B1176" s="51">
        <v>1.0697692307692308E-5</v>
      </c>
      <c r="D1176" s="50" t="s">
        <v>7</v>
      </c>
      <c r="E1176" s="50" t="s">
        <v>243</v>
      </c>
      <c r="F1176" s="50" t="s">
        <v>27</v>
      </c>
      <c r="G1176" s="51"/>
    </row>
    <row r="1177" spans="1:7" s="50" customFormat="1">
      <c r="A1177" s="50" t="s">
        <v>223</v>
      </c>
      <c r="B1177" s="51">
        <v>3.5043846153846162E-12</v>
      </c>
      <c r="D1177" s="50" t="s">
        <v>7</v>
      </c>
      <c r="E1177" s="50" t="s">
        <v>243</v>
      </c>
      <c r="F1177" s="50" t="s">
        <v>27</v>
      </c>
      <c r="G1177" s="51"/>
    </row>
    <row r="1178" spans="1:7" s="50" customFormat="1">
      <c r="A1178" s="50" t="s">
        <v>225</v>
      </c>
      <c r="B1178" s="51">
        <v>6.4026923076923092E-8</v>
      </c>
      <c r="D1178" s="50" t="s">
        <v>7</v>
      </c>
      <c r="E1178" s="50" t="s">
        <v>243</v>
      </c>
      <c r="F1178" s="50" t="s">
        <v>27</v>
      </c>
      <c r="G1178" s="51"/>
    </row>
    <row r="1179" spans="1:7" s="50" customFormat="1">
      <c r="A1179" s="50" t="s">
        <v>226</v>
      </c>
      <c r="B1179" s="51">
        <v>4.2668461538461545E-8</v>
      </c>
      <c r="D1179" s="50" t="s">
        <v>7</v>
      </c>
      <c r="E1179" s="50" t="s">
        <v>243</v>
      </c>
      <c r="F1179" s="50" t="s">
        <v>27</v>
      </c>
      <c r="G1179" s="51"/>
    </row>
    <row r="1180" spans="1:7" s="50" customFormat="1">
      <c r="A1180" s="50" t="s">
        <v>227</v>
      </c>
      <c r="B1180" s="51">
        <v>1.0421761538461543E-3</v>
      </c>
      <c r="D1180" s="50" t="s">
        <v>37</v>
      </c>
      <c r="E1180" s="50" t="s">
        <v>243</v>
      </c>
      <c r="F1180" s="50" t="s">
        <v>27</v>
      </c>
      <c r="G1180" s="51"/>
    </row>
    <row r="1181" spans="1:7" s="50" customFormat="1">
      <c r="A1181" s="50" t="s">
        <v>228</v>
      </c>
      <c r="B1181" s="51">
        <v>2.6190769230769238E-8</v>
      </c>
      <c r="D1181" s="50" t="s">
        <v>7</v>
      </c>
      <c r="E1181" s="50" t="s">
        <v>243</v>
      </c>
      <c r="F1181" s="50" t="s">
        <v>27</v>
      </c>
      <c r="G1181" s="51"/>
    </row>
    <row r="1182" spans="1:7" s="50" customFormat="1">
      <c r="A1182" s="50" t="s">
        <v>187</v>
      </c>
      <c r="B1182" s="51">
        <v>5.177000000000001E-3</v>
      </c>
      <c r="D1182" s="50" t="s">
        <v>7</v>
      </c>
      <c r="E1182" s="50" t="s">
        <v>244</v>
      </c>
      <c r="F1182" s="50" t="s">
        <v>27</v>
      </c>
      <c r="G1182" s="51"/>
    </row>
    <row r="1183" spans="1:7" s="50" customFormat="1">
      <c r="A1183" s="50" t="s">
        <v>187</v>
      </c>
      <c r="B1183" s="51">
        <v>4.9810000000000015E-7</v>
      </c>
      <c r="D1183" s="50" t="s">
        <v>7</v>
      </c>
      <c r="E1183" s="50" t="s">
        <v>245</v>
      </c>
      <c r="F1183" s="50" t="s">
        <v>27</v>
      </c>
      <c r="G1183" s="51"/>
    </row>
    <row r="1184" spans="1:7" s="50" customFormat="1">
      <c r="A1184" s="50" t="s">
        <v>189</v>
      </c>
      <c r="B1184" s="51">
        <v>6.2110000000000006E-10</v>
      </c>
      <c r="D1184" s="50" t="s">
        <v>7</v>
      </c>
      <c r="E1184" s="50" t="s">
        <v>244</v>
      </c>
      <c r="F1184" s="50" t="s">
        <v>27</v>
      </c>
      <c r="G1184" s="51"/>
    </row>
    <row r="1185" spans="1:7" s="50" customFormat="1">
      <c r="A1185" s="50" t="s">
        <v>189</v>
      </c>
      <c r="B1185" s="51">
        <v>3.3836153846153856E-10</v>
      </c>
      <c r="D1185" s="50" t="s">
        <v>7</v>
      </c>
      <c r="E1185" s="50" t="s">
        <v>245</v>
      </c>
      <c r="F1185" s="50" t="s">
        <v>27</v>
      </c>
      <c r="G1185" s="51"/>
    </row>
    <row r="1186" spans="1:7" s="50" customFormat="1">
      <c r="A1186" s="50" t="s">
        <v>190</v>
      </c>
      <c r="B1186" s="51">
        <v>8.1807692307692328E-7</v>
      </c>
      <c r="D1186" s="50" t="s">
        <v>7</v>
      </c>
      <c r="E1186" s="50" t="s">
        <v>244</v>
      </c>
      <c r="F1186" s="50" t="s">
        <v>27</v>
      </c>
      <c r="G1186" s="51"/>
    </row>
    <row r="1187" spans="1:7" s="50" customFormat="1">
      <c r="A1187" s="50" t="s">
        <v>190</v>
      </c>
      <c r="B1187" s="51">
        <v>5.3896153846153848E-7</v>
      </c>
      <c r="D1187" s="50" t="s">
        <v>7</v>
      </c>
      <c r="E1187" s="50" t="s">
        <v>245</v>
      </c>
      <c r="F1187" s="50" t="s">
        <v>27</v>
      </c>
      <c r="G1187" s="51"/>
    </row>
    <row r="1188" spans="1:7" s="50" customFormat="1">
      <c r="A1188" s="50" t="s">
        <v>229</v>
      </c>
      <c r="B1188" s="51">
        <v>2.6411538461538467E-4</v>
      </c>
      <c r="D1188" s="50" t="s">
        <v>7</v>
      </c>
      <c r="E1188" s="50" t="s">
        <v>244</v>
      </c>
      <c r="F1188" s="50" t="s">
        <v>27</v>
      </c>
      <c r="G1188" s="51"/>
    </row>
    <row r="1189" spans="1:7" s="50" customFormat="1">
      <c r="A1189" s="50" t="s">
        <v>229</v>
      </c>
      <c r="B1189" s="51">
        <v>8.1061538461538475E-5</v>
      </c>
      <c r="D1189" s="50" t="s">
        <v>7</v>
      </c>
      <c r="E1189" s="50" t="s">
        <v>245</v>
      </c>
      <c r="F1189" s="50" t="s">
        <v>27</v>
      </c>
      <c r="G1189" s="51"/>
    </row>
    <row r="1190" spans="1:7" s="50" customFormat="1">
      <c r="A1190" s="50" t="s">
        <v>255</v>
      </c>
      <c r="B1190" s="51">
        <v>5.6736153846153856E-6</v>
      </c>
      <c r="D1190" s="50" t="s">
        <v>7</v>
      </c>
      <c r="E1190" s="50" t="s">
        <v>244</v>
      </c>
      <c r="F1190" s="50" t="s">
        <v>27</v>
      </c>
      <c r="G1190" s="51"/>
    </row>
    <row r="1191" spans="1:7" s="50" customFormat="1">
      <c r="A1191" s="50" t="s">
        <v>255</v>
      </c>
      <c r="B1191" s="51">
        <v>7.1161538461538476E-8</v>
      </c>
      <c r="D1191" s="50" t="s">
        <v>7</v>
      </c>
      <c r="E1191" s="50" t="s">
        <v>245</v>
      </c>
      <c r="F1191" s="50" t="s">
        <v>27</v>
      </c>
      <c r="G1191" s="51"/>
    </row>
    <row r="1192" spans="1:7" s="50" customFormat="1">
      <c r="A1192" s="50" t="s">
        <v>195</v>
      </c>
      <c r="B1192" s="51">
        <v>2.0869230769230774E-7</v>
      </c>
      <c r="D1192" s="50" t="s">
        <v>7</v>
      </c>
      <c r="E1192" s="50" t="s">
        <v>244</v>
      </c>
      <c r="F1192" s="50" t="s">
        <v>27</v>
      </c>
      <c r="G1192" s="51"/>
    </row>
    <row r="1193" spans="1:7" s="50" customFormat="1">
      <c r="A1193" s="50" t="s">
        <v>195</v>
      </c>
      <c r="B1193" s="51">
        <v>3.735461538461539E-6</v>
      </c>
      <c r="D1193" s="50" t="s">
        <v>7</v>
      </c>
      <c r="E1193" s="50" t="s">
        <v>245</v>
      </c>
      <c r="F1193" s="50" t="s">
        <v>27</v>
      </c>
      <c r="G1193" s="51"/>
    </row>
    <row r="1194" spans="1:7" s="50" customFormat="1">
      <c r="A1194" s="50" t="s">
        <v>231</v>
      </c>
      <c r="B1194" s="51">
        <v>8.0746153846153869E-4</v>
      </c>
      <c r="D1194" s="50" t="s">
        <v>7</v>
      </c>
      <c r="E1194" s="50" t="s">
        <v>244</v>
      </c>
      <c r="F1194" s="50" t="s">
        <v>27</v>
      </c>
      <c r="G1194" s="51"/>
    </row>
    <row r="1195" spans="1:7" s="50" customFormat="1">
      <c r="A1195" s="50" t="s">
        <v>231</v>
      </c>
      <c r="B1195" s="51">
        <v>8.2830769230769243E-5</v>
      </c>
      <c r="D1195" s="50" t="s">
        <v>7</v>
      </c>
      <c r="E1195" s="50" t="s">
        <v>245</v>
      </c>
      <c r="F1195" s="50" t="s">
        <v>27</v>
      </c>
      <c r="G1195" s="51"/>
    </row>
    <row r="1196" spans="1:7" s="50" customFormat="1">
      <c r="A1196" s="50" t="s">
        <v>196</v>
      </c>
      <c r="B1196" s="51">
        <v>1.4850000000000004E-8</v>
      </c>
      <c r="D1196" s="50" t="s">
        <v>7</v>
      </c>
      <c r="E1196" s="50" t="s">
        <v>244</v>
      </c>
      <c r="F1196" s="50" t="s">
        <v>27</v>
      </c>
      <c r="G1196" s="51"/>
    </row>
    <row r="1197" spans="1:7" s="50" customFormat="1">
      <c r="A1197" s="50" t="s">
        <v>196</v>
      </c>
      <c r="B1197" s="51">
        <v>1.646615384615385E-11</v>
      </c>
      <c r="D1197" s="50" t="s">
        <v>7</v>
      </c>
      <c r="E1197" s="50" t="s">
        <v>245</v>
      </c>
      <c r="F1197" s="50" t="s">
        <v>27</v>
      </c>
      <c r="G1197" s="51"/>
    </row>
    <row r="1198" spans="1:7" s="50" customFormat="1">
      <c r="A1198" s="50" t="s">
        <v>232</v>
      </c>
      <c r="B1198" s="51">
        <v>1.2416153846153848E-2</v>
      </c>
      <c r="D1198" s="50" t="s">
        <v>7</v>
      </c>
      <c r="E1198" s="50" t="s">
        <v>244</v>
      </c>
      <c r="F1198" s="50" t="s">
        <v>27</v>
      </c>
      <c r="G1198" s="51"/>
    </row>
    <row r="1199" spans="1:7" s="50" customFormat="1">
      <c r="A1199" s="50" t="s">
        <v>232</v>
      </c>
      <c r="B1199" s="51">
        <v>2.6289230769230775E-4</v>
      </c>
      <c r="D1199" s="50" t="s">
        <v>7</v>
      </c>
      <c r="E1199" s="50" t="s">
        <v>245</v>
      </c>
      <c r="F1199" s="50" t="s">
        <v>27</v>
      </c>
      <c r="G1199" s="51"/>
    </row>
    <row r="1200" spans="1:7" s="50" customFormat="1">
      <c r="A1200" s="50" t="s">
        <v>233</v>
      </c>
      <c r="B1200" s="51">
        <v>3.3805384615384626E-4</v>
      </c>
      <c r="D1200" s="50" t="s">
        <v>7</v>
      </c>
      <c r="E1200" s="50" t="s">
        <v>244</v>
      </c>
      <c r="F1200" s="50" t="s">
        <v>27</v>
      </c>
      <c r="G1200" s="51"/>
    </row>
    <row r="1201" spans="1:7" s="50" customFormat="1">
      <c r="A1201" s="50" t="s">
        <v>233</v>
      </c>
      <c r="B1201" s="51">
        <v>2.2795384615384622E-3</v>
      </c>
      <c r="D1201" s="50" t="s">
        <v>7</v>
      </c>
      <c r="E1201" s="50" t="s">
        <v>245</v>
      </c>
      <c r="F1201" s="50" t="s">
        <v>27</v>
      </c>
      <c r="G1201" s="51"/>
    </row>
    <row r="1202" spans="1:7" s="50" customFormat="1">
      <c r="A1202" s="50" t="s">
        <v>198</v>
      </c>
      <c r="B1202" s="51">
        <v>6.9683846153846165E-10</v>
      </c>
      <c r="D1202" s="50" t="s">
        <v>7</v>
      </c>
      <c r="E1202" s="50" t="s">
        <v>245</v>
      </c>
      <c r="F1202" s="50" t="s">
        <v>27</v>
      </c>
      <c r="G1202" s="51"/>
    </row>
    <row r="1203" spans="1:7" s="50" customFormat="1">
      <c r="A1203" s="50" t="s">
        <v>234</v>
      </c>
      <c r="B1203" s="51">
        <v>3.0592307692307699E-7</v>
      </c>
      <c r="D1203" s="50" t="s">
        <v>7</v>
      </c>
      <c r="E1203" s="50" t="s">
        <v>244</v>
      </c>
      <c r="F1203" s="50" t="s">
        <v>27</v>
      </c>
      <c r="G1203" s="51"/>
    </row>
    <row r="1204" spans="1:7" s="50" customFormat="1">
      <c r="A1204" s="50" t="s">
        <v>234</v>
      </c>
      <c r="B1204" s="51">
        <v>8.8684615384615396E-8</v>
      </c>
      <c r="D1204" s="50" t="s">
        <v>7</v>
      </c>
      <c r="E1204" s="50" t="s">
        <v>245</v>
      </c>
      <c r="F1204" s="50" t="s">
        <v>27</v>
      </c>
      <c r="G1204" s="51"/>
    </row>
    <row r="1205" spans="1:7" s="50" customFormat="1">
      <c r="A1205" s="50" t="s">
        <v>199</v>
      </c>
      <c r="B1205" s="51">
        <v>2.9376153846153851E-6</v>
      </c>
      <c r="D1205" s="50" t="s">
        <v>7</v>
      </c>
      <c r="E1205" s="50" t="s">
        <v>244</v>
      </c>
      <c r="F1205" s="50" t="s">
        <v>27</v>
      </c>
      <c r="G1205" s="51"/>
    </row>
    <row r="1206" spans="1:7" s="50" customFormat="1">
      <c r="A1206" s="50" t="s">
        <v>199</v>
      </c>
      <c r="B1206" s="51">
        <v>5.574923076923078E-10</v>
      </c>
      <c r="D1206" s="50" t="s">
        <v>7</v>
      </c>
      <c r="E1206" s="50" t="s">
        <v>245</v>
      </c>
      <c r="F1206" s="50" t="s">
        <v>27</v>
      </c>
      <c r="G1206" s="51"/>
    </row>
    <row r="1207" spans="1:7" s="50" customFormat="1">
      <c r="A1207" s="50" t="s">
        <v>200</v>
      </c>
      <c r="B1207" s="51">
        <v>1.1379230769230772E-5</v>
      </c>
      <c r="D1207" s="50" t="s">
        <v>7</v>
      </c>
      <c r="E1207" s="50" t="s">
        <v>244</v>
      </c>
      <c r="F1207" s="50" t="s">
        <v>27</v>
      </c>
      <c r="G1207" s="51"/>
    </row>
    <row r="1208" spans="1:7" s="50" customFormat="1">
      <c r="A1208" s="50" t="s">
        <v>200</v>
      </c>
      <c r="B1208" s="51">
        <v>1.0474615384615386E-9</v>
      </c>
      <c r="D1208" s="50" t="s">
        <v>7</v>
      </c>
      <c r="E1208" s="50" t="s">
        <v>245</v>
      </c>
      <c r="F1208" s="50" t="s">
        <v>27</v>
      </c>
      <c r="G1208" s="51"/>
    </row>
    <row r="1209" spans="1:7" s="50" customFormat="1">
      <c r="A1209" s="50" t="s">
        <v>235</v>
      </c>
      <c r="B1209" s="51">
        <v>3.1950769230769236E-4</v>
      </c>
      <c r="D1209" s="50" t="s">
        <v>7</v>
      </c>
      <c r="E1209" s="50" t="s">
        <v>244</v>
      </c>
      <c r="F1209" s="50" t="s">
        <v>27</v>
      </c>
      <c r="G1209" s="51"/>
    </row>
    <row r="1210" spans="1:7" s="50" customFormat="1">
      <c r="A1210" s="50" t="s">
        <v>235</v>
      </c>
      <c r="B1210" s="51">
        <v>3.6130000000000008E-5</v>
      </c>
      <c r="D1210" s="50" t="s">
        <v>7</v>
      </c>
      <c r="E1210" s="50" t="s">
        <v>245</v>
      </c>
      <c r="F1210" s="50" t="s">
        <v>27</v>
      </c>
      <c r="G1210" s="51"/>
    </row>
    <row r="1211" spans="1:7" s="50" customFormat="1">
      <c r="A1211" s="50" t="s">
        <v>236</v>
      </c>
      <c r="B1211" s="51">
        <v>8.9523076923076947E-5</v>
      </c>
      <c r="D1211" s="50" t="s">
        <v>7</v>
      </c>
      <c r="E1211" s="50" t="s">
        <v>244</v>
      </c>
      <c r="F1211" s="50" t="s">
        <v>27</v>
      </c>
      <c r="G1211" s="51"/>
    </row>
    <row r="1212" spans="1:7" s="50" customFormat="1">
      <c r="A1212" s="50" t="s">
        <v>236</v>
      </c>
      <c r="B1212" s="51">
        <v>3.9054615384615386E-5</v>
      </c>
      <c r="D1212" s="50" t="s">
        <v>7</v>
      </c>
      <c r="E1212" s="50" t="s">
        <v>245</v>
      </c>
      <c r="F1212" s="50" t="s">
        <v>27</v>
      </c>
      <c r="G1212" s="51"/>
    </row>
    <row r="1213" spans="1:7" s="50" customFormat="1">
      <c r="A1213" s="50" t="s">
        <v>204</v>
      </c>
      <c r="B1213" s="51">
        <v>1.1470000000000002</v>
      </c>
      <c r="D1213" s="50" t="s">
        <v>17</v>
      </c>
      <c r="E1213" s="50" t="s">
        <v>245</v>
      </c>
      <c r="F1213" s="50" t="s">
        <v>27</v>
      </c>
      <c r="G1213" s="51"/>
    </row>
    <row r="1214" spans="1:7" s="50" customFormat="1">
      <c r="A1214" s="50" t="s">
        <v>256</v>
      </c>
      <c r="B1214" s="51">
        <v>6.9205384615384631E-16</v>
      </c>
      <c r="D1214" s="50" t="s">
        <v>7</v>
      </c>
      <c r="E1214" s="50" t="s">
        <v>244</v>
      </c>
      <c r="F1214" s="50" t="s">
        <v>27</v>
      </c>
      <c r="G1214" s="51"/>
    </row>
    <row r="1215" spans="1:7" s="50" customFormat="1">
      <c r="A1215" s="50" t="s">
        <v>256</v>
      </c>
      <c r="B1215" s="51">
        <v>3.5991538461538473E-8</v>
      </c>
      <c r="D1215" s="50" t="s">
        <v>7</v>
      </c>
      <c r="E1215" s="50" t="s">
        <v>245</v>
      </c>
      <c r="F1215" s="50" t="s">
        <v>27</v>
      </c>
      <c r="G1215" s="51"/>
    </row>
    <row r="1216" spans="1:7" s="50" customFormat="1">
      <c r="A1216" s="50" t="s">
        <v>207</v>
      </c>
      <c r="B1216" s="51">
        <v>2.0645384615384621E-4</v>
      </c>
      <c r="D1216" s="50" t="s">
        <v>7</v>
      </c>
      <c r="E1216" s="50" t="s">
        <v>244</v>
      </c>
      <c r="F1216" s="50" t="s">
        <v>27</v>
      </c>
      <c r="G1216" s="51"/>
    </row>
    <row r="1217" spans="1:7" s="50" customFormat="1">
      <c r="A1217" s="50" t="s">
        <v>207</v>
      </c>
      <c r="B1217" s="51">
        <v>8.4746153846153882E-9</v>
      </c>
      <c r="D1217" s="50" t="s">
        <v>7</v>
      </c>
      <c r="E1217" s="50" t="s">
        <v>245</v>
      </c>
      <c r="F1217" s="50" t="s">
        <v>27</v>
      </c>
      <c r="G1217" s="51"/>
    </row>
    <row r="1218" spans="1:7" s="50" customFormat="1">
      <c r="A1218" s="50" t="s">
        <v>208</v>
      </c>
      <c r="B1218" s="51">
        <v>8.7676923076923098E-6</v>
      </c>
      <c r="D1218" s="50" t="s">
        <v>7</v>
      </c>
      <c r="E1218" s="50" t="s">
        <v>244</v>
      </c>
      <c r="F1218" s="50" t="s">
        <v>27</v>
      </c>
      <c r="G1218" s="51"/>
    </row>
    <row r="1219" spans="1:7" s="50" customFormat="1">
      <c r="A1219" s="50" t="s">
        <v>208</v>
      </c>
      <c r="B1219" s="51">
        <v>8.4846153846153859E-10</v>
      </c>
      <c r="D1219" s="50" t="s">
        <v>7</v>
      </c>
      <c r="E1219" s="50" t="s">
        <v>245</v>
      </c>
      <c r="F1219" s="50" t="s">
        <v>27</v>
      </c>
      <c r="G1219" s="51"/>
    </row>
    <row r="1220" spans="1:7" s="50" customFormat="1">
      <c r="A1220" s="50" t="s">
        <v>250</v>
      </c>
      <c r="B1220" s="51">
        <v>1.7621538461538465E-3</v>
      </c>
      <c r="D1220" s="50" t="s">
        <v>7</v>
      </c>
      <c r="E1220" s="50" t="s">
        <v>244</v>
      </c>
      <c r="F1220" s="50" t="s">
        <v>27</v>
      </c>
      <c r="G1220" s="51"/>
    </row>
    <row r="1221" spans="1:7" s="50" customFormat="1">
      <c r="A1221" s="50" t="s">
        <v>250</v>
      </c>
      <c r="B1221" s="51">
        <v>1.432538461538462E-5</v>
      </c>
      <c r="D1221" s="50" t="s">
        <v>7</v>
      </c>
      <c r="E1221" s="50" t="s">
        <v>245</v>
      </c>
      <c r="F1221" s="50" t="s">
        <v>27</v>
      </c>
      <c r="G1221" s="51"/>
    </row>
    <row r="1222" spans="1:7" s="50" customFormat="1">
      <c r="A1222" s="50" t="s">
        <v>209</v>
      </c>
      <c r="B1222" s="51">
        <v>2.2927692307692311E-6</v>
      </c>
      <c r="D1222" s="50" t="s">
        <v>7</v>
      </c>
      <c r="E1222" s="50" t="s">
        <v>244</v>
      </c>
      <c r="F1222" s="50" t="s">
        <v>27</v>
      </c>
      <c r="G1222" s="51"/>
    </row>
    <row r="1223" spans="1:7" s="50" customFormat="1">
      <c r="A1223" s="50" t="s">
        <v>209</v>
      </c>
      <c r="B1223" s="51">
        <v>3.6148461538461547E-10</v>
      </c>
      <c r="D1223" s="50" t="s">
        <v>7</v>
      </c>
      <c r="E1223" s="50" t="s">
        <v>245</v>
      </c>
      <c r="F1223" s="50" t="s">
        <v>27</v>
      </c>
      <c r="G1223" s="51"/>
    </row>
    <row r="1224" spans="1:7" s="50" customFormat="1">
      <c r="A1224" s="50" t="s">
        <v>210</v>
      </c>
      <c r="B1224" s="51">
        <v>9.8676923076923088E-9</v>
      </c>
      <c r="D1224" s="50" t="s">
        <v>7</v>
      </c>
      <c r="E1224" s="50" t="s">
        <v>244</v>
      </c>
      <c r="F1224" s="50" t="s">
        <v>27</v>
      </c>
      <c r="G1224" s="51"/>
    </row>
    <row r="1225" spans="1:7" s="50" customFormat="1">
      <c r="A1225" s="50" t="s">
        <v>210</v>
      </c>
      <c r="B1225" s="51">
        <v>2.4991538461538466E-10</v>
      </c>
      <c r="D1225" s="50" t="s">
        <v>7</v>
      </c>
      <c r="E1225" s="50" t="s">
        <v>245</v>
      </c>
      <c r="F1225" s="50" t="s">
        <v>27</v>
      </c>
      <c r="G1225" s="51"/>
    </row>
    <row r="1226" spans="1:7" s="50" customFormat="1">
      <c r="A1226" s="50" t="s">
        <v>252</v>
      </c>
      <c r="B1226" s="51">
        <v>2.0691538461538462E-7</v>
      </c>
      <c r="D1226" s="50" t="s">
        <v>7</v>
      </c>
      <c r="E1226" s="50" t="s">
        <v>244</v>
      </c>
      <c r="F1226" s="50" t="s">
        <v>27</v>
      </c>
      <c r="G1226" s="51"/>
    </row>
    <row r="1227" spans="1:7" s="50" customFormat="1">
      <c r="A1227" s="50" t="s">
        <v>252</v>
      </c>
      <c r="B1227" s="51">
        <v>4.4656153846153852E-8</v>
      </c>
      <c r="D1227" s="50" t="s">
        <v>7</v>
      </c>
      <c r="E1227" s="50" t="s">
        <v>245</v>
      </c>
      <c r="F1227" s="50" t="s">
        <v>27</v>
      </c>
      <c r="G1227" s="51"/>
    </row>
    <row r="1228" spans="1:7" s="50" customFormat="1">
      <c r="A1228" s="50" t="s">
        <v>213</v>
      </c>
      <c r="B1228" s="51">
        <v>3.5887692307692315E-6</v>
      </c>
      <c r="D1228" s="50" t="s">
        <v>7</v>
      </c>
      <c r="E1228" s="50" t="s">
        <v>244</v>
      </c>
      <c r="F1228" s="50" t="s">
        <v>27</v>
      </c>
      <c r="G1228" s="51"/>
    </row>
    <row r="1229" spans="1:7" s="50" customFormat="1">
      <c r="A1229" s="50" t="s">
        <v>213</v>
      </c>
      <c r="B1229" s="51">
        <v>2.4627692307692311E-9</v>
      </c>
      <c r="D1229" s="50" t="s">
        <v>7</v>
      </c>
      <c r="E1229" s="50" t="s">
        <v>245</v>
      </c>
      <c r="F1229" s="50" t="s">
        <v>27</v>
      </c>
      <c r="G1229" s="51"/>
    </row>
    <row r="1230" spans="1:7" s="50" customFormat="1">
      <c r="A1230" s="50" t="s">
        <v>237</v>
      </c>
      <c r="B1230" s="51">
        <v>9.625384615384617E-5</v>
      </c>
      <c r="D1230" s="50" t="s">
        <v>7</v>
      </c>
      <c r="E1230" s="50" t="s">
        <v>244</v>
      </c>
      <c r="F1230" s="50" t="s">
        <v>27</v>
      </c>
      <c r="G1230" s="51"/>
    </row>
    <row r="1231" spans="1:7" s="50" customFormat="1">
      <c r="A1231" s="50" t="s">
        <v>237</v>
      </c>
      <c r="B1231" s="51">
        <v>3.4480000000000009E-5</v>
      </c>
      <c r="D1231" s="50" t="s">
        <v>7</v>
      </c>
      <c r="E1231" s="50" t="s">
        <v>245</v>
      </c>
      <c r="F1231" s="50" t="s">
        <v>27</v>
      </c>
      <c r="G1231" s="51"/>
    </row>
    <row r="1232" spans="1:7" s="50" customFormat="1">
      <c r="A1232" s="50" t="s">
        <v>257</v>
      </c>
      <c r="B1232" s="51">
        <v>6.8185384615384624E-5</v>
      </c>
      <c r="D1232" s="50" t="s">
        <v>7</v>
      </c>
      <c r="E1232" s="50" t="s">
        <v>244</v>
      </c>
      <c r="F1232" s="50" t="s">
        <v>27</v>
      </c>
      <c r="G1232" s="51"/>
    </row>
    <row r="1233" spans="1:7" s="50" customFormat="1">
      <c r="A1233" s="50" t="s">
        <v>257</v>
      </c>
      <c r="B1233" s="51">
        <v>1.1288461538461539E-6</v>
      </c>
      <c r="D1233" s="50" t="s">
        <v>7</v>
      </c>
      <c r="E1233" s="50" t="s">
        <v>245</v>
      </c>
      <c r="F1233" s="50" t="s">
        <v>27</v>
      </c>
      <c r="G1233" s="51"/>
    </row>
    <row r="1234" spans="1:7" s="50" customFormat="1">
      <c r="A1234" s="50" t="s">
        <v>254</v>
      </c>
      <c r="B1234" s="51">
        <v>1.6850000000000005E-3</v>
      </c>
      <c r="D1234" s="50" t="s">
        <v>7</v>
      </c>
      <c r="E1234" s="50" t="s">
        <v>244</v>
      </c>
      <c r="F1234" s="50" t="s">
        <v>27</v>
      </c>
      <c r="G1234" s="51"/>
    </row>
    <row r="1235" spans="1:7" s="50" customFormat="1">
      <c r="A1235" s="50" t="s">
        <v>254</v>
      </c>
      <c r="B1235" s="51">
        <v>6.3677692307692331E-4</v>
      </c>
      <c r="D1235" s="50" t="s">
        <v>7</v>
      </c>
      <c r="E1235" s="50" t="s">
        <v>245</v>
      </c>
      <c r="F1235" s="50" t="s">
        <v>27</v>
      </c>
      <c r="G1235" s="51"/>
    </row>
    <row r="1236" spans="1:7" s="50" customFormat="1">
      <c r="A1236" s="50" t="s">
        <v>218</v>
      </c>
      <c r="B1236" s="51">
        <v>2.5730769230769235E-7</v>
      </c>
      <c r="D1236" s="50" t="s">
        <v>7</v>
      </c>
      <c r="E1236" s="50" t="s">
        <v>244</v>
      </c>
      <c r="F1236" s="50" t="s">
        <v>27</v>
      </c>
      <c r="G1236" s="51"/>
    </row>
    <row r="1237" spans="1:7" s="50" customFormat="1">
      <c r="A1237" s="50" t="s">
        <v>218</v>
      </c>
      <c r="B1237" s="51">
        <v>6.6806153846153855E-8</v>
      </c>
      <c r="D1237" s="50" t="s">
        <v>7</v>
      </c>
      <c r="E1237" s="50" t="s">
        <v>245</v>
      </c>
      <c r="F1237" s="50" t="s">
        <v>27</v>
      </c>
      <c r="G1237" s="51"/>
    </row>
    <row r="1238" spans="1:7" s="50" customFormat="1">
      <c r="A1238" s="50" t="s">
        <v>238</v>
      </c>
      <c r="B1238" s="51">
        <v>1.9807692307692313E-3</v>
      </c>
      <c r="D1238" s="50" t="s">
        <v>7</v>
      </c>
      <c r="E1238" s="50" t="s">
        <v>244</v>
      </c>
      <c r="F1238" s="50" t="s">
        <v>27</v>
      </c>
      <c r="G1238" s="51"/>
    </row>
    <row r="1239" spans="1:7" s="50" customFormat="1">
      <c r="A1239" s="50" t="s">
        <v>238</v>
      </c>
      <c r="B1239" s="51">
        <v>6.3567692307692315E-6</v>
      </c>
      <c r="D1239" s="50" t="s">
        <v>7</v>
      </c>
      <c r="E1239" s="50" t="s">
        <v>245</v>
      </c>
      <c r="F1239" s="50" t="s">
        <v>27</v>
      </c>
      <c r="G1239" s="51"/>
    </row>
    <row r="1240" spans="1:7" s="50" customFormat="1">
      <c r="A1240" s="50" t="s">
        <v>239</v>
      </c>
      <c r="B1240" s="51">
        <v>6.5867692307692313E-4</v>
      </c>
      <c r="D1240" s="50" t="s">
        <v>7</v>
      </c>
      <c r="E1240" s="50" t="s">
        <v>244</v>
      </c>
      <c r="F1240" s="50" t="s">
        <v>27</v>
      </c>
      <c r="G1240" s="51"/>
    </row>
    <row r="1241" spans="1:7" s="50" customFormat="1">
      <c r="A1241" s="50" t="s">
        <v>239</v>
      </c>
      <c r="B1241" s="51">
        <v>3.3120769230769238E-4</v>
      </c>
      <c r="D1241" s="50" t="s">
        <v>7</v>
      </c>
      <c r="E1241" s="50" t="s">
        <v>245</v>
      </c>
      <c r="F1241" s="50" t="s">
        <v>27</v>
      </c>
      <c r="G1241" s="51"/>
    </row>
    <row r="1242" spans="1:7" s="50" customFormat="1">
      <c r="A1242" s="50" t="s">
        <v>240</v>
      </c>
      <c r="B1242" s="51">
        <v>2.4050769230769238E-3</v>
      </c>
      <c r="D1242" s="50" t="s">
        <v>7</v>
      </c>
      <c r="E1242" s="50" t="s">
        <v>244</v>
      </c>
      <c r="F1242" s="50" t="s">
        <v>27</v>
      </c>
      <c r="G1242" s="51"/>
    </row>
    <row r="1243" spans="1:7" s="50" customFormat="1">
      <c r="A1243" s="50" t="s">
        <v>240</v>
      </c>
      <c r="B1243" s="51">
        <v>4.1106153846153854E-4</v>
      </c>
      <c r="D1243" s="50" t="s">
        <v>7</v>
      </c>
      <c r="E1243" s="50" t="s">
        <v>245</v>
      </c>
      <c r="F1243" s="50" t="s">
        <v>27</v>
      </c>
      <c r="G1243" s="51"/>
    </row>
    <row r="1244" spans="1:7" s="50" customFormat="1">
      <c r="A1244" s="50" t="s">
        <v>241</v>
      </c>
      <c r="B1244" s="51">
        <v>3.1950769230769236E-4</v>
      </c>
      <c r="D1244" s="50" t="s">
        <v>7</v>
      </c>
      <c r="E1244" s="50" t="s">
        <v>244</v>
      </c>
      <c r="F1244" s="50" t="s">
        <v>27</v>
      </c>
      <c r="G1244" s="51"/>
    </row>
    <row r="1245" spans="1:7" s="50" customFormat="1">
      <c r="A1245" s="50" t="s">
        <v>241</v>
      </c>
      <c r="B1245" s="51">
        <v>3.6130000000000008E-5</v>
      </c>
      <c r="D1245" s="50" t="s">
        <v>7</v>
      </c>
      <c r="E1245" s="50" t="s">
        <v>245</v>
      </c>
      <c r="F1245" s="50" t="s">
        <v>27</v>
      </c>
      <c r="G1245" s="51"/>
    </row>
    <row r="1246" spans="1:7" s="50" customFormat="1">
      <c r="A1246" s="50" t="s">
        <v>222</v>
      </c>
      <c r="B1246" s="51">
        <v>7.5923846153846177E-10</v>
      </c>
      <c r="D1246" s="50" t="s">
        <v>7</v>
      </c>
      <c r="E1246" s="50" t="s">
        <v>244</v>
      </c>
      <c r="F1246" s="50" t="s">
        <v>27</v>
      </c>
      <c r="G1246" s="51"/>
    </row>
    <row r="1247" spans="1:7" s="50" customFormat="1">
      <c r="A1247" s="50" t="s">
        <v>222</v>
      </c>
      <c r="B1247" s="51">
        <v>1.2675384615384617E-12</v>
      </c>
      <c r="D1247" s="50" t="s">
        <v>7</v>
      </c>
      <c r="E1247" s="50" t="s">
        <v>245</v>
      </c>
      <c r="F1247" s="50" t="s">
        <v>27</v>
      </c>
      <c r="G1247" s="51"/>
    </row>
    <row r="1248" spans="1:7" s="50" customFormat="1">
      <c r="A1248" s="50" t="s">
        <v>223</v>
      </c>
      <c r="B1248" s="51">
        <v>3.5607692307692315E-6</v>
      </c>
      <c r="D1248" s="50" t="s">
        <v>7</v>
      </c>
      <c r="E1248" s="50" t="s">
        <v>244</v>
      </c>
      <c r="F1248" s="50" t="s">
        <v>27</v>
      </c>
      <c r="G1248" s="51"/>
    </row>
    <row r="1249" spans="1:7" s="50" customFormat="1">
      <c r="A1249" s="50" t="s">
        <v>223</v>
      </c>
      <c r="B1249" s="51">
        <v>4.8499230769230778E-9</v>
      </c>
      <c r="D1249" s="50" t="s">
        <v>7</v>
      </c>
      <c r="E1249" s="50" t="s">
        <v>245</v>
      </c>
      <c r="F1249" s="50" t="s">
        <v>27</v>
      </c>
      <c r="G1249" s="51"/>
    </row>
    <row r="1250" spans="1:7" s="50" customFormat="1">
      <c r="A1250" s="50" t="s">
        <v>226</v>
      </c>
      <c r="B1250" s="51">
        <v>7.8584615384615413E-7</v>
      </c>
      <c r="D1250" s="50" t="s">
        <v>7</v>
      </c>
      <c r="E1250" s="50" t="s">
        <v>244</v>
      </c>
      <c r="F1250" s="50" t="s">
        <v>27</v>
      </c>
      <c r="G1250" s="51"/>
    </row>
    <row r="1251" spans="1:7" s="50" customFormat="1">
      <c r="A1251" s="50" t="s">
        <v>226</v>
      </c>
      <c r="B1251" s="51">
        <v>2.9550000000000007E-9</v>
      </c>
      <c r="D1251" s="50" t="s">
        <v>7</v>
      </c>
      <c r="E1251" s="50" t="s">
        <v>245</v>
      </c>
      <c r="F1251" s="50" t="s">
        <v>27</v>
      </c>
      <c r="G1251" s="51"/>
    </row>
    <row r="1252" spans="1:7" s="50" customFormat="1">
      <c r="A1252" s="50" t="s">
        <v>227</v>
      </c>
      <c r="B1252" s="51">
        <v>2.2329692307692311E-4</v>
      </c>
      <c r="D1252" s="50" t="s">
        <v>37</v>
      </c>
      <c r="E1252" s="50" t="s">
        <v>245</v>
      </c>
      <c r="F1252" s="50" t="s">
        <v>27</v>
      </c>
      <c r="G1252" s="51"/>
    </row>
    <row r="1253" spans="1:7" s="50" customFormat="1">
      <c r="A1253" s="50" t="s">
        <v>228</v>
      </c>
      <c r="B1253" s="51">
        <v>1.754769230769231E-5</v>
      </c>
      <c r="D1253" s="50" t="s">
        <v>7</v>
      </c>
      <c r="E1253" s="50" t="s">
        <v>244</v>
      </c>
      <c r="F1253" s="50" t="s">
        <v>27</v>
      </c>
      <c r="G1253" s="51"/>
    </row>
    <row r="1254" spans="1:7" s="50" customFormat="1">
      <c r="A1254" s="50" t="s">
        <v>228</v>
      </c>
      <c r="B1254" s="51">
        <v>2.3906923076923078E-9</v>
      </c>
      <c r="D1254" s="50" t="s">
        <v>7</v>
      </c>
      <c r="E1254" s="50" t="s">
        <v>245</v>
      </c>
      <c r="F1254" s="50" t="s">
        <v>27</v>
      </c>
      <c r="G1254" s="51"/>
    </row>
    <row r="1255" spans="1:7" s="50" customFormat="1">
      <c r="A1255" s="50" t="s">
        <v>242</v>
      </c>
      <c r="B1255" s="51">
        <v>0.36967692307692318</v>
      </c>
      <c r="D1255" s="50" t="s">
        <v>7</v>
      </c>
      <c r="E1255" s="50" t="s">
        <v>111</v>
      </c>
      <c r="F1255" s="50" t="s">
        <v>27</v>
      </c>
      <c r="G1255" s="51"/>
    </row>
    <row r="1256" spans="1:7" s="50" customFormat="1">
      <c r="A1256" s="50" t="s">
        <v>35</v>
      </c>
      <c r="B1256" s="51">
        <f>(1/1.01)*0.71*6.09*1.1</f>
        <v>4.7091980198019803</v>
      </c>
      <c r="D1256" s="50" t="s">
        <v>17</v>
      </c>
      <c r="E1256" s="50" t="s">
        <v>36</v>
      </c>
      <c r="F1256" s="50" t="s">
        <v>27</v>
      </c>
      <c r="G1256" s="51"/>
    </row>
    <row r="1257" spans="1:7" s="50" customFormat="1"/>
    <row r="1258" spans="1:7" s="50" customFormat="1" ht="15.75">
      <c r="A1258" s="49" t="s">
        <v>0</v>
      </c>
      <c r="B1258" s="49" t="s">
        <v>144</v>
      </c>
    </row>
    <row r="1259" spans="1:7" s="50" customFormat="1">
      <c r="A1259" s="50" t="s">
        <v>1</v>
      </c>
      <c r="B1259" s="50" t="s">
        <v>104</v>
      </c>
    </row>
    <row r="1260" spans="1:7" s="50" customFormat="1">
      <c r="A1260" s="50" t="s">
        <v>2</v>
      </c>
      <c r="B1260" s="50">
        <v>1</v>
      </c>
    </row>
    <row r="1261" spans="1:7" s="50" customFormat="1">
      <c r="A1261" s="50" t="s">
        <v>3</v>
      </c>
      <c r="B1261" s="3" t="s">
        <v>145</v>
      </c>
    </row>
    <row r="1262" spans="1:7" s="50" customFormat="1">
      <c r="A1262" s="50" t="s">
        <v>4</v>
      </c>
      <c r="B1262" s="50" t="s">
        <v>5</v>
      </c>
    </row>
    <row r="1263" spans="1:7" s="50" customFormat="1">
      <c r="A1263" s="50" t="s">
        <v>6</v>
      </c>
      <c r="B1263" s="50" t="s">
        <v>125</v>
      </c>
    </row>
    <row r="1264" spans="1:7" s="50" customFormat="1">
      <c r="A1264" s="50" t="s">
        <v>9</v>
      </c>
      <c r="B1264" s="50" t="s">
        <v>147</v>
      </c>
    </row>
    <row r="1265" spans="1:8" s="50" customFormat="1" ht="15.75">
      <c r="A1265" s="49" t="s">
        <v>10</v>
      </c>
    </row>
    <row r="1266" spans="1:8" s="50" customFormat="1">
      <c r="A1266" s="50" t="s">
        <v>11</v>
      </c>
      <c r="B1266" s="50" t="s">
        <v>12</v>
      </c>
      <c r="C1266" s="50" t="s">
        <v>1</v>
      </c>
      <c r="D1266" s="50" t="s">
        <v>6</v>
      </c>
      <c r="E1266" s="50" t="s">
        <v>13</v>
      </c>
      <c r="F1266" s="50" t="s">
        <v>4</v>
      </c>
      <c r="G1266" s="50" t="s">
        <v>9</v>
      </c>
      <c r="H1266" s="50" t="s">
        <v>3</v>
      </c>
    </row>
    <row r="1267" spans="1:8" s="50" customFormat="1">
      <c r="A1267" s="50" t="str">
        <f>B1258</f>
        <v>electricity import, from neighboring countries</v>
      </c>
      <c r="B1267" s="50">
        <v>1</v>
      </c>
      <c r="C1267" s="50" t="str">
        <f>B1259</f>
        <v>CH</v>
      </c>
      <c r="D1267" s="50" t="str">
        <f>B1263</f>
        <v>kilowatt hour</v>
      </c>
      <c r="F1267" s="50" t="s">
        <v>15</v>
      </c>
      <c r="G1267" s="50" t="s">
        <v>16</v>
      </c>
      <c r="H1267" s="51" t="str">
        <f>B1261</f>
        <v>electricity, high voltage</v>
      </c>
    </row>
    <row r="1268" spans="1:8" s="50" customFormat="1">
      <c r="A1268" s="50" t="s">
        <v>146</v>
      </c>
      <c r="B1268" s="50">
        <v>1</v>
      </c>
      <c r="C1268" s="50" t="s">
        <v>103</v>
      </c>
      <c r="D1268" s="50" t="s">
        <v>125</v>
      </c>
      <c r="F1268" s="50" t="s">
        <v>18</v>
      </c>
      <c r="G1268" s="50" t="s">
        <v>16</v>
      </c>
      <c r="H1268" s="50" t="s">
        <v>145</v>
      </c>
    </row>
    <row r="1269" spans="1:8" s="50" customFormat="1"/>
    <row r="1270" spans="1:8" s="50" customFormat="1" ht="15.75">
      <c r="A1270" s="49" t="s">
        <v>0</v>
      </c>
      <c r="B1270" s="49" t="s">
        <v>262</v>
      </c>
    </row>
    <row r="1271" spans="1:8" s="50" customFormat="1">
      <c r="A1271" s="50" t="s">
        <v>1</v>
      </c>
      <c r="B1271" s="50" t="s">
        <v>104</v>
      </c>
    </row>
    <row r="1272" spans="1:8" s="50" customFormat="1">
      <c r="A1272" s="50" t="s">
        <v>2</v>
      </c>
      <c r="B1272" s="50">
        <v>1</v>
      </c>
    </row>
    <row r="1273" spans="1:8" s="50" customFormat="1">
      <c r="A1273" s="50" t="s">
        <v>3</v>
      </c>
      <c r="B1273" s="3" t="s">
        <v>263</v>
      </c>
    </row>
    <row r="1274" spans="1:8" s="50" customFormat="1">
      <c r="A1274" s="50" t="s">
        <v>4</v>
      </c>
      <c r="B1274" s="50" t="s">
        <v>5</v>
      </c>
    </row>
    <row r="1275" spans="1:8" s="50" customFormat="1">
      <c r="A1275" s="50" t="s">
        <v>6</v>
      </c>
      <c r="B1275" s="50" t="s">
        <v>37</v>
      </c>
    </row>
    <row r="1276" spans="1:8" s="50" customFormat="1">
      <c r="A1276" s="50" t="s">
        <v>9</v>
      </c>
      <c r="B1276" s="50" t="s">
        <v>264</v>
      </c>
    </row>
    <row r="1277" spans="1:8" s="50" customFormat="1" ht="15.75">
      <c r="A1277" s="49" t="s">
        <v>10</v>
      </c>
    </row>
    <row r="1278" spans="1:8" s="50" customFormat="1">
      <c r="A1278" s="50" t="s">
        <v>11</v>
      </c>
      <c r="B1278" s="50" t="s">
        <v>12</v>
      </c>
      <c r="C1278" s="50" t="s">
        <v>1</v>
      </c>
      <c r="D1278" s="50" t="s">
        <v>6</v>
      </c>
      <c r="E1278" s="50" t="s">
        <v>13</v>
      </c>
      <c r="F1278" s="50" t="s">
        <v>4</v>
      </c>
      <c r="G1278" s="50" t="s">
        <v>9</v>
      </c>
      <c r="H1278" s="50" t="s">
        <v>3</v>
      </c>
    </row>
    <row r="1279" spans="1:8" s="50" customFormat="1">
      <c r="A1279" s="50" t="str">
        <f>B1270</f>
        <v>biomethane import, from neighboring countries</v>
      </c>
      <c r="B1279" s="50">
        <v>1</v>
      </c>
      <c r="C1279" s="50" t="str">
        <f>B1271</f>
        <v>CH</v>
      </c>
      <c r="D1279" s="50" t="str">
        <f>B1275</f>
        <v>cubic meter</v>
      </c>
      <c r="F1279" s="50" t="s">
        <v>15</v>
      </c>
      <c r="G1279" s="50" t="s">
        <v>16</v>
      </c>
      <c r="H1279" s="51" t="str">
        <f>B1273</f>
        <v>biomethane, high pressure</v>
      </c>
    </row>
    <row r="1280" spans="1:8" s="50" customFormat="1">
      <c r="A1280" s="50" t="s">
        <v>265</v>
      </c>
      <c r="B1280" s="50">
        <v>1</v>
      </c>
      <c r="C1280" s="50" t="s">
        <v>266</v>
      </c>
      <c r="D1280" s="50" t="s">
        <v>37</v>
      </c>
      <c r="F1280" s="50" t="s">
        <v>18</v>
      </c>
      <c r="G1280" s="50" t="s">
        <v>16</v>
      </c>
      <c r="H1280" s="50" t="s">
        <v>263</v>
      </c>
    </row>
    <row r="1281" spans="1:8" s="50" customFormat="1"/>
    <row r="1282" spans="1:8" s="50" customFormat="1" ht="15.75">
      <c r="A1282" s="49" t="s">
        <v>0</v>
      </c>
      <c r="B1282" s="49" t="s">
        <v>267</v>
      </c>
    </row>
    <row r="1283" spans="1:8" s="50" customFormat="1">
      <c r="A1283" s="50" t="s">
        <v>1</v>
      </c>
      <c r="B1283" s="50" t="s">
        <v>104</v>
      </c>
    </row>
    <row r="1284" spans="1:8" s="50" customFormat="1">
      <c r="A1284" s="50" t="s">
        <v>2</v>
      </c>
      <c r="B1284" s="50">
        <v>1</v>
      </c>
    </row>
    <row r="1285" spans="1:8" s="50" customFormat="1">
      <c r="A1285" s="50" t="s">
        <v>3</v>
      </c>
      <c r="B1285" s="3" t="s">
        <v>268</v>
      </c>
    </row>
    <row r="1286" spans="1:8" s="50" customFormat="1">
      <c r="A1286" s="50" t="s">
        <v>4</v>
      </c>
      <c r="B1286" s="50" t="s">
        <v>5</v>
      </c>
    </row>
    <row r="1287" spans="1:8" s="50" customFormat="1">
      <c r="A1287" s="50" t="s">
        <v>6</v>
      </c>
      <c r="B1287" s="50" t="s">
        <v>7</v>
      </c>
    </row>
    <row r="1288" spans="1:8" s="50" customFormat="1">
      <c r="A1288" s="50" t="s">
        <v>9</v>
      </c>
      <c r="B1288" s="50" t="s">
        <v>264</v>
      </c>
    </row>
    <row r="1289" spans="1:8" s="50" customFormat="1" ht="15.75">
      <c r="A1289" s="49" t="s">
        <v>10</v>
      </c>
    </row>
    <row r="1290" spans="1:8" s="50" customFormat="1">
      <c r="A1290" s="50" t="s">
        <v>11</v>
      </c>
      <c r="B1290" s="50" t="s">
        <v>12</v>
      </c>
      <c r="C1290" s="50" t="s">
        <v>1</v>
      </c>
      <c r="D1290" s="50" t="s">
        <v>6</v>
      </c>
      <c r="E1290" s="50" t="s">
        <v>13</v>
      </c>
      <c r="F1290" s="50" t="s">
        <v>4</v>
      </c>
      <c r="G1290" s="50" t="s">
        <v>9</v>
      </c>
      <c r="H1290" s="50" t="s">
        <v>3</v>
      </c>
    </row>
    <row r="1291" spans="1:8" s="50" customFormat="1">
      <c r="A1291" s="50" t="str">
        <f>B1282</f>
        <v>kerosene import, from neighboring countries</v>
      </c>
      <c r="B1291" s="50">
        <v>1</v>
      </c>
      <c r="C1291" s="50" t="str">
        <f>B1283</f>
        <v>CH</v>
      </c>
      <c r="D1291" s="50" t="str">
        <f>B1287</f>
        <v>kilogram</v>
      </c>
      <c r="F1291" s="50" t="s">
        <v>15</v>
      </c>
      <c r="G1291" s="50" t="s">
        <v>16</v>
      </c>
      <c r="H1291" s="51" t="str">
        <f>B1285</f>
        <v>kerosene</v>
      </c>
    </row>
    <row r="1292" spans="1:8" s="50" customFormat="1">
      <c r="A1292" s="50" t="s">
        <v>269</v>
      </c>
      <c r="B1292" s="50">
        <v>1</v>
      </c>
      <c r="C1292" s="50" t="s">
        <v>270</v>
      </c>
      <c r="D1292" s="50" t="s">
        <v>7</v>
      </c>
      <c r="F1292" s="50" t="s">
        <v>18</v>
      </c>
      <c r="G1292" s="50" t="s">
        <v>16</v>
      </c>
      <c r="H1292" s="50" t="s">
        <v>268</v>
      </c>
    </row>
    <row r="1293" spans="1:8" s="50" customFormat="1"/>
    <row r="1294" spans="1:8" s="50" customFormat="1" ht="15.75">
      <c r="A1294" s="49" t="s">
        <v>0</v>
      </c>
      <c r="B1294" s="49" t="s">
        <v>273</v>
      </c>
    </row>
    <row r="1295" spans="1:8" s="50" customFormat="1">
      <c r="A1295" s="50" t="s">
        <v>1</v>
      </c>
      <c r="B1295" s="50" t="s">
        <v>104</v>
      </c>
    </row>
    <row r="1296" spans="1:8" s="50" customFormat="1">
      <c r="A1296" s="50" t="s">
        <v>2</v>
      </c>
      <c r="B1296" s="50">
        <v>1</v>
      </c>
    </row>
    <row r="1297" spans="1:8" s="50" customFormat="1">
      <c r="A1297" s="50" t="s">
        <v>3</v>
      </c>
      <c r="B1297" s="3" t="s">
        <v>275</v>
      </c>
    </row>
    <row r="1298" spans="1:8" s="50" customFormat="1">
      <c r="A1298" s="50" t="s">
        <v>4</v>
      </c>
      <c r="B1298" s="50" t="s">
        <v>5</v>
      </c>
    </row>
    <row r="1299" spans="1:8" s="50" customFormat="1">
      <c r="A1299" s="50" t="s">
        <v>6</v>
      </c>
      <c r="B1299" s="50" t="s">
        <v>7</v>
      </c>
    </row>
    <row r="1300" spans="1:8" s="50" customFormat="1">
      <c r="A1300" s="50" t="s">
        <v>9</v>
      </c>
      <c r="B1300" s="50" t="s">
        <v>264</v>
      </c>
    </row>
    <row r="1301" spans="1:8" s="50" customFormat="1" ht="15.75">
      <c r="A1301" s="49" t="s">
        <v>10</v>
      </c>
    </row>
    <row r="1302" spans="1:8" s="50" customFormat="1">
      <c r="A1302" s="50" t="s">
        <v>11</v>
      </c>
      <c r="B1302" s="50" t="s">
        <v>12</v>
      </c>
      <c r="C1302" s="50" t="s">
        <v>1</v>
      </c>
      <c r="D1302" s="50" t="s">
        <v>6</v>
      </c>
      <c r="E1302" s="50" t="s">
        <v>13</v>
      </c>
      <c r="F1302" s="50" t="s">
        <v>4</v>
      </c>
      <c r="G1302" s="50" t="s">
        <v>9</v>
      </c>
      <c r="H1302" s="50" t="s">
        <v>3</v>
      </c>
    </row>
    <row r="1303" spans="1:8" s="50" customFormat="1">
      <c r="A1303" s="50" t="str">
        <f>B1294</f>
        <v>synthetic kerosene import, from neighboring countries</v>
      </c>
      <c r="B1303" s="50">
        <v>1</v>
      </c>
      <c r="C1303" s="50" t="str">
        <f>B1295</f>
        <v>CH</v>
      </c>
      <c r="D1303" s="50" t="str">
        <f>B1299</f>
        <v>kilogram</v>
      </c>
      <c r="F1303" s="50" t="s">
        <v>15</v>
      </c>
      <c r="G1303" s="50" t="s">
        <v>16</v>
      </c>
      <c r="H1303" s="51" t="str">
        <f>B1297</f>
        <v>kerosene, synthetic</v>
      </c>
    </row>
    <row r="1304" spans="1:8" s="50" customFormat="1">
      <c r="A1304" s="50" t="s">
        <v>274</v>
      </c>
      <c r="B1304" s="50">
        <v>1</v>
      </c>
      <c r="C1304" s="50" t="s">
        <v>103</v>
      </c>
      <c r="D1304" s="50" t="s">
        <v>7</v>
      </c>
      <c r="F1304" s="50" t="s">
        <v>18</v>
      </c>
      <c r="G1304" s="50" t="s">
        <v>16</v>
      </c>
      <c r="H1304" s="50" t="s">
        <v>275</v>
      </c>
    </row>
    <row r="1305" spans="1:8" s="50" customFormat="1"/>
    <row r="1306" spans="1:8" s="50" customFormat="1" ht="15.75">
      <c r="A1306" s="49" t="s">
        <v>0</v>
      </c>
      <c r="B1306" s="49" t="s">
        <v>271</v>
      </c>
    </row>
    <row r="1307" spans="1:8" s="50" customFormat="1">
      <c r="A1307" s="50" t="s">
        <v>1</v>
      </c>
      <c r="B1307" s="50" t="s">
        <v>104</v>
      </c>
    </row>
    <row r="1308" spans="1:8" s="50" customFormat="1">
      <c r="A1308" s="50" t="s">
        <v>2</v>
      </c>
      <c r="B1308" s="50">
        <v>1</v>
      </c>
    </row>
    <row r="1309" spans="1:8" s="50" customFormat="1">
      <c r="A1309" s="50" t="s">
        <v>3</v>
      </c>
      <c r="B1309" s="3" t="s">
        <v>272</v>
      </c>
    </row>
    <row r="1310" spans="1:8" s="50" customFormat="1">
      <c r="A1310" s="50" t="s">
        <v>4</v>
      </c>
      <c r="B1310" s="50" t="s">
        <v>5</v>
      </c>
    </row>
    <row r="1311" spans="1:8" s="50" customFormat="1">
      <c r="A1311" s="50" t="s">
        <v>6</v>
      </c>
      <c r="B1311" s="50" t="s">
        <v>7</v>
      </c>
    </row>
    <row r="1312" spans="1:8" s="50" customFormat="1">
      <c r="A1312" s="50" t="s">
        <v>9</v>
      </c>
      <c r="B1312" s="50" t="s">
        <v>264</v>
      </c>
    </row>
    <row r="1313" spans="1:8" s="50" customFormat="1" ht="15.75">
      <c r="A1313" s="49" t="s">
        <v>10</v>
      </c>
    </row>
    <row r="1314" spans="1:8" s="50" customFormat="1">
      <c r="A1314" s="50" t="s">
        <v>11</v>
      </c>
      <c r="B1314" s="50" t="s">
        <v>12</v>
      </c>
      <c r="C1314" s="50" t="s">
        <v>1</v>
      </c>
      <c r="D1314" s="50" t="s">
        <v>6</v>
      </c>
      <c r="E1314" s="50" t="s">
        <v>13</v>
      </c>
      <c r="F1314" s="50" t="s">
        <v>4</v>
      </c>
      <c r="G1314" s="50" t="s">
        <v>9</v>
      </c>
      <c r="H1314" s="50" t="s">
        <v>3</v>
      </c>
    </row>
    <row r="1315" spans="1:8" s="50" customFormat="1">
      <c r="A1315" s="50" t="str">
        <f>B1306</f>
        <v>diesel import, from neighboring countries</v>
      </c>
      <c r="B1315" s="50">
        <v>1</v>
      </c>
      <c r="C1315" s="50" t="str">
        <f>B1307</f>
        <v>CH</v>
      </c>
      <c r="D1315" s="50" t="str">
        <f>B1311</f>
        <v>kilogram</v>
      </c>
      <c r="F1315" s="50" t="s">
        <v>15</v>
      </c>
      <c r="G1315" s="50" t="s">
        <v>16</v>
      </c>
      <c r="H1315" s="51" t="str">
        <f>B1309</f>
        <v>diesel</v>
      </c>
    </row>
    <row r="1316" spans="1:8" s="50" customFormat="1">
      <c r="A1316" s="50" t="s">
        <v>405</v>
      </c>
      <c r="B1316" s="50">
        <v>1</v>
      </c>
      <c r="C1316" s="50" t="s">
        <v>104</v>
      </c>
      <c r="D1316" s="50" t="s">
        <v>7</v>
      </c>
      <c r="F1316" s="50" t="s">
        <v>18</v>
      </c>
      <c r="G1316" s="50" t="s">
        <v>16</v>
      </c>
      <c r="H1316" s="50" t="s">
        <v>356</v>
      </c>
    </row>
    <row r="1317" spans="1:8" s="50" customFormat="1"/>
    <row r="1318" spans="1:8" s="50" customFormat="1" ht="15.75">
      <c r="A1318" s="49" t="s">
        <v>0</v>
      </c>
      <c r="B1318" s="49" t="s">
        <v>276</v>
      </c>
    </row>
    <row r="1319" spans="1:8" s="50" customFormat="1">
      <c r="A1319" s="50" t="s">
        <v>1</v>
      </c>
      <c r="B1319" s="50" t="s">
        <v>104</v>
      </c>
    </row>
    <row r="1320" spans="1:8" s="50" customFormat="1">
      <c r="A1320" s="50" t="s">
        <v>2</v>
      </c>
      <c r="B1320" s="50">
        <v>1</v>
      </c>
    </row>
    <row r="1321" spans="1:8" s="50" customFormat="1">
      <c r="A1321" s="50" t="s">
        <v>3</v>
      </c>
      <c r="B1321" s="3" t="s">
        <v>278</v>
      </c>
    </row>
    <row r="1322" spans="1:8" s="50" customFormat="1">
      <c r="A1322" s="50" t="s">
        <v>4</v>
      </c>
      <c r="B1322" s="50" t="s">
        <v>5</v>
      </c>
    </row>
    <row r="1323" spans="1:8" s="50" customFormat="1">
      <c r="A1323" s="50" t="s">
        <v>6</v>
      </c>
      <c r="B1323" s="50" t="s">
        <v>7</v>
      </c>
    </row>
    <row r="1324" spans="1:8" s="50" customFormat="1">
      <c r="A1324" s="50" t="s">
        <v>9</v>
      </c>
      <c r="B1324" s="50" t="s">
        <v>264</v>
      </c>
    </row>
    <row r="1325" spans="1:8" s="50" customFormat="1" ht="15.75">
      <c r="A1325" s="49" t="s">
        <v>10</v>
      </c>
    </row>
    <row r="1326" spans="1:8" s="50" customFormat="1">
      <c r="A1326" s="50" t="s">
        <v>11</v>
      </c>
      <c r="B1326" s="50" t="s">
        <v>12</v>
      </c>
      <c r="C1326" s="50" t="s">
        <v>1</v>
      </c>
      <c r="D1326" s="50" t="s">
        <v>6</v>
      </c>
      <c r="E1326" s="50" t="s">
        <v>13</v>
      </c>
      <c r="F1326" s="50" t="s">
        <v>4</v>
      </c>
      <c r="G1326" s="50" t="s">
        <v>9</v>
      </c>
      <c r="H1326" s="50" t="s">
        <v>3</v>
      </c>
    </row>
    <row r="1327" spans="1:8" s="50" customFormat="1">
      <c r="A1327" s="50" t="str">
        <f>B1318</f>
        <v>synthetic diesel import, from neighboring countries</v>
      </c>
      <c r="B1327" s="50">
        <v>1</v>
      </c>
      <c r="C1327" s="50" t="str">
        <f>B1319</f>
        <v>CH</v>
      </c>
      <c r="D1327" s="50" t="str">
        <f>B1323</f>
        <v>kilogram</v>
      </c>
      <c r="F1327" s="50" t="s">
        <v>15</v>
      </c>
      <c r="G1327" s="50" t="s">
        <v>16</v>
      </c>
      <c r="H1327" s="51" t="str">
        <f>B1321</f>
        <v>diesel, synthetic</v>
      </c>
    </row>
    <row r="1328" spans="1:8" s="50" customFormat="1">
      <c r="A1328" s="50" t="s">
        <v>277</v>
      </c>
      <c r="B1328" s="50">
        <v>1</v>
      </c>
      <c r="C1328" s="50" t="s">
        <v>103</v>
      </c>
      <c r="D1328" s="50" t="s">
        <v>7</v>
      </c>
      <c r="F1328" s="50" t="s">
        <v>18</v>
      </c>
      <c r="G1328" s="50" t="s">
        <v>16</v>
      </c>
      <c r="H1328" s="50" t="s">
        <v>278</v>
      </c>
    </row>
    <row r="1329" spans="1:8" s="50" customFormat="1"/>
    <row r="1330" spans="1:8" s="50" customFormat="1" ht="15.75">
      <c r="A1330" s="49" t="s">
        <v>0</v>
      </c>
      <c r="B1330" s="49" t="s">
        <v>279</v>
      </c>
    </row>
    <row r="1331" spans="1:8" s="50" customFormat="1">
      <c r="A1331" s="50" t="s">
        <v>1</v>
      </c>
      <c r="B1331" s="50" t="s">
        <v>104</v>
      </c>
    </row>
    <row r="1332" spans="1:8" s="50" customFormat="1">
      <c r="A1332" s="50" t="s">
        <v>2</v>
      </c>
      <c r="B1332" s="50">
        <v>1</v>
      </c>
    </row>
    <row r="1333" spans="1:8" s="50" customFormat="1">
      <c r="A1333" s="50" t="s">
        <v>3</v>
      </c>
      <c r="B1333" s="3" t="s">
        <v>280</v>
      </c>
    </row>
    <row r="1334" spans="1:8" s="50" customFormat="1">
      <c r="A1334" s="50" t="s">
        <v>4</v>
      </c>
      <c r="B1334" s="50" t="s">
        <v>5</v>
      </c>
    </row>
    <row r="1335" spans="1:8" s="50" customFormat="1">
      <c r="A1335" s="50" t="s">
        <v>6</v>
      </c>
      <c r="B1335" s="50" t="s">
        <v>7</v>
      </c>
    </row>
    <row r="1336" spans="1:8" s="50" customFormat="1">
      <c r="A1336" s="50" t="s">
        <v>9</v>
      </c>
      <c r="B1336" s="50" t="s">
        <v>264</v>
      </c>
    </row>
    <row r="1337" spans="1:8" s="50" customFormat="1" ht="15.75">
      <c r="A1337" s="49" t="s">
        <v>10</v>
      </c>
    </row>
    <row r="1338" spans="1:8" s="50" customFormat="1">
      <c r="A1338" s="50" t="s">
        <v>11</v>
      </c>
      <c r="B1338" s="50" t="s">
        <v>12</v>
      </c>
      <c r="C1338" s="50" t="s">
        <v>1</v>
      </c>
      <c r="D1338" s="50" t="s">
        <v>6</v>
      </c>
      <c r="E1338" s="50" t="s">
        <v>13</v>
      </c>
      <c r="F1338" s="50" t="s">
        <v>4</v>
      </c>
      <c r="G1338" s="50" t="s">
        <v>9</v>
      </c>
      <c r="H1338" s="50" t="s">
        <v>3</v>
      </c>
    </row>
    <row r="1339" spans="1:8" s="50" customFormat="1">
      <c r="A1339" s="50" t="str">
        <f>B1330</f>
        <v>synthetic natural gas import, from neighboring countries</v>
      </c>
      <c r="B1339" s="50">
        <v>1</v>
      </c>
      <c r="C1339" s="50" t="str">
        <f>B1331</f>
        <v>CH</v>
      </c>
      <c r="D1339" s="50" t="str">
        <f>B1335</f>
        <v>kilogram</v>
      </c>
      <c r="F1339" s="50" t="s">
        <v>15</v>
      </c>
      <c r="G1339" s="50" t="s">
        <v>16</v>
      </c>
      <c r="H1339" s="51" t="str">
        <f>B1333</f>
        <v>natural gas, synthetic</v>
      </c>
    </row>
    <row r="1340" spans="1:8" s="50" customFormat="1">
      <c r="A1340" s="50" t="s">
        <v>281</v>
      </c>
      <c r="B1340" s="50">
        <v>1</v>
      </c>
      <c r="C1340" s="50" t="s">
        <v>103</v>
      </c>
      <c r="D1340" s="50" t="s">
        <v>7</v>
      </c>
      <c r="F1340" s="50" t="s">
        <v>18</v>
      </c>
      <c r="G1340" s="50" t="s">
        <v>16</v>
      </c>
      <c r="H1340" s="50" t="s">
        <v>282</v>
      </c>
    </row>
    <row r="1343" spans="1:8" s="50" customFormat="1" ht="15.75">
      <c r="A1343" s="49" t="s">
        <v>0</v>
      </c>
      <c r="B1343" s="49" t="s">
        <v>283</v>
      </c>
    </row>
    <row r="1344" spans="1:8" s="50" customFormat="1">
      <c r="A1344" s="50" t="s">
        <v>1</v>
      </c>
      <c r="B1344" s="50" t="s">
        <v>104</v>
      </c>
    </row>
    <row r="1345" spans="1:12" s="50" customFormat="1">
      <c r="A1345" s="50" t="s">
        <v>2</v>
      </c>
      <c r="B1345" s="50">
        <v>1</v>
      </c>
    </row>
    <row r="1346" spans="1:12" s="50" customFormat="1">
      <c r="A1346" s="50" t="s">
        <v>3</v>
      </c>
      <c r="B1346" s="3" t="s">
        <v>284</v>
      </c>
    </row>
    <row r="1347" spans="1:12" s="50" customFormat="1">
      <c r="A1347" s="50" t="s">
        <v>4</v>
      </c>
      <c r="B1347" s="50" t="s">
        <v>5</v>
      </c>
    </row>
    <row r="1348" spans="1:12" s="50" customFormat="1">
      <c r="A1348" s="50" t="s">
        <v>6</v>
      </c>
      <c r="B1348" s="50" t="s">
        <v>17</v>
      </c>
    </row>
    <row r="1349" spans="1:12" s="50" customFormat="1">
      <c r="A1349" s="50" t="s">
        <v>9</v>
      </c>
      <c r="B1349" s="50" t="s">
        <v>285</v>
      </c>
    </row>
    <row r="1350" spans="1:12" s="50" customFormat="1" ht="15.75">
      <c r="A1350" s="49" t="s">
        <v>10</v>
      </c>
    </row>
    <row r="1351" spans="1:12" s="50" customFormat="1">
      <c r="A1351" s="50" t="s">
        <v>11</v>
      </c>
      <c r="B1351" s="50" t="s">
        <v>12</v>
      </c>
      <c r="C1351" s="50" t="s">
        <v>1</v>
      </c>
      <c r="D1351" s="50" t="s">
        <v>6</v>
      </c>
      <c r="E1351" s="50" t="s">
        <v>13</v>
      </c>
      <c r="F1351" s="50" t="s">
        <v>4</v>
      </c>
      <c r="G1351" s="50" t="s">
        <v>9</v>
      </c>
      <c r="H1351" s="50" t="s">
        <v>3</v>
      </c>
    </row>
    <row r="1352" spans="1:12" s="50" customFormat="1">
      <c r="A1352" s="50" t="str">
        <f>B1343</f>
        <v>heat, from nuclear power plant</v>
      </c>
      <c r="B1352" s="50">
        <v>1</v>
      </c>
      <c r="C1352" s="50" t="str">
        <f>B1344</f>
        <v>CH</v>
      </c>
      <c r="D1352" s="50" t="str">
        <f>B1348</f>
        <v>megajoule</v>
      </c>
      <c r="F1352" s="50" t="s">
        <v>15</v>
      </c>
      <c r="G1352" s="50" t="s">
        <v>16</v>
      </c>
      <c r="H1352" s="51" t="str">
        <f>B1346</f>
        <v>heat</v>
      </c>
    </row>
    <row r="1353" spans="1:12" s="50" customFormat="1">
      <c r="A1353" s="50" t="s">
        <v>204</v>
      </c>
      <c r="B1353" s="50">
        <v>1</v>
      </c>
      <c r="D1353" s="50" t="s">
        <v>17</v>
      </c>
      <c r="E1353" s="50" t="s">
        <v>135</v>
      </c>
      <c r="F1353" s="50" t="s">
        <v>27</v>
      </c>
      <c r="G1353" s="50" t="s">
        <v>16</v>
      </c>
    </row>
    <row r="1354" spans="1:12" s="50" customFormat="1">
      <c r="A1354" s="50" t="s">
        <v>487</v>
      </c>
      <c r="B1354" s="50">
        <f>1/560000</f>
        <v>1.7857142857142857E-6</v>
      </c>
      <c r="D1354" s="50" t="s">
        <v>7</v>
      </c>
      <c r="E1354" s="50" t="s">
        <v>485</v>
      </c>
      <c r="F1354" s="50" t="s">
        <v>27</v>
      </c>
    </row>
    <row r="1356" spans="1:12" ht="15.75">
      <c r="A1356" s="1" t="s">
        <v>0</v>
      </c>
      <c r="B1356" s="1" t="s">
        <v>288</v>
      </c>
      <c r="C1356" s="53"/>
      <c r="D1356" s="53"/>
      <c r="E1356" s="53"/>
      <c r="F1356" s="53"/>
      <c r="G1356" s="53"/>
      <c r="H1356" s="53"/>
    </row>
    <row r="1357" spans="1:12">
      <c r="A1357" s="53" t="s">
        <v>1</v>
      </c>
      <c r="B1357" s="53" t="s">
        <v>104</v>
      </c>
      <c r="C1357" s="53"/>
      <c r="D1357" s="53"/>
      <c r="E1357" s="53"/>
      <c r="F1357" s="53"/>
      <c r="G1357" s="53"/>
      <c r="H1357" s="53"/>
      <c r="I1357" s="53"/>
      <c r="J1357" s="53"/>
      <c r="K1357" s="53"/>
      <c r="L1357" s="53"/>
    </row>
    <row r="1358" spans="1:12">
      <c r="A1358" s="53" t="s">
        <v>2</v>
      </c>
      <c r="B1358" s="53">
        <v>1</v>
      </c>
      <c r="C1358" s="53"/>
      <c r="D1358" s="53"/>
      <c r="E1358" s="53"/>
      <c r="F1358" s="53"/>
      <c r="G1358" s="53"/>
      <c r="H1358" s="53"/>
      <c r="I1358" s="53"/>
      <c r="J1358" s="53"/>
      <c r="K1358" s="53"/>
      <c r="L1358" s="53"/>
    </row>
    <row r="1359" spans="1:12">
      <c r="A1359" s="53" t="s">
        <v>3</v>
      </c>
      <c r="B1359" s="53" t="s">
        <v>286</v>
      </c>
      <c r="C1359" s="53"/>
      <c r="D1359" s="53"/>
      <c r="E1359" s="53"/>
      <c r="F1359" s="53"/>
      <c r="G1359" s="53"/>
      <c r="H1359" s="53"/>
      <c r="I1359" s="53"/>
      <c r="J1359" s="53"/>
    </row>
    <row r="1360" spans="1:12">
      <c r="A1360" s="53" t="s">
        <v>4</v>
      </c>
      <c r="B1360" s="53" t="s">
        <v>5</v>
      </c>
      <c r="C1360" s="53"/>
      <c r="D1360" s="53"/>
      <c r="E1360" s="53"/>
      <c r="F1360" s="53"/>
      <c r="G1360" s="53"/>
      <c r="H1360" s="53"/>
      <c r="I1360" s="53"/>
      <c r="J1360" s="53"/>
      <c r="K1360" s="53"/>
      <c r="L1360" s="53"/>
    </row>
    <row r="1361" spans="1:12">
      <c r="A1361" s="53" t="s">
        <v>6</v>
      </c>
      <c r="B1361" s="53" t="s">
        <v>17</v>
      </c>
      <c r="C1361" s="53"/>
      <c r="D1361" s="53"/>
      <c r="E1361" s="53"/>
      <c r="F1361" s="53"/>
      <c r="G1361" s="53"/>
      <c r="H1361" s="53"/>
      <c r="I1361" s="53"/>
      <c r="J1361" s="53"/>
      <c r="K1361" s="53"/>
      <c r="L1361" s="53"/>
    </row>
    <row r="1362" spans="1:12" ht="15.75">
      <c r="A1362" s="1" t="s">
        <v>10</v>
      </c>
      <c r="B1362" s="53"/>
      <c r="C1362" s="53"/>
      <c r="D1362" s="53"/>
      <c r="E1362" s="53"/>
      <c r="F1362" s="53"/>
      <c r="G1362" s="53"/>
      <c r="H1362" s="53"/>
      <c r="I1362" s="53"/>
      <c r="J1362" s="53"/>
      <c r="K1362" s="53"/>
      <c r="L1362" s="53"/>
    </row>
    <row r="1363" spans="1:12">
      <c r="A1363" s="53" t="s">
        <v>11</v>
      </c>
      <c r="B1363" s="53" t="s">
        <v>12</v>
      </c>
      <c r="C1363" s="53" t="s">
        <v>1</v>
      </c>
      <c r="D1363" s="53" t="s">
        <v>6</v>
      </c>
      <c r="E1363" s="53" t="s">
        <v>13</v>
      </c>
      <c r="F1363" s="53" t="s">
        <v>4</v>
      </c>
      <c r="G1363" s="50" t="s">
        <v>9</v>
      </c>
      <c r="H1363" s="53" t="s">
        <v>3</v>
      </c>
      <c r="I1363" s="53"/>
      <c r="J1363" s="53"/>
      <c r="K1363" s="53"/>
    </row>
    <row r="1364" spans="1:12">
      <c r="A1364" s="53" t="str">
        <f>B1356</f>
        <v>electricity, used in industrial electric boiler</v>
      </c>
      <c r="B1364" s="53">
        <v>1</v>
      </c>
      <c r="C1364" s="53" t="str">
        <f>B1357</f>
        <v>CH</v>
      </c>
      <c r="D1364" s="53" t="str">
        <f>B1361</f>
        <v>megajoule</v>
      </c>
      <c r="E1364" s="53"/>
      <c r="F1364" s="53" t="s">
        <v>15</v>
      </c>
      <c r="H1364" s="53" t="str">
        <f>B1359</f>
        <v>electricity, low voltage</v>
      </c>
      <c r="I1364" s="53"/>
      <c r="J1364" s="53"/>
      <c r="K1364" s="53"/>
      <c r="L1364" s="53"/>
    </row>
    <row r="1365" spans="1:12">
      <c r="A1365" s="53" t="s">
        <v>287</v>
      </c>
      <c r="B1365">
        <f>1/3.6</f>
        <v>0.27777777777777779</v>
      </c>
      <c r="C1365" t="s">
        <v>104</v>
      </c>
      <c r="D1365" t="s">
        <v>125</v>
      </c>
      <c r="F1365" t="s">
        <v>18</v>
      </c>
      <c r="H1365" t="s">
        <v>286</v>
      </c>
    </row>
    <row r="1366" spans="1:12">
      <c r="A1366" s="53"/>
      <c r="B1366"/>
    </row>
    <row r="1367" spans="1:12">
      <c r="A1367" s="53"/>
    </row>
    <row r="1368" spans="1:12" ht="15.75">
      <c r="A1368" s="1" t="s">
        <v>0</v>
      </c>
      <c r="B1368" s="1" t="s">
        <v>289</v>
      </c>
      <c r="C1368" s="53"/>
      <c r="D1368" s="53"/>
      <c r="E1368" s="53"/>
      <c r="F1368" s="53"/>
      <c r="G1368" s="53"/>
      <c r="H1368" s="53"/>
    </row>
    <row r="1369" spans="1:12">
      <c r="A1369" s="53" t="s">
        <v>1</v>
      </c>
      <c r="B1369" s="53" t="s">
        <v>104</v>
      </c>
      <c r="C1369" s="53"/>
      <c r="D1369" s="53"/>
      <c r="E1369" s="53"/>
      <c r="F1369" s="53"/>
      <c r="G1369" s="53"/>
      <c r="H1369" s="53"/>
      <c r="I1369" s="53"/>
      <c r="J1369" s="53"/>
      <c r="K1369" s="53"/>
      <c r="L1369" s="53"/>
    </row>
    <row r="1370" spans="1:12">
      <c r="A1370" s="53" t="s">
        <v>2</v>
      </c>
      <c r="B1370" s="53">
        <v>1</v>
      </c>
      <c r="C1370" s="53"/>
      <c r="D1370" s="53"/>
      <c r="E1370" s="53"/>
      <c r="F1370" s="53"/>
      <c r="G1370" s="53"/>
      <c r="H1370" s="53"/>
      <c r="I1370" s="53"/>
      <c r="J1370" s="53"/>
      <c r="K1370" s="53"/>
      <c r="L1370" s="53"/>
    </row>
    <row r="1371" spans="1:12">
      <c r="A1371" s="53" t="s">
        <v>3</v>
      </c>
      <c r="B1371" s="53" t="s">
        <v>286</v>
      </c>
      <c r="C1371" s="53"/>
      <c r="D1371" s="53"/>
      <c r="E1371" s="53"/>
      <c r="F1371" s="53"/>
      <c r="G1371" s="53"/>
      <c r="H1371" s="53"/>
      <c r="I1371" s="53"/>
      <c r="J1371" s="53"/>
    </row>
    <row r="1372" spans="1:12">
      <c r="A1372" s="53" t="s">
        <v>4</v>
      </c>
      <c r="B1372" s="53" t="s">
        <v>5</v>
      </c>
      <c r="C1372" s="53"/>
      <c r="D1372" s="53"/>
      <c r="E1372" s="53"/>
      <c r="F1372" s="53"/>
      <c r="G1372" s="53"/>
      <c r="H1372" s="53"/>
      <c r="I1372" s="53"/>
      <c r="J1372" s="53"/>
      <c r="K1372" s="53"/>
      <c r="L1372" s="53"/>
    </row>
    <row r="1373" spans="1:12">
      <c r="A1373" s="53" t="s">
        <v>6</v>
      </c>
      <c r="B1373" s="53" t="s">
        <v>17</v>
      </c>
      <c r="C1373" s="53"/>
      <c r="D1373" s="53"/>
      <c r="E1373" s="53"/>
      <c r="F1373" s="53"/>
      <c r="G1373" s="53"/>
      <c r="H1373" s="53"/>
      <c r="I1373" s="53"/>
      <c r="J1373" s="53"/>
      <c r="K1373" s="53"/>
      <c r="L1373" s="53"/>
    </row>
    <row r="1374" spans="1:12" ht="15.75">
      <c r="A1374" s="1" t="s">
        <v>10</v>
      </c>
      <c r="B1374" s="53"/>
      <c r="C1374" s="53"/>
      <c r="D1374" s="53"/>
      <c r="E1374" s="53"/>
      <c r="F1374" s="53"/>
      <c r="G1374" s="53"/>
      <c r="H1374" s="53"/>
      <c r="I1374" s="53"/>
      <c r="J1374" s="53"/>
      <c r="K1374" s="53"/>
      <c r="L1374" s="53"/>
    </row>
    <row r="1375" spans="1:12">
      <c r="A1375" s="53" t="s">
        <v>11</v>
      </c>
      <c r="B1375" s="53" t="s">
        <v>12</v>
      </c>
      <c r="C1375" s="53" t="s">
        <v>1</v>
      </c>
      <c r="D1375" s="53" t="s">
        <v>6</v>
      </c>
      <c r="E1375" s="53" t="s">
        <v>13</v>
      </c>
      <c r="F1375" s="53" t="s">
        <v>4</v>
      </c>
      <c r="G1375" s="50" t="s">
        <v>9</v>
      </c>
      <c r="H1375" s="53" t="s">
        <v>3</v>
      </c>
      <c r="I1375" s="53"/>
      <c r="J1375" s="53"/>
      <c r="K1375" s="53"/>
    </row>
    <row r="1376" spans="1:12">
      <c r="A1376" s="53" t="str">
        <f>B1368</f>
        <v>electricity, used in industrial heat pump</v>
      </c>
      <c r="B1376" s="53">
        <v>1</v>
      </c>
      <c r="C1376" s="53" t="str">
        <f>B1369</f>
        <v>CH</v>
      </c>
      <c r="D1376" s="53" t="str">
        <f>B1373</f>
        <v>megajoule</v>
      </c>
      <c r="E1376" s="53"/>
      <c r="F1376" s="53" t="s">
        <v>15</v>
      </c>
      <c r="H1376" s="53" t="str">
        <f>B1371</f>
        <v>electricity, low voltage</v>
      </c>
      <c r="I1376" s="53"/>
      <c r="J1376" s="53"/>
      <c r="K1376" s="53"/>
      <c r="L1376" s="53"/>
    </row>
    <row r="1377" spans="1:12">
      <c r="A1377" s="53" t="s">
        <v>290</v>
      </c>
      <c r="B1377" s="2">
        <f>1/0.357</f>
        <v>2.801120448179272</v>
      </c>
      <c r="C1377" t="s">
        <v>104</v>
      </c>
      <c r="D1377" t="s">
        <v>17</v>
      </c>
      <c r="F1377" t="s">
        <v>18</v>
      </c>
      <c r="H1377" t="s">
        <v>291</v>
      </c>
    </row>
    <row r="1378" spans="1:12">
      <c r="A1378" t="s">
        <v>482</v>
      </c>
      <c r="B1378" s="2">
        <v>2</v>
      </c>
      <c r="D1378" t="s">
        <v>17</v>
      </c>
      <c r="E1378" t="s">
        <v>485</v>
      </c>
      <c r="F1378" t="s">
        <v>27</v>
      </c>
    </row>
    <row r="1379" spans="1:12">
      <c r="A1379" s="53"/>
      <c r="B1379"/>
    </row>
    <row r="1380" spans="1:12" ht="15.75">
      <c r="A1380" s="1" t="s">
        <v>0</v>
      </c>
      <c r="B1380" s="1" t="s">
        <v>327</v>
      </c>
      <c r="C1380" s="53"/>
      <c r="D1380" s="53"/>
      <c r="E1380" s="53"/>
      <c r="F1380" s="53"/>
      <c r="G1380" s="53"/>
      <c r="H1380" s="53"/>
    </row>
    <row r="1381" spans="1:12">
      <c r="A1381" s="53" t="s">
        <v>1</v>
      </c>
      <c r="B1381" s="53" t="s">
        <v>104</v>
      </c>
      <c r="C1381" s="53"/>
      <c r="D1381" s="53"/>
      <c r="E1381" s="53"/>
      <c r="F1381" s="53"/>
      <c r="G1381" s="53"/>
      <c r="H1381" s="53"/>
      <c r="I1381" s="53"/>
      <c r="J1381" s="53"/>
      <c r="K1381" s="53"/>
      <c r="L1381" s="53"/>
    </row>
    <row r="1382" spans="1:12">
      <c r="A1382" s="53" t="s">
        <v>2</v>
      </c>
      <c r="B1382" s="53">
        <v>1</v>
      </c>
      <c r="C1382" s="53"/>
      <c r="D1382" s="53"/>
      <c r="E1382" s="53"/>
      <c r="F1382" s="53"/>
      <c r="G1382" s="53"/>
      <c r="H1382" s="53"/>
      <c r="I1382" s="53"/>
      <c r="J1382" s="53"/>
      <c r="K1382" s="53"/>
      <c r="L1382" s="53"/>
    </row>
    <row r="1383" spans="1:12">
      <c r="A1383" s="53" t="s">
        <v>3</v>
      </c>
      <c r="B1383" s="53" t="s">
        <v>286</v>
      </c>
      <c r="C1383" s="53"/>
      <c r="D1383" s="53"/>
      <c r="E1383" s="53"/>
      <c r="F1383" s="53"/>
      <c r="G1383" s="53"/>
      <c r="H1383" s="53"/>
      <c r="I1383" s="53"/>
      <c r="J1383" s="53"/>
    </row>
    <row r="1384" spans="1:12">
      <c r="A1384" s="53" t="s">
        <v>4</v>
      </c>
      <c r="B1384" s="53" t="s">
        <v>5</v>
      </c>
      <c r="C1384" s="53"/>
      <c r="D1384" s="53"/>
      <c r="E1384" s="53"/>
      <c r="F1384" s="53"/>
      <c r="G1384" s="53"/>
      <c r="H1384" s="53"/>
      <c r="I1384" s="53"/>
      <c r="J1384" s="53"/>
      <c r="K1384" s="53"/>
      <c r="L1384" s="53"/>
    </row>
    <row r="1385" spans="1:12">
      <c r="A1385" s="53" t="s">
        <v>6</v>
      </c>
      <c r="B1385" s="53" t="s">
        <v>17</v>
      </c>
      <c r="C1385" s="53"/>
      <c r="D1385" s="53"/>
      <c r="E1385" s="53"/>
      <c r="F1385" s="53"/>
      <c r="G1385" s="53"/>
      <c r="H1385" s="53"/>
      <c r="I1385" s="53"/>
      <c r="J1385" s="53"/>
      <c r="K1385" s="53"/>
      <c r="L1385" s="53"/>
    </row>
    <row r="1386" spans="1:12" ht="15.75">
      <c r="A1386" s="1" t="s">
        <v>10</v>
      </c>
      <c r="B1386" s="53"/>
      <c r="C1386" s="53"/>
      <c r="D1386" s="53"/>
      <c r="E1386" s="53"/>
      <c r="F1386" s="53"/>
      <c r="G1386" s="53"/>
      <c r="H1386" s="53"/>
      <c r="I1386" s="53"/>
      <c r="J1386" s="53"/>
      <c r="K1386" s="53"/>
      <c r="L1386" s="53"/>
    </row>
    <row r="1387" spans="1:12">
      <c r="A1387" s="53" t="s">
        <v>11</v>
      </c>
      <c r="B1387" s="53" t="s">
        <v>12</v>
      </c>
      <c r="C1387" s="53" t="s">
        <v>1</v>
      </c>
      <c r="D1387" s="53" t="s">
        <v>6</v>
      </c>
      <c r="E1387" s="53" t="s">
        <v>13</v>
      </c>
      <c r="F1387" s="53" t="s">
        <v>4</v>
      </c>
      <c r="G1387" s="50" t="s">
        <v>9</v>
      </c>
      <c r="H1387" s="53" t="s">
        <v>3</v>
      </c>
      <c r="I1387" s="53"/>
      <c r="J1387" s="53"/>
      <c r="K1387" s="53"/>
    </row>
    <row r="1388" spans="1:12">
      <c r="A1388" s="53" t="str">
        <f>B1380</f>
        <v>electricity, used in industrial electric processes</v>
      </c>
      <c r="B1388" s="53">
        <v>1</v>
      </c>
      <c r="C1388" s="53" t="str">
        <f>B1381</f>
        <v>CH</v>
      </c>
      <c r="D1388" s="53" t="str">
        <f>B1385</f>
        <v>megajoule</v>
      </c>
      <c r="E1388" s="53"/>
      <c r="F1388" s="53" t="s">
        <v>15</v>
      </c>
      <c r="H1388" s="53" t="str">
        <f>B1383</f>
        <v>electricity, low voltage</v>
      </c>
      <c r="I1388" s="53"/>
      <c r="J1388" s="53"/>
      <c r="K1388" s="53"/>
      <c r="L1388" s="53"/>
    </row>
    <row r="1389" spans="1:12">
      <c r="A1389" s="53" t="s">
        <v>287</v>
      </c>
      <c r="B1389">
        <f>1/3.6</f>
        <v>0.27777777777777779</v>
      </c>
      <c r="C1389" t="s">
        <v>104</v>
      </c>
      <c r="D1389" t="s">
        <v>125</v>
      </c>
      <c r="F1389" t="s">
        <v>18</v>
      </c>
      <c r="H1389" t="s">
        <v>286</v>
      </c>
    </row>
    <row r="1390" spans="1:12">
      <c r="A1390" s="53"/>
      <c r="B1390"/>
    </row>
    <row r="1391" spans="1:12" ht="15.75">
      <c r="A1391" s="1" t="s">
        <v>0</v>
      </c>
      <c r="B1391" s="1" t="s">
        <v>292</v>
      </c>
      <c r="C1391" s="53"/>
      <c r="D1391" s="53"/>
      <c r="E1391" s="53"/>
      <c r="F1391" s="53"/>
      <c r="G1391" s="53"/>
      <c r="H1391" s="53"/>
    </row>
    <row r="1392" spans="1:12">
      <c r="A1392" s="53" t="s">
        <v>1</v>
      </c>
      <c r="B1392" s="53" t="s">
        <v>104</v>
      </c>
      <c r="C1392" s="53"/>
      <c r="D1392" s="53"/>
      <c r="E1392" s="53"/>
      <c r="F1392" s="53"/>
      <c r="G1392" s="53"/>
      <c r="H1392" s="53"/>
      <c r="I1392" s="53"/>
      <c r="J1392" s="53"/>
      <c r="K1392" s="53"/>
      <c r="L1392" s="53"/>
    </row>
    <row r="1393" spans="1:12">
      <c r="A1393" s="53" t="s">
        <v>2</v>
      </c>
      <c r="B1393" s="53">
        <v>1</v>
      </c>
      <c r="C1393" s="53"/>
      <c r="D1393" s="53"/>
      <c r="E1393" s="53"/>
      <c r="F1393" s="53"/>
      <c r="G1393" s="53"/>
      <c r="H1393" s="53"/>
      <c r="I1393" s="53"/>
      <c r="J1393" s="53"/>
      <c r="K1393" s="53"/>
      <c r="L1393" s="53"/>
    </row>
    <row r="1394" spans="1:12">
      <c r="A1394" s="53" t="s">
        <v>3</v>
      </c>
      <c r="B1394" s="53" t="s">
        <v>284</v>
      </c>
      <c r="C1394" s="53"/>
      <c r="D1394" s="53"/>
      <c r="E1394" s="53"/>
      <c r="F1394" s="53"/>
      <c r="G1394" s="53"/>
      <c r="H1394" s="53"/>
      <c r="I1394" s="53"/>
      <c r="J1394" s="53"/>
    </row>
    <row r="1395" spans="1:12">
      <c r="A1395" s="53" t="s">
        <v>4</v>
      </c>
      <c r="B1395" s="53" t="s">
        <v>5</v>
      </c>
      <c r="C1395" s="53"/>
      <c r="D1395" s="53"/>
      <c r="E1395" s="53"/>
      <c r="F1395" s="53"/>
      <c r="G1395" s="53"/>
      <c r="H1395" s="53"/>
      <c r="I1395" s="53"/>
      <c r="J1395" s="53"/>
      <c r="K1395" s="53"/>
      <c r="L1395" s="53"/>
    </row>
    <row r="1396" spans="1:12">
      <c r="A1396" s="53" t="s">
        <v>6</v>
      </c>
      <c r="B1396" s="53" t="s">
        <v>17</v>
      </c>
      <c r="C1396" s="53"/>
      <c r="D1396" s="53"/>
      <c r="E1396" s="53"/>
      <c r="F1396" s="53"/>
      <c r="G1396" s="53"/>
      <c r="H1396" s="53"/>
      <c r="I1396" s="53"/>
      <c r="J1396" s="53"/>
      <c r="K1396" s="53"/>
      <c r="L1396" s="53"/>
    </row>
    <row r="1397" spans="1:12" ht="15.75">
      <c r="A1397" s="1" t="s">
        <v>10</v>
      </c>
      <c r="B1397" s="53"/>
      <c r="C1397" s="53"/>
      <c r="D1397" s="53"/>
      <c r="E1397" s="53"/>
      <c r="F1397" s="53"/>
      <c r="G1397" s="53"/>
      <c r="H1397" s="53"/>
      <c r="I1397" s="53"/>
      <c r="J1397" s="53"/>
      <c r="K1397" s="53"/>
      <c r="L1397" s="53"/>
    </row>
    <row r="1398" spans="1:12">
      <c r="A1398" s="53" t="s">
        <v>11</v>
      </c>
      <c r="B1398" s="53" t="s">
        <v>12</v>
      </c>
      <c r="C1398" s="53" t="s">
        <v>1</v>
      </c>
      <c r="D1398" s="53" t="s">
        <v>6</v>
      </c>
      <c r="E1398" s="53" t="s">
        <v>13</v>
      </c>
      <c r="F1398" s="53" t="s">
        <v>4</v>
      </c>
      <c r="G1398" s="50" t="s">
        <v>9</v>
      </c>
      <c r="H1398" s="53" t="s">
        <v>3</v>
      </c>
      <c r="I1398" s="53"/>
      <c r="J1398" s="53"/>
      <c r="K1398" s="53"/>
    </row>
    <row r="1399" spans="1:12">
      <c r="A1399" s="53" t="str">
        <f>B1391</f>
        <v>light fuel oil, burned in industrial furnace 1MW</v>
      </c>
      <c r="B1399" s="53">
        <v>1</v>
      </c>
      <c r="C1399" s="53" t="str">
        <f>B1392</f>
        <v>CH</v>
      </c>
      <c r="D1399" s="53" t="str">
        <f>B1396</f>
        <v>megajoule</v>
      </c>
      <c r="E1399" s="53"/>
      <c r="F1399" s="53" t="s">
        <v>15</v>
      </c>
      <c r="H1399" s="53" t="str">
        <f>B1394</f>
        <v>heat</v>
      </c>
      <c r="I1399" s="53"/>
      <c r="J1399" s="53"/>
      <c r="K1399" s="53"/>
      <c r="L1399" s="53"/>
    </row>
    <row r="1400" spans="1:12">
      <c r="A1400" s="53" t="s">
        <v>293</v>
      </c>
      <c r="B1400">
        <f>1/(0.0274*40.1)</f>
        <v>0.91013342556018706</v>
      </c>
      <c r="C1400" t="s">
        <v>104</v>
      </c>
      <c r="D1400" t="s">
        <v>17</v>
      </c>
      <c r="F1400" t="s">
        <v>18</v>
      </c>
      <c r="H1400" t="s">
        <v>294</v>
      </c>
    </row>
    <row r="1402" spans="1:12" ht="15.75">
      <c r="A1402" s="1" t="s">
        <v>0</v>
      </c>
      <c r="B1402" s="1" t="s">
        <v>295</v>
      </c>
      <c r="C1402" s="53"/>
      <c r="D1402" s="53"/>
      <c r="E1402" s="53"/>
      <c r="F1402" s="53"/>
      <c r="H1402" s="53"/>
    </row>
    <row r="1403" spans="1:12">
      <c r="A1403" s="53" t="s">
        <v>1</v>
      </c>
      <c r="B1403" s="53" t="s">
        <v>104</v>
      </c>
      <c r="C1403" s="53"/>
      <c r="D1403" s="53"/>
      <c r="E1403" s="53"/>
      <c r="F1403" s="53"/>
      <c r="H1403" s="53"/>
      <c r="I1403" s="53"/>
      <c r="J1403" s="53"/>
      <c r="K1403" s="53"/>
      <c r="L1403" s="53"/>
    </row>
    <row r="1404" spans="1:12">
      <c r="A1404" s="53" t="s">
        <v>2</v>
      </c>
      <c r="B1404" s="53">
        <v>1</v>
      </c>
      <c r="C1404" s="53"/>
      <c r="D1404" s="53"/>
      <c r="E1404" s="53"/>
      <c r="F1404" s="53"/>
      <c r="H1404" s="53"/>
      <c r="I1404" s="53"/>
      <c r="J1404" s="53"/>
      <c r="K1404" s="53"/>
      <c r="L1404" s="53"/>
    </row>
    <row r="1405" spans="1:12">
      <c r="A1405" s="53" t="s">
        <v>3</v>
      </c>
      <c r="B1405" s="53" t="s">
        <v>284</v>
      </c>
      <c r="C1405" s="53"/>
      <c r="D1405" s="53"/>
      <c r="E1405" s="53"/>
      <c r="F1405" s="53"/>
      <c r="H1405" s="53"/>
      <c r="I1405" s="53"/>
      <c r="J1405" s="53"/>
    </row>
    <row r="1406" spans="1:12">
      <c r="A1406" s="53" t="s">
        <v>4</v>
      </c>
      <c r="B1406" s="53" t="s">
        <v>5</v>
      </c>
      <c r="C1406" s="53"/>
      <c r="D1406" s="53"/>
      <c r="E1406" s="53"/>
      <c r="F1406" s="53"/>
      <c r="H1406" s="53"/>
      <c r="I1406" s="53"/>
      <c r="J1406" s="53"/>
      <c r="K1406" s="53"/>
      <c r="L1406" s="53"/>
    </row>
    <row r="1407" spans="1:12">
      <c r="A1407" s="53" t="s">
        <v>6</v>
      </c>
      <c r="B1407" s="53" t="s">
        <v>17</v>
      </c>
      <c r="C1407" s="53"/>
      <c r="D1407" s="53"/>
      <c r="E1407" s="53"/>
      <c r="F1407" s="53"/>
      <c r="H1407" s="53"/>
      <c r="I1407" s="53"/>
      <c r="J1407" s="53"/>
      <c r="K1407" s="53"/>
      <c r="L1407" s="53"/>
    </row>
    <row r="1408" spans="1:12" ht="15.75">
      <c r="A1408" s="1" t="s">
        <v>10</v>
      </c>
      <c r="B1408" s="53"/>
      <c r="C1408" s="53"/>
      <c r="D1408" s="53"/>
      <c r="E1408" s="53"/>
      <c r="F1408" s="53"/>
      <c r="H1408" s="53"/>
      <c r="I1408" s="53"/>
      <c r="J1408" s="53"/>
      <c r="K1408" s="53"/>
      <c r="L1408" s="53"/>
    </row>
    <row r="1409" spans="1:12">
      <c r="A1409" s="53" t="s">
        <v>11</v>
      </c>
      <c r="B1409" s="53" t="s">
        <v>12</v>
      </c>
      <c r="C1409" s="53" t="s">
        <v>1</v>
      </c>
      <c r="D1409" s="53" t="s">
        <v>6</v>
      </c>
      <c r="E1409" s="53" t="s">
        <v>13</v>
      </c>
      <c r="F1409" s="53" t="s">
        <v>4</v>
      </c>
      <c r="G1409" s="50" t="s">
        <v>9</v>
      </c>
      <c r="H1409" s="53" t="s">
        <v>3</v>
      </c>
      <c r="I1409" s="53"/>
      <c r="J1409" s="53"/>
      <c r="K1409" s="53"/>
    </row>
    <row r="1410" spans="1:12">
      <c r="A1410" s="53" t="str">
        <f>B1402</f>
        <v>heavy fuel oil, burned in industrial furnace 1MW</v>
      </c>
      <c r="B1410" s="53">
        <v>1</v>
      </c>
      <c r="C1410" s="53" t="str">
        <f>B1403</f>
        <v>CH</v>
      </c>
      <c r="D1410" s="53" t="str">
        <f>B1407</f>
        <v>megajoule</v>
      </c>
      <c r="E1410" s="53"/>
      <c r="F1410" s="53" t="s">
        <v>15</v>
      </c>
      <c r="H1410" s="53" t="str">
        <f>B1405</f>
        <v>heat</v>
      </c>
      <c r="I1410" s="53"/>
      <c r="J1410" s="53"/>
      <c r="K1410" s="53"/>
      <c r="L1410" s="53"/>
    </row>
    <row r="1411" spans="1:12">
      <c r="A1411" s="53" t="s">
        <v>296</v>
      </c>
      <c r="B1411">
        <f>1/(0.0259*39)</f>
        <v>0.99000099000098996</v>
      </c>
      <c r="C1411" t="s">
        <v>104</v>
      </c>
      <c r="D1411" t="s">
        <v>17</v>
      </c>
      <c r="F1411" t="s">
        <v>18</v>
      </c>
      <c r="H1411" t="s">
        <v>294</v>
      </c>
    </row>
    <row r="1413" spans="1:12" ht="15.75">
      <c r="A1413" s="1" t="s">
        <v>0</v>
      </c>
      <c r="B1413" s="1" t="s">
        <v>297</v>
      </c>
      <c r="C1413" s="53"/>
      <c r="D1413" s="53"/>
      <c r="E1413" s="53"/>
      <c r="F1413" s="53"/>
      <c r="H1413" s="53"/>
    </row>
    <row r="1414" spans="1:12">
      <c r="A1414" s="53" t="s">
        <v>1</v>
      </c>
      <c r="B1414" s="53" t="s">
        <v>104</v>
      </c>
      <c r="C1414" s="53"/>
      <c r="D1414" s="53"/>
      <c r="E1414" s="53"/>
      <c r="F1414" s="53"/>
      <c r="H1414" s="53"/>
      <c r="I1414" s="53"/>
      <c r="J1414" s="53"/>
      <c r="K1414" s="53"/>
      <c r="L1414" s="53"/>
    </row>
    <row r="1415" spans="1:12">
      <c r="A1415" s="53" t="s">
        <v>2</v>
      </c>
      <c r="B1415" s="53">
        <v>1</v>
      </c>
      <c r="C1415" s="53"/>
      <c r="D1415" s="53"/>
      <c r="E1415" s="53"/>
      <c r="F1415" s="53"/>
      <c r="H1415" s="53"/>
      <c r="I1415" s="53"/>
      <c r="J1415" s="53"/>
      <c r="K1415" s="53"/>
      <c r="L1415" s="53"/>
    </row>
    <row r="1416" spans="1:12">
      <c r="A1416" s="53" t="s">
        <v>3</v>
      </c>
      <c r="B1416" s="53" t="s">
        <v>284</v>
      </c>
      <c r="C1416" s="53"/>
      <c r="D1416" s="53"/>
      <c r="E1416" s="53"/>
      <c r="F1416" s="53"/>
      <c r="H1416" s="53"/>
      <c r="I1416" s="53"/>
      <c r="J1416" s="53"/>
    </row>
    <row r="1417" spans="1:12">
      <c r="A1417" s="53" t="s">
        <v>4</v>
      </c>
      <c r="B1417" s="53" t="s">
        <v>5</v>
      </c>
      <c r="C1417" s="53"/>
      <c r="D1417" s="53"/>
      <c r="E1417" s="53"/>
      <c r="F1417" s="53"/>
      <c r="H1417" s="53"/>
      <c r="I1417" s="53"/>
      <c r="J1417" s="53"/>
      <c r="K1417" s="53"/>
      <c r="L1417" s="53"/>
    </row>
    <row r="1418" spans="1:12">
      <c r="A1418" s="53" t="s">
        <v>6</v>
      </c>
      <c r="B1418" s="53" t="s">
        <v>17</v>
      </c>
      <c r="C1418" s="53"/>
      <c r="D1418" s="53"/>
      <c r="E1418" s="53"/>
      <c r="F1418" s="53"/>
      <c r="H1418" s="53"/>
      <c r="I1418" s="53"/>
      <c r="J1418" s="53"/>
      <c r="K1418" s="53"/>
      <c r="L1418" s="53"/>
    </row>
    <row r="1419" spans="1:12" ht="15.75">
      <c r="A1419" s="1" t="s">
        <v>10</v>
      </c>
      <c r="B1419" s="53"/>
      <c r="C1419" s="53"/>
      <c r="D1419" s="53"/>
      <c r="E1419" s="53"/>
      <c r="F1419" s="53"/>
      <c r="H1419" s="53"/>
      <c r="I1419" s="53"/>
      <c r="J1419" s="53"/>
      <c r="K1419" s="53"/>
      <c r="L1419" s="53"/>
    </row>
    <row r="1420" spans="1:12">
      <c r="A1420" s="53" t="s">
        <v>11</v>
      </c>
      <c r="B1420" s="53" t="s">
        <v>12</v>
      </c>
      <c r="C1420" s="53" t="s">
        <v>1</v>
      </c>
      <c r="D1420" s="53" t="s">
        <v>6</v>
      </c>
      <c r="E1420" s="53" t="s">
        <v>13</v>
      </c>
      <c r="F1420" s="53" t="s">
        <v>4</v>
      </c>
      <c r="G1420" s="50" t="s">
        <v>9</v>
      </c>
      <c r="H1420" s="53" t="s">
        <v>3</v>
      </c>
      <c r="I1420" s="53"/>
      <c r="J1420" s="53"/>
      <c r="K1420" s="53"/>
    </row>
    <row r="1421" spans="1:12">
      <c r="A1421" s="53" t="str">
        <f>B1413</f>
        <v>natural gas, burned in industrial furnace &gt;100kW</v>
      </c>
      <c r="B1421" s="53">
        <v>1</v>
      </c>
      <c r="C1421" s="53" t="str">
        <f>B1414</f>
        <v>CH</v>
      </c>
      <c r="D1421" s="53" t="str">
        <f>B1418</f>
        <v>megajoule</v>
      </c>
      <c r="E1421" s="53"/>
      <c r="F1421" s="53" t="s">
        <v>15</v>
      </c>
      <c r="H1421" s="53" t="str">
        <f>B1416</f>
        <v>heat</v>
      </c>
      <c r="I1421" s="53"/>
      <c r="J1421" s="53"/>
      <c r="K1421" s="53"/>
      <c r="L1421" s="53"/>
    </row>
    <row r="1422" spans="1:12">
      <c r="A1422" s="53" t="s">
        <v>298</v>
      </c>
      <c r="B1422">
        <f>1/(0.027*36)</f>
        <v>1.0288065843621399</v>
      </c>
      <c r="C1422" t="s">
        <v>270</v>
      </c>
      <c r="D1422" t="s">
        <v>17</v>
      </c>
      <c r="F1422" t="s">
        <v>18</v>
      </c>
      <c r="H1422" t="s">
        <v>186</v>
      </c>
    </row>
    <row r="1423" spans="1:12">
      <c r="B1423"/>
    </row>
    <row r="1424" spans="1:12" ht="15.75">
      <c r="A1424" s="1" t="s">
        <v>0</v>
      </c>
      <c r="B1424" s="1" t="s">
        <v>299</v>
      </c>
      <c r="C1424" s="53"/>
      <c r="D1424" s="53"/>
      <c r="E1424" s="53"/>
      <c r="F1424" s="53"/>
      <c r="H1424" s="53"/>
    </row>
    <row r="1425" spans="1:12">
      <c r="A1425" s="53" t="s">
        <v>1</v>
      </c>
      <c r="B1425" s="53" t="s">
        <v>104</v>
      </c>
      <c r="C1425" s="53"/>
      <c r="D1425" s="53"/>
      <c r="E1425" s="53"/>
      <c r="F1425" s="53"/>
      <c r="H1425" s="53"/>
      <c r="I1425" s="53"/>
      <c r="J1425" s="53"/>
      <c r="K1425" s="53"/>
      <c r="L1425" s="53"/>
    </row>
    <row r="1426" spans="1:12">
      <c r="A1426" s="53" t="s">
        <v>2</v>
      </c>
      <c r="B1426" s="53">
        <v>1</v>
      </c>
      <c r="C1426" s="53"/>
      <c r="D1426" s="53"/>
      <c r="E1426" s="53"/>
      <c r="F1426" s="53"/>
      <c r="H1426" s="53"/>
      <c r="I1426" s="53"/>
      <c r="J1426" s="53"/>
      <c r="K1426" s="53"/>
      <c r="L1426" s="53"/>
    </row>
    <row r="1427" spans="1:12">
      <c r="A1427" s="53" t="s">
        <v>3</v>
      </c>
      <c r="B1427" s="53" t="s">
        <v>284</v>
      </c>
      <c r="C1427" s="53"/>
      <c r="D1427" s="53"/>
      <c r="E1427" s="53"/>
      <c r="F1427" s="53"/>
      <c r="H1427" s="53"/>
      <c r="I1427" s="53"/>
      <c r="J1427" s="53"/>
    </row>
    <row r="1428" spans="1:12">
      <c r="A1428" s="53" t="s">
        <v>4</v>
      </c>
      <c r="B1428" s="53" t="s">
        <v>5</v>
      </c>
      <c r="C1428" s="53"/>
      <c r="D1428" s="53"/>
      <c r="E1428" s="53"/>
      <c r="F1428" s="53"/>
      <c r="H1428" s="53"/>
      <c r="I1428" s="53"/>
      <c r="J1428" s="53"/>
      <c r="K1428" s="53"/>
      <c r="L1428" s="53"/>
    </row>
    <row r="1429" spans="1:12">
      <c r="A1429" s="53" t="s">
        <v>6</v>
      </c>
      <c r="B1429" s="53" t="s">
        <v>17</v>
      </c>
      <c r="C1429" s="53"/>
      <c r="D1429" s="53"/>
      <c r="E1429" s="53"/>
      <c r="F1429" s="53"/>
      <c r="H1429" s="53"/>
      <c r="I1429" s="53"/>
      <c r="J1429" s="53"/>
      <c r="K1429" s="53"/>
      <c r="L1429" s="53"/>
    </row>
    <row r="1430" spans="1:12" ht="15.75">
      <c r="A1430" s="1" t="s">
        <v>10</v>
      </c>
      <c r="B1430" s="53"/>
      <c r="C1430" s="53"/>
      <c r="D1430" s="53"/>
      <c r="E1430" s="53"/>
      <c r="F1430" s="53"/>
      <c r="H1430" s="53"/>
      <c r="I1430" s="53"/>
      <c r="J1430" s="53"/>
      <c r="K1430" s="53"/>
      <c r="L1430" s="53"/>
    </row>
    <row r="1431" spans="1:12">
      <c r="A1431" s="53" t="s">
        <v>11</v>
      </c>
      <c r="B1431" s="53" t="s">
        <v>12</v>
      </c>
      <c r="C1431" s="53" t="s">
        <v>1</v>
      </c>
      <c r="D1431" s="53" t="s">
        <v>6</v>
      </c>
      <c r="E1431" s="53" t="s">
        <v>13</v>
      </c>
      <c r="F1431" s="53" t="s">
        <v>4</v>
      </c>
      <c r="G1431" s="50" t="s">
        <v>9</v>
      </c>
      <c r="H1431" s="53" t="s">
        <v>3</v>
      </c>
      <c r="I1431" s="53"/>
      <c r="J1431" s="53"/>
      <c r="K1431" s="53"/>
    </row>
    <row r="1432" spans="1:12">
      <c r="A1432" s="53" t="str">
        <f>B1424</f>
        <v>hard coal, burned in hard coal industrial furnace 1-10MW</v>
      </c>
      <c r="B1432" s="53">
        <v>1</v>
      </c>
      <c r="C1432" s="53" t="str">
        <f>B1425</f>
        <v>CH</v>
      </c>
      <c r="D1432" s="53" t="str">
        <f>B1429</f>
        <v>megajoule</v>
      </c>
      <c r="E1432" s="53"/>
      <c r="F1432" s="53" t="s">
        <v>15</v>
      </c>
      <c r="H1432" s="53" t="str">
        <f>B1427</f>
        <v>heat</v>
      </c>
      <c r="I1432" s="53"/>
      <c r="J1432" s="53"/>
      <c r="K1432" s="53"/>
      <c r="L1432" s="53"/>
    </row>
    <row r="1433" spans="1:12">
      <c r="A1433" s="53" t="s">
        <v>300</v>
      </c>
      <c r="B1433">
        <v>0.8</v>
      </c>
      <c r="C1433" t="s">
        <v>270</v>
      </c>
      <c r="D1433" t="s">
        <v>17</v>
      </c>
      <c r="F1433" t="s">
        <v>18</v>
      </c>
      <c r="H1433" t="s">
        <v>294</v>
      </c>
    </row>
    <row r="1434" spans="1:12">
      <c r="B1434"/>
    </row>
    <row r="1435" spans="1:12" ht="15.75">
      <c r="A1435" s="1" t="s">
        <v>0</v>
      </c>
      <c r="B1435" s="1" t="s">
        <v>301</v>
      </c>
      <c r="C1435" s="53"/>
      <c r="D1435" s="53"/>
      <c r="E1435" s="53"/>
      <c r="F1435" s="53"/>
      <c r="H1435" s="53"/>
    </row>
    <row r="1436" spans="1:12">
      <c r="A1436" s="53" t="s">
        <v>1</v>
      </c>
      <c r="B1436" s="53" t="s">
        <v>104</v>
      </c>
      <c r="C1436" s="53"/>
      <c r="D1436" s="53"/>
      <c r="E1436" s="53"/>
      <c r="F1436" s="53"/>
      <c r="H1436" s="53"/>
      <c r="I1436" s="53"/>
      <c r="J1436" s="53"/>
      <c r="K1436" s="53"/>
      <c r="L1436" s="53"/>
    </row>
    <row r="1437" spans="1:12">
      <c r="A1437" s="53" t="s">
        <v>2</v>
      </c>
      <c r="B1437" s="53">
        <v>1</v>
      </c>
      <c r="C1437" s="53"/>
      <c r="D1437" s="53"/>
      <c r="E1437" s="53"/>
      <c r="F1437" s="53"/>
      <c r="H1437" s="53"/>
      <c r="I1437" s="53"/>
      <c r="J1437" s="53"/>
      <c r="K1437" s="53"/>
      <c r="L1437" s="53"/>
    </row>
    <row r="1438" spans="1:12">
      <c r="A1438" s="53" t="s">
        <v>3</v>
      </c>
      <c r="B1438" s="53" t="s">
        <v>284</v>
      </c>
      <c r="C1438" s="53"/>
      <c r="D1438" s="53"/>
      <c r="E1438" s="53"/>
      <c r="F1438" s="53"/>
      <c r="H1438" s="53"/>
      <c r="I1438" s="53"/>
      <c r="J1438" s="53"/>
    </row>
    <row r="1439" spans="1:12">
      <c r="A1439" s="53" t="s">
        <v>4</v>
      </c>
      <c r="B1439" s="53" t="s">
        <v>5</v>
      </c>
      <c r="C1439" s="53"/>
      <c r="D1439" s="53"/>
      <c r="E1439" s="53"/>
      <c r="F1439" s="53"/>
      <c r="H1439" s="53"/>
      <c r="I1439" s="53"/>
      <c r="J1439" s="53"/>
      <c r="K1439" s="53"/>
      <c r="L1439" s="53"/>
    </row>
    <row r="1440" spans="1:12">
      <c r="A1440" s="53" t="s">
        <v>6</v>
      </c>
      <c r="B1440" s="53" t="s">
        <v>17</v>
      </c>
      <c r="C1440" s="53"/>
      <c r="D1440" s="53"/>
      <c r="E1440" s="53"/>
      <c r="F1440" s="53"/>
      <c r="H1440" s="53"/>
      <c r="I1440" s="53"/>
      <c r="J1440" s="53"/>
      <c r="K1440" s="53"/>
      <c r="L1440" s="53"/>
    </row>
    <row r="1441" spans="1:12" ht="15.75">
      <c r="A1441" s="1" t="s">
        <v>10</v>
      </c>
      <c r="B1441" s="53"/>
      <c r="C1441" s="53"/>
      <c r="D1441" s="53"/>
      <c r="E1441" s="53"/>
      <c r="F1441" s="53"/>
      <c r="H1441" s="53"/>
      <c r="I1441" s="53"/>
      <c r="J1441" s="53"/>
      <c r="K1441" s="53"/>
      <c r="L1441" s="53"/>
    </row>
    <row r="1442" spans="1:12">
      <c r="A1442" s="53" t="s">
        <v>11</v>
      </c>
      <c r="B1442" s="53" t="s">
        <v>12</v>
      </c>
      <c r="C1442" s="53" t="s">
        <v>1</v>
      </c>
      <c r="D1442" s="53" t="s">
        <v>6</v>
      </c>
      <c r="E1442" s="53" t="s">
        <v>13</v>
      </c>
      <c r="F1442" s="53" t="s">
        <v>4</v>
      </c>
      <c r="G1442" s="50" t="s">
        <v>9</v>
      </c>
      <c r="H1442" s="53" t="s">
        <v>3</v>
      </c>
      <c r="I1442" s="53"/>
      <c r="J1442" s="53"/>
      <c r="K1442" s="53"/>
    </row>
    <row r="1443" spans="1:12">
      <c r="A1443" s="53" t="str">
        <f>B1435</f>
        <v>heat, from on-site industrial oil-fired CHP</v>
      </c>
      <c r="B1443" s="53">
        <v>1</v>
      </c>
      <c r="C1443" s="53" t="str">
        <f>B1436</f>
        <v>CH</v>
      </c>
      <c r="D1443" s="53" t="str">
        <f>B1440</f>
        <v>megajoule</v>
      </c>
      <c r="E1443" s="53"/>
      <c r="F1443" s="53" t="s">
        <v>15</v>
      </c>
      <c r="H1443" s="53" t="str">
        <f>B1438</f>
        <v>heat</v>
      </c>
      <c r="I1443" s="53"/>
      <c r="J1443" s="53"/>
      <c r="K1443" s="53"/>
      <c r="L1443" s="53"/>
    </row>
    <row r="1444" spans="1:12">
      <c r="A1444" s="53" t="s">
        <v>302</v>
      </c>
      <c r="B1444">
        <f>1/(0.0366*39)</f>
        <v>0.70057447106627435</v>
      </c>
      <c r="C1444" t="s">
        <v>328</v>
      </c>
      <c r="D1444" t="s">
        <v>17</v>
      </c>
      <c r="F1444" t="s">
        <v>18</v>
      </c>
      <c r="H1444" t="s">
        <v>294</v>
      </c>
    </row>
    <row r="1445" spans="1:12">
      <c r="B1445"/>
    </row>
    <row r="1446" spans="1:12" ht="15.75">
      <c r="A1446" s="1" t="s">
        <v>0</v>
      </c>
      <c r="B1446" s="1" t="s">
        <v>336</v>
      </c>
      <c r="C1446" s="53"/>
      <c r="D1446" s="53"/>
      <c r="E1446" s="53"/>
      <c r="F1446" s="53"/>
      <c r="H1446" s="53"/>
    </row>
    <row r="1447" spans="1:12">
      <c r="A1447" s="53" t="s">
        <v>1</v>
      </c>
      <c r="B1447" s="53" t="s">
        <v>104</v>
      </c>
      <c r="C1447" s="53"/>
      <c r="D1447" s="53"/>
      <c r="E1447" s="53"/>
      <c r="F1447" s="53"/>
      <c r="H1447" s="53"/>
      <c r="I1447" s="53"/>
      <c r="J1447" s="53"/>
      <c r="K1447" s="53"/>
      <c r="L1447" s="53"/>
    </row>
    <row r="1448" spans="1:12">
      <c r="A1448" s="53" t="s">
        <v>2</v>
      </c>
      <c r="B1448" s="53">
        <v>1</v>
      </c>
      <c r="C1448" s="53"/>
      <c r="D1448" s="53"/>
      <c r="E1448" s="53"/>
      <c r="F1448" s="53"/>
      <c r="H1448" s="53"/>
      <c r="I1448" s="53"/>
      <c r="J1448" s="53"/>
      <c r="K1448" s="53"/>
      <c r="L1448" s="53"/>
    </row>
    <row r="1449" spans="1:12">
      <c r="A1449" s="53" t="s">
        <v>3</v>
      </c>
      <c r="B1449" s="53" t="s">
        <v>284</v>
      </c>
      <c r="C1449" s="53"/>
      <c r="D1449" s="53"/>
      <c r="E1449" s="53"/>
      <c r="F1449" s="53"/>
      <c r="H1449" s="53"/>
      <c r="I1449" s="53"/>
      <c r="J1449" s="53"/>
    </row>
    <row r="1450" spans="1:12">
      <c r="A1450" s="53" t="s">
        <v>4</v>
      </c>
      <c r="B1450" s="53" t="s">
        <v>5</v>
      </c>
      <c r="C1450" s="53"/>
      <c r="D1450" s="53"/>
      <c r="E1450" s="53"/>
      <c r="F1450" s="53"/>
      <c r="H1450" s="53"/>
      <c r="I1450" s="53"/>
      <c r="J1450" s="53"/>
      <c r="K1450" s="53"/>
      <c r="L1450" s="53"/>
    </row>
    <row r="1451" spans="1:12">
      <c r="A1451" s="53" t="s">
        <v>6</v>
      </c>
      <c r="B1451" s="53" t="s">
        <v>17</v>
      </c>
      <c r="C1451" s="53"/>
      <c r="D1451" s="53"/>
      <c r="E1451" s="53"/>
      <c r="F1451" s="53"/>
      <c r="H1451" s="53"/>
      <c r="I1451" s="53"/>
      <c r="J1451" s="53"/>
      <c r="K1451" s="53"/>
      <c r="L1451" s="53"/>
    </row>
    <row r="1452" spans="1:12" ht="15.75">
      <c r="A1452" s="1" t="s">
        <v>10</v>
      </c>
      <c r="B1452" s="53"/>
      <c r="C1452" s="53"/>
      <c r="D1452" s="53"/>
      <c r="E1452" s="53"/>
      <c r="F1452" s="53"/>
      <c r="H1452" s="53"/>
      <c r="I1452" s="53"/>
      <c r="J1452" s="53"/>
      <c r="K1452" s="53"/>
      <c r="L1452" s="53"/>
    </row>
    <row r="1453" spans="1:12">
      <c r="A1453" s="53" t="s">
        <v>11</v>
      </c>
      <c r="B1453" s="53" t="s">
        <v>12</v>
      </c>
      <c r="C1453" s="53" t="s">
        <v>1</v>
      </c>
      <c r="D1453" s="53" t="s">
        <v>6</v>
      </c>
      <c r="E1453" s="53" t="s">
        <v>13</v>
      </c>
      <c r="F1453" s="53" t="s">
        <v>4</v>
      </c>
      <c r="G1453" s="50" t="s">
        <v>9</v>
      </c>
      <c r="H1453" s="53" t="s">
        <v>3</v>
      </c>
      <c r="I1453" s="53"/>
      <c r="J1453" s="53"/>
      <c r="K1453" s="53"/>
    </row>
    <row r="1454" spans="1:12">
      <c r="A1454" s="53" t="str">
        <f>B1446</f>
        <v>heat, from on-site industrial biogas-fired CHP</v>
      </c>
      <c r="B1454" s="53">
        <v>1</v>
      </c>
      <c r="C1454" s="53" t="str">
        <f>B1447</f>
        <v>CH</v>
      </c>
      <c r="D1454" s="53" t="str">
        <f>B1451</f>
        <v>megajoule</v>
      </c>
      <c r="E1454" s="53"/>
      <c r="F1454" s="53" t="s">
        <v>15</v>
      </c>
      <c r="H1454" s="53" t="str">
        <f>B1449</f>
        <v>heat</v>
      </c>
      <c r="I1454" s="53"/>
      <c r="J1454" s="53"/>
      <c r="K1454" s="53"/>
      <c r="L1454" s="53"/>
    </row>
    <row r="1455" spans="1:12">
      <c r="A1455" s="53" t="s">
        <v>337</v>
      </c>
      <c r="B1455">
        <f>1/(0.016231*22.73)</f>
        <v>2.7105366664730441</v>
      </c>
      <c r="C1455" t="s">
        <v>104</v>
      </c>
      <c r="D1455" t="s">
        <v>17</v>
      </c>
      <c r="F1455" t="s">
        <v>18</v>
      </c>
      <c r="H1455" t="s">
        <v>317</v>
      </c>
    </row>
    <row r="1456" spans="1:12">
      <c r="B1456"/>
    </row>
    <row r="1457" spans="1:12" ht="15.75">
      <c r="A1457" s="1" t="s">
        <v>0</v>
      </c>
      <c r="B1457" s="1" t="s">
        <v>303</v>
      </c>
      <c r="C1457" s="53"/>
      <c r="D1457" s="53"/>
      <c r="E1457" s="53"/>
      <c r="F1457" s="53"/>
      <c r="H1457" s="53"/>
    </row>
    <row r="1458" spans="1:12">
      <c r="A1458" s="53" t="s">
        <v>1</v>
      </c>
      <c r="B1458" s="53" t="s">
        <v>104</v>
      </c>
      <c r="C1458" s="53"/>
      <c r="D1458" s="53"/>
      <c r="E1458" s="53"/>
      <c r="F1458" s="53"/>
      <c r="H1458" s="53"/>
      <c r="I1458" s="53"/>
      <c r="J1458" s="53"/>
      <c r="K1458" s="53"/>
      <c r="L1458" s="53"/>
    </row>
    <row r="1459" spans="1:12">
      <c r="A1459" s="53" t="s">
        <v>2</v>
      </c>
      <c r="B1459" s="53">
        <v>1</v>
      </c>
      <c r="C1459" s="53"/>
      <c r="D1459" s="53"/>
      <c r="E1459" s="53"/>
      <c r="F1459" s="53"/>
      <c r="H1459" s="53"/>
      <c r="I1459" s="53"/>
      <c r="J1459" s="53"/>
      <c r="K1459" s="53"/>
      <c r="L1459" s="53"/>
    </row>
    <row r="1460" spans="1:12">
      <c r="A1460" s="53" t="s">
        <v>3</v>
      </c>
      <c r="B1460" s="53" t="s">
        <v>284</v>
      </c>
      <c r="C1460" s="53"/>
      <c r="D1460" s="53"/>
      <c r="E1460" s="53"/>
      <c r="F1460" s="53"/>
      <c r="H1460" s="53"/>
      <c r="I1460" s="53"/>
      <c r="J1460" s="53"/>
    </row>
    <row r="1461" spans="1:12">
      <c r="A1461" s="53" t="s">
        <v>4</v>
      </c>
      <c r="B1461" s="53" t="s">
        <v>5</v>
      </c>
      <c r="C1461" s="53"/>
      <c r="D1461" s="53"/>
      <c r="E1461" s="53"/>
      <c r="F1461" s="53"/>
      <c r="H1461" s="53"/>
      <c r="I1461" s="53"/>
      <c r="J1461" s="53"/>
      <c r="K1461" s="53"/>
      <c r="L1461" s="53"/>
    </row>
    <row r="1462" spans="1:12">
      <c r="A1462" s="53" t="s">
        <v>6</v>
      </c>
      <c r="B1462" s="53" t="s">
        <v>17</v>
      </c>
      <c r="C1462" s="53"/>
      <c r="D1462" s="53"/>
      <c r="E1462" s="53"/>
      <c r="F1462" s="53"/>
      <c r="H1462" s="53"/>
      <c r="I1462" s="53"/>
      <c r="J1462" s="53"/>
      <c r="K1462" s="53"/>
      <c r="L1462" s="53"/>
    </row>
    <row r="1463" spans="1:12" ht="15.75">
      <c r="A1463" s="1" t="s">
        <v>10</v>
      </c>
      <c r="B1463" s="53"/>
      <c r="C1463" s="53"/>
      <c r="D1463" s="53"/>
      <c r="E1463" s="53"/>
      <c r="F1463" s="53"/>
      <c r="H1463" s="53"/>
      <c r="I1463" s="53"/>
      <c r="J1463" s="53"/>
      <c r="K1463" s="53"/>
      <c r="L1463" s="53"/>
    </row>
    <row r="1464" spans="1:12">
      <c r="A1464" s="53" t="s">
        <v>11</v>
      </c>
      <c r="B1464" s="53" t="s">
        <v>12</v>
      </c>
      <c r="C1464" s="53" t="s">
        <v>1</v>
      </c>
      <c r="D1464" s="53" t="s">
        <v>6</v>
      </c>
      <c r="E1464" s="53" t="s">
        <v>13</v>
      </c>
      <c r="F1464" s="53" t="s">
        <v>4</v>
      </c>
      <c r="G1464" s="50" t="s">
        <v>9</v>
      </c>
      <c r="H1464" s="53" t="s">
        <v>3</v>
      </c>
      <c r="I1464" s="53"/>
      <c r="J1464" s="53"/>
      <c r="K1464" s="53"/>
    </row>
    <row r="1465" spans="1:12">
      <c r="A1465" s="53" t="str">
        <f>B1457</f>
        <v>heat, from on-site industrial gas-fired CHP</v>
      </c>
      <c r="B1465" s="53">
        <v>1</v>
      </c>
      <c r="C1465" s="53" t="str">
        <f>B1458</f>
        <v>CH</v>
      </c>
      <c r="D1465" s="53" t="str">
        <f>B1462</f>
        <v>megajoule</v>
      </c>
      <c r="E1465" s="53"/>
      <c r="F1465" s="53" t="s">
        <v>15</v>
      </c>
      <c r="H1465" s="53" t="str">
        <f>B1460</f>
        <v>heat</v>
      </c>
      <c r="I1465" s="53"/>
      <c r="J1465" s="53"/>
      <c r="K1465" s="53"/>
      <c r="L1465" s="53"/>
    </row>
    <row r="1466" spans="1:12">
      <c r="A1466" s="53" t="s">
        <v>304</v>
      </c>
      <c r="B1466">
        <f>1/(0.0095*36)</f>
        <v>2.9239766081871346</v>
      </c>
      <c r="C1466" t="s">
        <v>104</v>
      </c>
      <c r="D1466" t="s">
        <v>17</v>
      </c>
      <c r="F1466" t="s">
        <v>18</v>
      </c>
      <c r="H1466" t="s">
        <v>186</v>
      </c>
    </row>
    <row r="1467" spans="1:12">
      <c r="B1467"/>
    </row>
    <row r="1468" spans="1:12" ht="15.75">
      <c r="A1468" s="1" t="s">
        <v>0</v>
      </c>
      <c r="B1468" s="1" t="s">
        <v>305</v>
      </c>
      <c r="C1468" s="53"/>
      <c r="D1468" s="53"/>
      <c r="E1468" s="53"/>
      <c r="F1468" s="53"/>
      <c r="H1468" s="53"/>
    </row>
    <row r="1469" spans="1:12">
      <c r="A1469" s="53" t="s">
        <v>1</v>
      </c>
      <c r="B1469" s="53" t="s">
        <v>104</v>
      </c>
      <c r="C1469" s="53"/>
      <c r="D1469" s="53"/>
      <c r="E1469" s="53"/>
      <c r="F1469" s="53"/>
      <c r="H1469" s="53"/>
      <c r="I1469" s="53"/>
      <c r="J1469" s="53"/>
      <c r="K1469" s="53"/>
      <c r="L1469" s="53"/>
    </row>
    <row r="1470" spans="1:12">
      <c r="A1470" s="53" t="s">
        <v>2</v>
      </c>
      <c r="B1470" s="53">
        <v>1</v>
      </c>
      <c r="C1470" s="53"/>
      <c r="D1470" s="53"/>
      <c r="E1470" s="53"/>
      <c r="F1470" s="53"/>
      <c r="H1470" s="53"/>
      <c r="I1470" s="53"/>
      <c r="J1470" s="53"/>
      <c r="K1470" s="53"/>
      <c r="L1470" s="53"/>
    </row>
    <row r="1471" spans="1:12">
      <c r="A1471" s="53" t="s">
        <v>3</v>
      </c>
      <c r="B1471" s="53" t="s">
        <v>284</v>
      </c>
      <c r="C1471" s="53"/>
      <c r="D1471" s="53"/>
      <c r="E1471" s="53"/>
      <c r="F1471" s="53"/>
      <c r="H1471" s="53"/>
      <c r="I1471" s="53"/>
      <c r="J1471" s="53"/>
    </row>
    <row r="1472" spans="1:12">
      <c r="A1472" s="53" t="s">
        <v>4</v>
      </c>
      <c r="B1472" s="53" t="s">
        <v>5</v>
      </c>
      <c r="C1472" s="53"/>
      <c r="D1472" s="53"/>
      <c r="E1472" s="53"/>
      <c r="F1472" s="53"/>
      <c r="H1472" s="53"/>
      <c r="I1472" s="53"/>
      <c r="J1472" s="53"/>
      <c r="K1472" s="53"/>
      <c r="L1472" s="53"/>
    </row>
    <row r="1473" spans="1:12">
      <c r="A1473" s="53" t="s">
        <v>6</v>
      </c>
      <c r="B1473" s="53" t="s">
        <v>17</v>
      </c>
      <c r="C1473" s="53"/>
      <c r="D1473" s="53"/>
      <c r="E1473" s="53"/>
      <c r="F1473" s="53"/>
      <c r="H1473" s="53"/>
      <c r="I1473" s="53"/>
      <c r="J1473" s="53"/>
      <c r="K1473" s="53"/>
      <c r="L1473" s="53"/>
    </row>
    <row r="1474" spans="1:12" ht="15.75">
      <c r="A1474" s="1" t="s">
        <v>10</v>
      </c>
      <c r="B1474" s="53"/>
      <c r="C1474" s="53"/>
      <c r="D1474" s="53"/>
      <c r="E1474" s="53"/>
      <c r="F1474" s="53"/>
      <c r="H1474" s="53"/>
      <c r="I1474" s="53"/>
      <c r="J1474" s="53"/>
      <c r="K1474" s="53"/>
      <c r="L1474" s="53"/>
    </row>
    <row r="1475" spans="1:12">
      <c r="A1475" s="53" t="s">
        <v>11</v>
      </c>
      <c r="B1475" s="53" t="s">
        <v>12</v>
      </c>
      <c r="C1475" s="53" t="s">
        <v>1</v>
      </c>
      <c r="D1475" s="53" t="s">
        <v>6</v>
      </c>
      <c r="E1475" s="53" t="s">
        <v>13</v>
      </c>
      <c r="F1475" s="53" t="s">
        <v>4</v>
      </c>
      <c r="G1475" s="50" t="s">
        <v>9</v>
      </c>
      <c r="H1475" s="53" t="s">
        <v>3</v>
      </c>
      <c r="I1475" s="53"/>
      <c r="J1475" s="53"/>
      <c r="K1475" s="53"/>
    </row>
    <row r="1476" spans="1:12">
      <c r="A1476" s="53" t="str">
        <f>B1468</f>
        <v>heat, from on-site industrial gas-fired CHP with CCS</v>
      </c>
      <c r="B1476" s="53">
        <v>1</v>
      </c>
      <c r="C1476" s="53" t="str">
        <f>B1469</f>
        <v>CH</v>
      </c>
      <c r="D1476" s="53" t="str">
        <f>B1473</f>
        <v>megajoule</v>
      </c>
      <c r="E1476" s="53"/>
      <c r="F1476" s="53" t="s">
        <v>15</v>
      </c>
      <c r="H1476" s="53" t="str">
        <f>B1471</f>
        <v>heat</v>
      </c>
      <c r="I1476" s="53"/>
      <c r="J1476" s="53"/>
      <c r="K1476" s="53"/>
      <c r="L1476" s="53"/>
    </row>
    <row r="1477" spans="1:12">
      <c r="A1477" s="53" t="s">
        <v>306</v>
      </c>
      <c r="B1477">
        <f>1/(0.011726*1.08*36)</f>
        <v>2.1934303777122204</v>
      </c>
      <c r="C1477" t="s">
        <v>103</v>
      </c>
      <c r="D1477" t="s">
        <v>17</v>
      </c>
      <c r="F1477" t="s">
        <v>18</v>
      </c>
      <c r="H1477" t="s">
        <v>186</v>
      </c>
    </row>
    <row r="1478" spans="1:12">
      <c r="B1478"/>
    </row>
    <row r="1479" spans="1:12" ht="15.75">
      <c r="A1479" s="1" t="s">
        <v>0</v>
      </c>
      <c r="B1479" s="1" t="s">
        <v>307</v>
      </c>
      <c r="C1479" s="53"/>
      <c r="D1479" s="53"/>
      <c r="E1479" s="53"/>
      <c r="F1479" s="53"/>
      <c r="H1479" s="53"/>
    </row>
    <row r="1480" spans="1:12">
      <c r="A1480" s="53" t="s">
        <v>1</v>
      </c>
      <c r="B1480" s="53" t="s">
        <v>104</v>
      </c>
      <c r="C1480" s="53"/>
      <c r="D1480" s="53"/>
      <c r="E1480" s="53"/>
      <c r="F1480" s="53"/>
      <c r="H1480" s="53"/>
      <c r="I1480" s="53"/>
      <c r="J1480" s="53"/>
      <c r="K1480" s="53"/>
      <c r="L1480" s="53"/>
    </row>
    <row r="1481" spans="1:12">
      <c r="A1481" s="53" t="s">
        <v>2</v>
      </c>
      <c r="B1481" s="53">
        <v>1</v>
      </c>
      <c r="C1481" s="53"/>
      <c r="D1481" s="53"/>
      <c r="E1481" s="53"/>
      <c r="F1481" s="53"/>
      <c r="H1481" s="53"/>
      <c r="I1481" s="53"/>
      <c r="J1481" s="53"/>
      <c r="K1481" s="53"/>
      <c r="L1481" s="53"/>
    </row>
    <row r="1482" spans="1:12">
      <c r="A1482" s="53" t="s">
        <v>3</v>
      </c>
      <c r="B1482" s="53" t="s">
        <v>284</v>
      </c>
      <c r="C1482" s="53"/>
      <c r="D1482" s="53"/>
      <c r="E1482" s="53"/>
      <c r="F1482" s="53"/>
      <c r="H1482" s="53"/>
      <c r="I1482" s="53"/>
      <c r="J1482" s="53"/>
    </row>
    <row r="1483" spans="1:12">
      <c r="A1483" s="53" t="s">
        <v>4</v>
      </c>
      <c r="B1483" s="53" t="s">
        <v>5</v>
      </c>
      <c r="C1483" s="53"/>
      <c r="D1483" s="53"/>
      <c r="E1483" s="53"/>
      <c r="F1483" s="53"/>
      <c r="H1483" s="53"/>
      <c r="I1483" s="53"/>
      <c r="J1483" s="53"/>
      <c r="K1483" s="53"/>
      <c r="L1483" s="53"/>
    </row>
    <row r="1484" spans="1:12">
      <c r="A1484" s="53" t="s">
        <v>6</v>
      </c>
      <c r="B1484" s="53" t="s">
        <v>17</v>
      </c>
      <c r="C1484" s="53"/>
      <c r="D1484" s="53"/>
      <c r="E1484" s="53"/>
      <c r="F1484" s="53"/>
      <c r="H1484" s="53"/>
      <c r="I1484" s="53"/>
      <c r="J1484" s="53"/>
      <c r="K1484" s="53"/>
      <c r="L1484" s="53"/>
    </row>
    <row r="1485" spans="1:12" ht="15.75">
      <c r="A1485" s="1" t="s">
        <v>10</v>
      </c>
      <c r="B1485" s="53"/>
      <c r="C1485" s="53"/>
      <c r="D1485" s="53"/>
      <c r="E1485" s="53"/>
      <c r="F1485" s="53"/>
      <c r="H1485" s="53"/>
      <c r="I1485" s="53"/>
      <c r="J1485" s="53"/>
      <c r="K1485" s="53"/>
      <c r="L1485" s="53"/>
    </row>
    <row r="1486" spans="1:12">
      <c r="A1486" s="53" t="s">
        <v>11</v>
      </c>
      <c r="B1486" s="53" t="s">
        <v>12</v>
      </c>
      <c r="C1486" s="53" t="s">
        <v>1</v>
      </c>
      <c r="D1486" s="53" t="s">
        <v>6</v>
      </c>
      <c r="E1486" s="53" t="s">
        <v>13</v>
      </c>
      <c r="F1486" s="53" t="s">
        <v>4</v>
      </c>
      <c r="G1486" s="50" t="s">
        <v>9</v>
      </c>
      <c r="H1486" s="53" t="s">
        <v>3</v>
      </c>
      <c r="I1486" s="53"/>
      <c r="J1486" s="53"/>
      <c r="K1486" s="53"/>
    </row>
    <row r="1487" spans="1:12">
      <c r="A1487" s="53" t="str">
        <f>B1479</f>
        <v>heat, from on-site industrial fuel cell CHP</v>
      </c>
      <c r="B1487" s="53">
        <v>1</v>
      </c>
      <c r="C1487" s="53" t="str">
        <f>B1480</f>
        <v>CH</v>
      </c>
      <c r="D1487" s="53" t="str">
        <f>B1484</f>
        <v>megajoule</v>
      </c>
      <c r="E1487" s="53"/>
      <c r="F1487" s="53" t="s">
        <v>15</v>
      </c>
      <c r="H1487" s="53" t="str">
        <f>B1482</f>
        <v>heat</v>
      </c>
      <c r="I1487" s="53"/>
      <c r="J1487" s="53"/>
      <c r="K1487" s="53"/>
      <c r="L1487" s="53"/>
    </row>
    <row r="1488" spans="1:12">
      <c r="A1488" s="53" t="s">
        <v>304</v>
      </c>
      <c r="B1488">
        <f>1/(0.0095*36)</f>
        <v>2.9239766081871346</v>
      </c>
      <c r="C1488" t="s">
        <v>104</v>
      </c>
      <c r="D1488" t="s">
        <v>17</v>
      </c>
      <c r="F1488" t="s">
        <v>18</v>
      </c>
      <c r="H1488" t="s">
        <v>186</v>
      </c>
    </row>
    <row r="1489" spans="1:12">
      <c r="B1489"/>
    </row>
    <row r="1490" spans="1:12" ht="15.75">
      <c r="A1490" s="1" t="s">
        <v>0</v>
      </c>
      <c r="B1490" s="1" t="s">
        <v>308</v>
      </c>
      <c r="C1490" s="53"/>
      <c r="D1490" s="53"/>
      <c r="E1490" s="53"/>
      <c r="F1490" s="53"/>
      <c r="H1490" s="53"/>
    </row>
    <row r="1491" spans="1:12">
      <c r="A1491" s="53" t="s">
        <v>1</v>
      </c>
      <c r="B1491" s="53" t="s">
        <v>104</v>
      </c>
      <c r="C1491" s="53"/>
      <c r="D1491" s="53"/>
      <c r="E1491" s="53"/>
      <c r="F1491" s="53"/>
      <c r="H1491" s="53"/>
      <c r="I1491" s="53"/>
      <c r="J1491" s="53"/>
      <c r="K1491" s="53"/>
      <c r="L1491" s="53"/>
    </row>
    <row r="1492" spans="1:12">
      <c r="A1492" s="53" t="s">
        <v>2</v>
      </c>
      <c r="B1492" s="53">
        <v>1</v>
      </c>
      <c r="C1492" s="53"/>
      <c r="D1492" s="53"/>
      <c r="E1492" s="53"/>
      <c r="F1492" s="53"/>
      <c r="H1492" s="53"/>
      <c r="I1492" s="53"/>
      <c r="J1492" s="53"/>
      <c r="K1492" s="53"/>
      <c r="L1492" s="53"/>
    </row>
    <row r="1493" spans="1:12">
      <c r="A1493" s="53" t="s">
        <v>3</v>
      </c>
      <c r="B1493" s="53" t="s">
        <v>284</v>
      </c>
      <c r="C1493" s="53"/>
      <c r="D1493" s="53"/>
      <c r="E1493" s="53"/>
      <c r="F1493" s="53"/>
      <c r="H1493" s="53"/>
      <c r="I1493" s="53"/>
      <c r="J1493" s="53"/>
    </row>
    <row r="1494" spans="1:12">
      <c r="A1494" s="53" t="s">
        <v>4</v>
      </c>
      <c r="B1494" s="53" t="s">
        <v>5</v>
      </c>
      <c r="C1494" s="53"/>
      <c r="D1494" s="53"/>
      <c r="E1494" s="53"/>
      <c r="F1494" s="53"/>
      <c r="H1494" s="53"/>
      <c r="I1494" s="53"/>
      <c r="J1494" s="53"/>
      <c r="K1494" s="53"/>
      <c r="L1494" s="53"/>
    </row>
    <row r="1495" spans="1:12">
      <c r="A1495" s="53" t="s">
        <v>6</v>
      </c>
      <c r="B1495" s="53" t="s">
        <v>17</v>
      </c>
      <c r="C1495" s="53"/>
      <c r="D1495" s="53"/>
      <c r="E1495" s="53"/>
      <c r="F1495" s="53"/>
      <c r="H1495" s="53"/>
      <c r="I1495" s="53"/>
      <c r="J1495" s="53"/>
      <c r="K1495" s="53"/>
      <c r="L1495" s="53"/>
    </row>
    <row r="1496" spans="1:12" ht="15.75">
      <c r="A1496" s="1" t="s">
        <v>10</v>
      </c>
      <c r="B1496" s="53"/>
      <c r="C1496" s="53"/>
      <c r="D1496" s="53"/>
      <c r="E1496" s="53"/>
      <c r="F1496" s="53"/>
      <c r="H1496" s="53"/>
      <c r="I1496" s="53"/>
      <c r="J1496" s="53"/>
      <c r="K1496" s="53"/>
      <c r="L1496" s="53"/>
    </row>
    <row r="1497" spans="1:12">
      <c r="A1497" s="53" t="s">
        <v>11</v>
      </c>
      <c r="B1497" s="53" t="s">
        <v>12</v>
      </c>
      <c r="C1497" s="53" t="s">
        <v>1</v>
      </c>
      <c r="D1497" s="53" t="s">
        <v>6</v>
      </c>
      <c r="E1497" s="53" t="s">
        <v>13</v>
      </c>
      <c r="F1497" s="53" t="s">
        <v>4</v>
      </c>
      <c r="G1497" s="50" t="s">
        <v>9</v>
      </c>
      <c r="H1497" s="53" t="s">
        <v>3</v>
      </c>
      <c r="I1497" s="53"/>
      <c r="J1497" s="53"/>
      <c r="K1497" s="53"/>
    </row>
    <row r="1498" spans="1:12">
      <c r="A1498" s="53" t="str">
        <f>B1490</f>
        <v>heat, from on-site industrial non-renewable waste-fired CHP</v>
      </c>
      <c r="B1498" s="53">
        <v>1</v>
      </c>
      <c r="C1498" s="53" t="str">
        <f>B1491</f>
        <v>CH</v>
      </c>
      <c r="D1498" s="53" t="str">
        <f>B1495</f>
        <v>megajoule</v>
      </c>
      <c r="E1498" s="53"/>
      <c r="F1498" s="53" t="s">
        <v>15</v>
      </c>
      <c r="H1498" s="53" t="str">
        <f>B1493</f>
        <v>heat</v>
      </c>
      <c r="I1498" s="53"/>
      <c r="J1498" s="53"/>
      <c r="K1498" s="53"/>
      <c r="L1498" s="53"/>
    </row>
    <row r="1499" spans="1:12">
      <c r="A1499" s="53" t="s">
        <v>122</v>
      </c>
      <c r="B1499">
        <f>1/6.1</f>
        <v>0.16393442622950821</v>
      </c>
      <c r="C1499" t="s">
        <v>104</v>
      </c>
      <c r="D1499" t="s">
        <v>17</v>
      </c>
      <c r="F1499" t="s">
        <v>18</v>
      </c>
      <c r="H1499" t="s">
        <v>123</v>
      </c>
    </row>
    <row r="1500" spans="1:12">
      <c r="B1500"/>
    </row>
    <row r="1501" spans="1:12" ht="15.75">
      <c r="A1501" s="1" t="s">
        <v>0</v>
      </c>
      <c r="B1501" s="1" t="s">
        <v>309</v>
      </c>
      <c r="C1501" s="53"/>
      <c r="D1501" s="53"/>
      <c r="E1501" s="53"/>
      <c r="F1501" s="53"/>
      <c r="H1501" s="53"/>
    </row>
    <row r="1502" spans="1:12">
      <c r="A1502" s="53" t="s">
        <v>1</v>
      </c>
      <c r="B1502" s="53" t="s">
        <v>104</v>
      </c>
      <c r="C1502" s="53"/>
      <c r="D1502" s="53"/>
      <c r="E1502" s="53"/>
      <c r="F1502" s="53"/>
      <c r="H1502" s="53"/>
      <c r="I1502" s="53"/>
      <c r="J1502" s="53"/>
      <c r="K1502" s="53"/>
      <c r="L1502" s="53"/>
    </row>
    <row r="1503" spans="1:12">
      <c r="A1503" s="53" t="s">
        <v>2</v>
      </c>
      <c r="B1503" s="53">
        <v>1</v>
      </c>
      <c r="C1503" s="53"/>
      <c r="D1503" s="53"/>
      <c r="E1503" s="53"/>
      <c r="F1503" s="53"/>
      <c r="H1503" s="53"/>
      <c r="I1503" s="53"/>
      <c r="J1503" s="53"/>
      <c r="K1503" s="53"/>
      <c r="L1503" s="53"/>
    </row>
    <row r="1504" spans="1:12">
      <c r="A1504" s="53" t="s">
        <v>3</v>
      </c>
      <c r="B1504" s="53" t="s">
        <v>284</v>
      </c>
      <c r="C1504" s="53"/>
      <c r="D1504" s="53"/>
      <c r="E1504" s="53"/>
      <c r="F1504" s="53"/>
      <c r="H1504" s="53"/>
      <c r="I1504" s="53"/>
      <c r="J1504" s="53"/>
    </row>
    <row r="1505" spans="1:12">
      <c r="A1505" s="53" t="s">
        <v>4</v>
      </c>
      <c r="B1505" s="53" t="s">
        <v>5</v>
      </c>
      <c r="C1505" s="53"/>
      <c r="D1505" s="53"/>
      <c r="E1505" s="53"/>
      <c r="F1505" s="53"/>
      <c r="H1505" s="53"/>
      <c r="I1505" s="53"/>
      <c r="J1505" s="53"/>
      <c r="K1505" s="53"/>
      <c r="L1505" s="53"/>
    </row>
    <row r="1506" spans="1:12">
      <c r="A1506" s="53" t="s">
        <v>6</v>
      </c>
      <c r="B1506" s="53" t="s">
        <v>17</v>
      </c>
      <c r="C1506" s="53"/>
      <c r="D1506" s="53"/>
      <c r="E1506" s="53"/>
      <c r="F1506" s="53"/>
      <c r="H1506" s="53"/>
      <c r="I1506" s="53"/>
      <c r="J1506" s="53"/>
      <c r="K1506" s="53"/>
      <c r="L1506" s="53"/>
    </row>
    <row r="1507" spans="1:12" ht="15.75">
      <c r="A1507" s="1" t="s">
        <v>10</v>
      </c>
      <c r="B1507" s="53"/>
      <c r="C1507" s="53"/>
      <c r="D1507" s="53"/>
      <c r="E1507" s="53"/>
      <c r="F1507" s="53"/>
      <c r="H1507" s="53"/>
      <c r="I1507" s="53"/>
      <c r="J1507" s="53"/>
      <c r="K1507" s="53"/>
      <c r="L1507" s="53"/>
    </row>
    <row r="1508" spans="1:12">
      <c r="A1508" s="53" t="s">
        <v>11</v>
      </c>
      <c r="B1508" s="53" t="s">
        <v>12</v>
      </c>
      <c r="C1508" s="53" t="s">
        <v>1</v>
      </c>
      <c r="D1508" s="53" t="s">
        <v>6</v>
      </c>
      <c r="E1508" s="53" t="s">
        <v>13</v>
      </c>
      <c r="F1508" s="53" t="s">
        <v>4</v>
      </c>
      <c r="G1508" s="50" t="s">
        <v>9</v>
      </c>
      <c r="H1508" s="53" t="s">
        <v>3</v>
      </c>
      <c r="I1508" s="53"/>
      <c r="J1508" s="53"/>
      <c r="K1508" s="53"/>
    </row>
    <row r="1509" spans="1:12">
      <c r="A1509" s="53" t="str">
        <f>B1501</f>
        <v>heat, from on-site industrial non-renewable waste-fired CHP with CCS</v>
      </c>
      <c r="B1509" s="53">
        <v>1</v>
      </c>
      <c r="C1509" s="53" t="str">
        <f>B1502</f>
        <v>CH</v>
      </c>
      <c r="D1509" s="53" t="str">
        <f>B1506</f>
        <v>megajoule</v>
      </c>
      <c r="E1509" s="53"/>
      <c r="F1509" s="53" t="s">
        <v>15</v>
      </c>
      <c r="H1509" s="53" t="str">
        <f>B1504</f>
        <v>heat</v>
      </c>
      <c r="I1509" s="53"/>
      <c r="J1509" s="53"/>
      <c r="K1509" s="53"/>
      <c r="L1509" s="53"/>
    </row>
    <row r="1510" spans="1:12">
      <c r="A1510" s="53" t="s">
        <v>140</v>
      </c>
      <c r="B1510">
        <f>1/6.7</f>
        <v>0.14925373134328357</v>
      </c>
      <c r="C1510" t="s">
        <v>104</v>
      </c>
      <c r="D1510" t="s">
        <v>17</v>
      </c>
      <c r="F1510" t="s">
        <v>18</v>
      </c>
      <c r="H1510" t="s">
        <v>142</v>
      </c>
    </row>
    <row r="1511" spans="1:12">
      <c r="B1511"/>
    </row>
    <row r="1512" spans="1:12" ht="15.75">
      <c r="A1512" s="1" t="s">
        <v>0</v>
      </c>
      <c r="B1512" s="1" t="s">
        <v>318</v>
      </c>
      <c r="C1512" s="53"/>
      <c r="D1512" s="53"/>
      <c r="E1512" s="53"/>
      <c r="F1512" s="53"/>
      <c r="H1512" s="53"/>
    </row>
    <row r="1513" spans="1:12">
      <c r="A1513" s="53" t="s">
        <v>1</v>
      </c>
      <c r="B1513" s="53" t="s">
        <v>104</v>
      </c>
      <c r="C1513" s="53"/>
      <c r="D1513" s="53"/>
      <c r="E1513" s="53"/>
      <c r="F1513" s="53"/>
      <c r="H1513" s="53"/>
      <c r="I1513" s="53"/>
      <c r="J1513" s="53"/>
      <c r="K1513" s="53"/>
      <c r="L1513" s="53"/>
    </row>
    <row r="1514" spans="1:12">
      <c r="A1514" s="53" t="s">
        <v>2</v>
      </c>
      <c r="B1514" s="53">
        <v>1</v>
      </c>
      <c r="C1514" s="53"/>
      <c r="D1514" s="53"/>
      <c r="E1514" s="53"/>
      <c r="F1514" s="53"/>
      <c r="H1514" s="53"/>
      <c r="I1514" s="53"/>
      <c r="J1514" s="53"/>
      <c r="K1514" s="53"/>
      <c r="L1514" s="53"/>
    </row>
    <row r="1515" spans="1:12">
      <c r="A1515" s="53" t="s">
        <v>3</v>
      </c>
      <c r="B1515" s="53" t="s">
        <v>284</v>
      </c>
      <c r="C1515" s="53"/>
      <c r="D1515" s="53"/>
      <c r="E1515" s="53"/>
      <c r="F1515" s="53"/>
      <c r="H1515" s="53"/>
      <c r="I1515" s="53"/>
      <c r="J1515" s="53"/>
    </row>
    <row r="1516" spans="1:12">
      <c r="A1516" s="53" t="s">
        <v>4</v>
      </c>
      <c r="B1516" s="53" t="s">
        <v>5</v>
      </c>
      <c r="C1516" s="53"/>
      <c r="D1516" s="53"/>
      <c r="E1516" s="53"/>
      <c r="F1516" s="53"/>
      <c r="H1516" s="53"/>
      <c r="I1516" s="53"/>
      <c r="J1516" s="53"/>
      <c r="K1516" s="53"/>
      <c r="L1516" s="53"/>
    </row>
    <row r="1517" spans="1:12">
      <c r="A1517" s="53" t="s">
        <v>6</v>
      </c>
      <c r="B1517" s="53" t="s">
        <v>17</v>
      </c>
      <c r="C1517" s="53"/>
      <c r="D1517" s="53"/>
      <c r="E1517" s="53"/>
      <c r="F1517" s="53"/>
      <c r="H1517" s="53"/>
      <c r="I1517" s="53"/>
      <c r="J1517" s="53"/>
      <c r="K1517" s="53"/>
      <c r="L1517" s="53"/>
    </row>
    <row r="1518" spans="1:12" ht="15.75">
      <c r="A1518" s="1" t="s">
        <v>10</v>
      </c>
      <c r="B1518" s="53"/>
      <c r="C1518" s="53"/>
      <c r="D1518" s="53"/>
      <c r="E1518" s="53"/>
      <c r="F1518" s="53"/>
      <c r="H1518" s="53"/>
      <c r="I1518" s="53"/>
      <c r="J1518" s="53"/>
      <c r="K1518" s="53"/>
      <c r="L1518" s="53"/>
    </row>
    <row r="1519" spans="1:12">
      <c r="A1519" s="53" t="s">
        <v>11</v>
      </c>
      <c r="B1519" s="53" t="s">
        <v>12</v>
      </c>
      <c r="C1519" s="53" t="s">
        <v>1</v>
      </c>
      <c r="D1519" s="53" t="s">
        <v>6</v>
      </c>
      <c r="E1519" s="53" t="s">
        <v>13</v>
      </c>
      <c r="F1519" s="53" t="s">
        <v>4</v>
      </c>
      <c r="G1519" s="50" t="s">
        <v>9</v>
      </c>
      <c r="H1519" s="53" t="s">
        <v>3</v>
      </c>
      <c r="I1519" s="53"/>
      <c r="J1519" s="53"/>
      <c r="K1519" s="53"/>
    </row>
    <row r="1520" spans="1:12">
      <c r="A1520" s="53" t="str">
        <f>B1512</f>
        <v>heat, from on-site industrial wood-fired CHP</v>
      </c>
      <c r="B1520" s="53">
        <v>1</v>
      </c>
      <c r="C1520" s="53" t="str">
        <f>B1513</f>
        <v>CH</v>
      </c>
      <c r="D1520" s="53" t="str">
        <f>B1517</f>
        <v>megajoule</v>
      </c>
      <c r="E1520" s="53"/>
      <c r="F1520" s="53" t="s">
        <v>15</v>
      </c>
      <c r="H1520" s="53" t="str">
        <f>B1515</f>
        <v>heat</v>
      </c>
      <c r="I1520" s="53"/>
      <c r="J1520" s="53"/>
      <c r="K1520" s="53"/>
      <c r="L1520" s="53"/>
    </row>
    <row r="1521" spans="1:12">
      <c r="A1521" s="53" t="s">
        <v>326</v>
      </c>
      <c r="B1521">
        <f>1/(0.0396618169378429*19.1)</f>
        <v>1.3200610810256006</v>
      </c>
      <c r="C1521" t="s">
        <v>104</v>
      </c>
      <c r="D1521" t="s">
        <v>17</v>
      </c>
      <c r="F1521" t="s">
        <v>18</v>
      </c>
      <c r="H1521" t="s">
        <v>294</v>
      </c>
    </row>
    <row r="1523" spans="1:12" ht="15.75">
      <c r="A1523" s="1" t="s">
        <v>0</v>
      </c>
      <c r="B1523" s="1" t="s">
        <v>320</v>
      </c>
      <c r="C1523" s="53"/>
      <c r="D1523" s="53"/>
      <c r="E1523" s="53"/>
      <c r="F1523" s="53"/>
      <c r="H1523" s="53"/>
    </row>
    <row r="1524" spans="1:12">
      <c r="A1524" s="53" t="s">
        <v>1</v>
      </c>
      <c r="B1524" s="53" t="s">
        <v>104</v>
      </c>
      <c r="C1524" s="53"/>
      <c r="D1524" s="53"/>
      <c r="E1524" s="53"/>
      <c r="F1524" s="53"/>
      <c r="H1524" s="53"/>
      <c r="I1524" s="53"/>
      <c r="J1524" s="53"/>
      <c r="K1524" s="53"/>
      <c r="L1524" s="53"/>
    </row>
    <row r="1525" spans="1:12">
      <c r="A1525" s="53" t="s">
        <v>2</v>
      </c>
      <c r="B1525" s="53">
        <v>1</v>
      </c>
      <c r="C1525" s="53"/>
      <c r="D1525" s="53"/>
      <c r="E1525" s="53"/>
      <c r="F1525" s="53"/>
      <c r="H1525" s="53"/>
      <c r="I1525" s="53"/>
      <c r="J1525" s="53"/>
      <c r="K1525" s="53"/>
      <c r="L1525" s="53"/>
    </row>
    <row r="1526" spans="1:12">
      <c r="A1526" s="53" t="s">
        <v>3</v>
      </c>
      <c r="B1526" s="53" t="s">
        <v>284</v>
      </c>
      <c r="C1526" s="53"/>
      <c r="D1526" s="53"/>
      <c r="E1526" s="53"/>
      <c r="F1526" s="53"/>
      <c r="H1526" s="53"/>
      <c r="I1526" s="53"/>
      <c r="J1526" s="53"/>
    </row>
    <row r="1527" spans="1:12">
      <c r="A1527" s="53" t="s">
        <v>4</v>
      </c>
      <c r="B1527" s="53" t="s">
        <v>5</v>
      </c>
      <c r="C1527" s="53"/>
      <c r="D1527" s="53"/>
      <c r="E1527" s="53"/>
      <c r="F1527" s="53"/>
      <c r="H1527" s="53"/>
      <c r="I1527" s="53"/>
      <c r="J1527" s="53"/>
      <c r="K1527" s="53"/>
      <c r="L1527" s="53"/>
    </row>
    <row r="1528" spans="1:12">
      <c r="A1528" s="53" t="s">
        <v>6</v>
      </c>
      <c r="B1528" s="53" t="s">
        <v>17</v>
      </c>
      <c r="C1528" s="53"/>
      <c r="D1528" s="53"/>
      <c r="E1528" s="53"/>
      <c r="F1528" s="53"/>
      <c r="H1528" s="53"/>
      <c r="I1528" s="53"/>
      <c r="J1528" s="53"/>
      <c r="K1528" s="53"/>
      <c r="L1528" s="53"/>
    </row>
    <row r="1529" spans="1:12" ht="15.75">
      <c r="A1529" s="1" t="s">
        <v>10</v>
      </c>
      <c r="B1529" s="53"/>
      <c r="C1529" s="53"/>
      <c r="D1529" s="53"/>
      <c r="E1529" s="53"/>
      <c r="F1529" s="53"/>
      <c r="H1529" s="53"/>
      <c r="I1529" s="53"/>
      <c r="J1529" s="53"/>
      <c r="K1529" s="53"/>
      <c r="L1529" s="53"/>
    </row>
    <row r="1530" spans="1:12">
      <c r="A1530" s="53" t="s">
        <v>11</v>
      </c>
      <c r="B1530" s="53" t="s">
        <v>12</v>
      </c>
      <c r="C1530" s="53" t="s">
        <v>1</v>
      </c>
      <c r="D1530" s="53" t="s">
        <v>6</v>
      </c>
      <c r="E1530" s="53" t="s">
        <v>13</v>
      </c>
      <c r="F1530" s="53" t="s">
        <v>4</v>
      </c>
      <c r="G1530" s="50" t="s">
        <v>9</v>
      </c>
      <c r="H1530" s="53" t="s">
        <v>3</v>
      </c>
      <c r="I1530" s="53"/>
      <c r="J1530" s="53"/>
      <c r="K1530" s="53"/>
    </row>
    <row r="1531" spans="1:12">
      <c r="A1531" s="53" t="str">
        <f>B1523</f>
        <v>heat, from on-site industrial wood-fired CHP with CCS</v>
      </c>
      <c r="B1531" s="53">
        <v>1</v>
      </c>
      <c r="C1531" s="53" t="str">
        <f>B1524</f>
        <v>CH</v>
      </c>
      <c r="D1531" s="53" t="str">
        <f>B1528</f>
        <v>megajoule</v>
      </c>
      <c r="E1531" s="53"/>
      <c r="F1531" s="53" t="s">
        <v>15</v>
      </c>
      <c r="H1531" s="53" t="str">
        <f>B1526</f>
        <v>heat</v>
      </c>
      <c r="I1531" s="53"/>
      <c r="J1531" s="53"/>
      <c r="K1531" s="53"/>
      <c r="L1531" s="53"/>
    </row>
    <row r="1532" spans="1:12">
      <c r="A1532" s="53" t="s">
        <v>310</v>
      </c>
      <c r="B1532">
        <f>1/(0.0396618169378429*19*1.1)</f>
        <v>1.2063716099324864</v>
      </c>
      <c r="C1532" t="s">
        <v>103</v>
      </c>
      <c r="D1532" t="s">
        <v>17</v>
      </c>
      <c r="F1532" t="s">
        <v>18</v>
      </c>
      <c r="H1532" t="s">
        <v>294</v>
      </c>
    </row>
    <row r="1534" spans="1:12" ht="15.75">
      <c r="A1534" s="1" t="s">
        <v>0</v>
      </c>
      <c r="B1534" s="1" t="s">
        <v>321</v>
      </c>
      <c r="C1534" s="53"/>
      <c r="D1534" s="53"/>
      <c r="E1534" s="53"/>
      <c r="F1534" s="53"/>
      <c r="H1534" s="53"/>
    </row>
    <row r="1535" spans="1:12">
      <c r="A1535" s="53" t="s">
        <v>1</v>
      </c>
      <c r="B1535" s="53" t="s">
        <v>104</v>
      </c>
      <c r="C1535" s="53"/>
      <c r="D1535" s="53"/>
      <c r="E1535" s="53"/>
      <c r="F1535" s="53"/>
      <c r="H1535" s="53"/>
      <c r="I1535" s="53"/>
      <c r="J1535" s="53"/>
      <c r="K1535" s="53"/>
      <c r="L1535" s="53"/>
    </row>
    <row r="1536" spans="1:12">
      <c r="A1536" s="53" t="s">
        <v>2</v>
      </c>
      <c r="B1536" s="53">
        <v>1</v>
      </c>
      <c r="C1536" s="53"/>
      <c r="D1536" s="53"/>
      <c r="E1536" s="53"/>
      <c r="F1536" s="53"/>
      <c r="H1536" s="53"/>
      <c r="I1536" s="53"/>
      <c r="J1536" s="53"/>
      <c r="K1536" s="53"/>
      <c r="L1536" s="53"/>
    </row>
    <row r="1537" spans="1:12">
      <c r="A1537" s="53" t="s">
        <v>3</v>
      </c>
      <c r="B1537" s="53" t="s">
        <v>284</v>
      </c>
      <c r="C1537" s="53"/>
      <c r="D1537" s="53"/>
      <c r="E1537" s="53"/>
      <c r="F1537" s="53"/>
      <c r="H1537" s="53"/>
      <c r="I1537" s="53"/>
      <c r="J1537" s="53"/>
    </row>
    <row r="1538" spans="1:12">
      <c r="A1538" s="53" t="s">
        <v>4</v>
      </c>
      <c r="B1538" s="53" t="s">
        <v>5</v>
      </c>
      <c r="C1538" s="53"/>
      <c r="D1538" s="53"/>
      <c r="E1538" s="53"/>
      <c r="F1538" s="53"/>
      <c r="H1538" s="53"/>
      <c r="I1538" s="53"/>
      <c r="J1538" s="53"/>
      <c r="K1538" s="53"/>
      <c r="L1538" s="53"/>
    </row>
    <row r="1539" spans="1:12">
      <c r="A1539" s="53" t="s">
        <v>6</v>
      </c>
      <c r="B1539" s="53" t="s">
        <v>17</v>
      </c>
      <c r="C1539" s="53"/>
      <c r="D1539" s="53"/>
      <c r="E1539" s="53"/>
      <c r="F1539" s="53"/>
      <c r="H1539" s="53"/>
      <c r="I1539" s="53"/>
      <c r="J1539" s="53"/>
      <c r="K1539" s="53"/>
      <c r="L1539" s="53"/>
    </row>
    <row r="1540" spans="1:12" ht="15.75">
      <c r="A1540" s="1" t="s">
        <v>10</v>
      </c>
      <c r="B1540" s="53"/>
      <c r="C1540" s="53"/>
      <c r="D1540" s="53"/>
      <c r="E1540" s="53"/>
      <c r="F1540" s="53"/>
      <c r="H1540" s="53"/>
      <c r="I1540" s="53"/>
      <c r="J1540" s="53"/>
      <c r="K1540" s="53"/>
      <c r="L1540" s="53"/>
    </row>
    <row r="1541" spans="1:12">
      <c r="A1541" s="53" t="s">
        <v>11</v>
      </c>
      <c r="B1541" s="53" t="s">
        <v>12</v>
      </c>
      <c r="C1541" s="53" t="s">
        <v>1</v>
      </c>
      <c r="D1541" s="53" t="s">
        <v>6</v>
      </c>
      <c r="E1541" s="53" t="s">
        <v>13</v>
      </c>
      <c r="F1541" s="53" t="s">
        <v>4</v>
      </c>
      <c r="G1541" s="50" t="s">
        <v>9</v>
      </c>
      <c r="H1541" s="53" t="s">
        <v>3</v>
      </c>
      <c r="I1541" s="53"/>
      <c r="J1541" s="53"/>
      <c r="K1541" s="53"/>
    </row>
    <row r="1542" spans="1:12">
      <c r="A1542" s="53" t="str">
        <f>B1534</f>
        <v>heat, from on-site industrial hydrogen-fired CHP</v>
      </c>
      <c r="B1542" s="53">
        <v>1</v>
      </c>
      <c r="C1542" s="53" t="str">
        <f>B1535</f>
        <v>CH</v>
      </c>
      <c r="D1542" s="53" t="str">
        <f>B1539</f>
        <v>megajoule</v>
      </c>
      <c r="E1542" s="53"/>
      <c r="F1542" s="53" t="s">
        <v>15</v>
      </c>
      <c r="H1542" s="53" t="str">
        <f>B1537</f>
        <v>heat</v>
      </c>
      <c r="I1542" s="53"/>
      <c r="J1542" s="53"/>
      <c r="K1542" s="53"/>
      <c r="L1542" s="53"/>
    </row>
    <row r="1543" spans="1:12">
      <c r="A1543" s="53" t="s">
        <v>311</v>
      </c>
      <c r="B1543">
        <f>1/(0.00167*120)</f>
        <v>4.9900199600798407</v>
      </c>
      <c r="C1543" t="s">
        <v>103</v>
      </c>
      <c r="D1543" t="s">
        <v>17</v>
      </c>
      <c r="F1543" t="s">
        <v>18</v>
      </c>
      <c r="H1543" t="s">
        <v>312</v>
      </c>
    </row>
    <row r="1545" spans="1:12" ht="15.75">
      <c r="A1545" s="1" t="s">
        <v>0</v>
      </c>
      <c r="B1545" s="1" t="s">
        <v>313</v>
      </c>
      <c r="C1545" s="53"/>
      <c r="D1545" s="53"/>
      <c r="E1545" s="53"/>
      <c r="F1545" s="53"/>
      <c r="H1545" s="53"/>
    </row>
    <row r="1546" spans="1:12">
      <c r="A1546" s="53" t="s">
        <v>1</v>
      </c>
      <c r="B1546" s="53" t="s">
        <v>104</v>
      </c>
      <c r="C1546" s="53"/>
      <c r="D1546" s="53"/>
      <c r="E1546" s="53"/>
      <c r="F1546" s="53"/>
      <c r="H1546" s="53"/>
      <c r="I1546" s="53"/>
      <c r="J1546" s="53"/>
      <c r="K1546" s="53"/>
      <c r="L1546" s="53"/>
    </row>
    <row r="1547" spans="1:12">
      <c r="A1547" s="53" t="s">
        <v>2</v>
      </c>
      <c r="B1547" s="53">
        <v>1</v>
      </c>
      <c r="C1547" s="53"/>
      <c r="D1547" s="53"/>
      <c r="E1547" s="53"/>
      <c r="F1547" s="53"/>
      <c r="H1547" s="53"/>
      <c r="I1547" s="53"/>
      <c r="J1547" s="53"/>
      <c r="K1547" s="53"/>
      <c r="L1547" s="53"/>
    </row>
    <row r="1548" spans="1:12">
      <c r="A1548" s="53" t="s">
        <v>3</v>
      </c>
      <c r="B1548" s="53" t="s">
        <v>284</v>
      </c>
      <c r="C1548" s="53"/>
      <c r="D1548" s="53"/>
      <c r="E1548" s="53"/>
      <c r="F1548" s="53"/>
      <c r="H1548" s="53"/>
      <c r="I1548" s="53"/>
      <c r="J1548" s="53"/>
    </row>
    <row r="1549" spans="1:12">
      <c r="A1549" s="53" t="s">
        <v>4</v>
      </c>
      <c r="B1549" s="53" t="s">
        <v>5</v>
      </c>
      <c r="C1549" s="53"/>
      <c r="D1549" s="53"/>
      <c r="E1549" s="53"/>
      <c r="F1549" s="53"/>
      <c r="H1549" s="53"/>
      <c r="I1549" s="53"/>
      <c r="J1549" s="53"/>
      <c r="K1549" s="53"/>
      <c r="L1549" s="53"/>
    </row>
    <row r="1550" spans="1:12">
      <c r="A1550" s="53" t="s">
        <v>6</v>
      </c>
      <c r="B1550" s="53" t="s">
        <v>17</v>
      </c>
      <c r="C1550" s="53"/>
      <c r="D1550" s="53"/>
      <c r="E1550" s="53"/>
      <c r="F1550" s="53"/>
      <c r="H1550" s="53"/>
      <c r="I1550" s="53"/>
      <c r="J1550" s="53"/>
      <c r="K1550" s="53"/>
      <c r="L1550" s="53"/>
    </row>
    <row r="1551" spans="1:12" ht="15.75">
      <c r="A1551" s="1" t="s">
        <v>10</v>
      </c>
      <c r="B1551" s="53"/>
      <c r="C1551" s="53"/>
      <c r="D1551" s="53"/>
      <c r="E1551" s="53"/>
      <c r="F1551" s="53"/>
      <c r="H1551" s="53"/>
      <c r="I1551" s="53"/>
      <c r="J1551" s="53"/>
      <c r="K1551" s="53"/>
      <c r="L1551" s="53"/>
    </row>
    <row r="1552" spans="1:12">
      <c r="A1552" s="53" t="s">
        <v>11</v>
      </c>
      <c r="B1552" s="53" t="s">
        <v>12</v>
      </c>
      <c r="C1552" s="53" t="s">
        <v>1</v>
      </c>
      <c r="D1552" s="53" t="s">
        <v>6</v>
      </c>
      <c r="E1552" s="53" t="s">
        <v>13</v>
      </c>
      <c r="F1552" s="53" t="s">
        <v>4</v>
      </c>
      <c r="G1552" s="50" t="s">
        <v>9</v>
      </c>
      <c r="H1552" s="53" t="s">
        <v>3</v>
      </c>
      <c r="I1552" s="53"/>
      <c r="J1552" s="53"/>
      <c r="K1552" s="53"/>
    </row>
    <row r="1553" spans="1:12">
      <c r="A1553" s="53" t="str">
        <f>B1545</f>
        <v>wood, burned in wood industrial furnace 1-10MW</v>
      </c>
      <c r="B1553" s="53">
        <v>1</v>
      </c>
      <c r="C1553" s="53" t="str">
        <f>B1546</f>
        <v>CH</v>
      </c>
      <c r="D1553" s="53" t="str">
        <f>B1550</f>
        <v>megajoule</v>
      </c>
      <c r="E1553" s="53"/>
      <c r="F1553" s="53" t="s">
        <v>15</v>
      </c>
      <c r="H1553" s="53" t="str">
        <f>B1548</f>
        <v>heat</v>
      </c>
      <c r="I1553" s="53"/>
      <c r="J1553" s="53"/>
      <c r="K1553" s="53"/>
      <c r="L1553" s="53"/>
    </row>
    <row r="1554" spans="1:12">
      <c r="A1554" s="53" t="s">
        <v>314</v>
      </c>
      <c r="B1554">
        <f>1/(0.0705467372134039*19.1)</f>
        <v>0.74214659685863837</v>
      </c>
      <c r="C1554" t="s">
        <v>104</v>
      </c>
      <c r="D1554" t="s">
        <v>17</v>
      </c>
      <c r="F1554" t="s">
        <v>18</v>
      </c>
      <c r="H1554" t="s">
        <v>294</v>
      </c>
    </row>
    <row r="1555" spans="1:12">
      <c r="B1555"/>
    </row>
    <row r="1556" spans="1:12" ht="15.75">
      <c r="A1556" s="1" t="s">
        <v>0</v>
      </c>
      <c r="B1556" s="1" t="s">
        <v>316</v>
      </c>
      <c r="C1556" s="53"/>
      <c r="D1556" s="53"/>
      <c r="E1556" s="53"/>
      <c r="F1556" s="53"/>
      <c r="H1556" s="53"/>
    </row>
    <row r="1557" spans="1:12">
      <c r="A1557" s="53" t="s">
        <v>1</v>
      </c>
      <c r="B1557" s="53" t="s">
        <v>104</v>
      </c>
      <c r="C1557" s="53"/>
      <c r="D1557" s="53"/>
      <c r="E1557" s="53"/>
      <c r="F1557" s="53"/>
      <c r="H1557" s="53"/>
      <c r="I1557" s="53"/>
      <c r="J1557" s="53"/>
      <c r="K1557" s="53"/>
      <c r="L1557" s="53"/>
    </row>
    <row r="1558" spans="1:12">
      <c r="A1558" s="53" t="s">
        <v>2</v>
      </c>
      <c r="B1558" s="53">
        <v>1</v>
      </c>
      <c r="C1558" s="53"/>
      <c r="D1558" s="53"/>
      <c r="E1558" s="53"/>
      <c r="F1558" s="53"/>
      <c r="H1558" s="53"/>
      <c r="I1558" s="53"/>
      <c r="J1558" s="53"/>
      <c r="K1558" s="53"/>
      <c r="L1558" s="53"/>
    </row>
    <row r="1559" spans="1:12">
      <c r="A1559" s="53" t="s">
        <v>3</v>
      </c>
      <c r="B1559" s="53" t="s">
        <v>284</v>
      </c>
      <c r="C1559" s="53"/>
      <c r="D1559" s="53"/>
      <c r="E1559" s="53"/>
      <c r="F1559" s="53"/>
      <c r="H1559" s="53"/>
      <c r="I1559" s="53"/>
      <c r="J1559" s="53"/>
    </row>
    <row r="1560" spans="1:12">
      <c r="A1560" s="53" t="s">
        <v>4</v>
      </c>
      <c r="B1560" s="53" t="s">
        <v>5</v>
      </c>
      <c r="C1560" s="53"/>
      <c r="D1560" s="53"/>
      <c r="E1560" s="53"/>
      <c r="F1560" s="53"/>
      <c r="H1560" s="53"/>
      <c r="I1560" s="53"/>
      <c r="J1560" s="53"/>
      <c r="K1560" s="53"/>
      <c r="L1560" s="53"/>
    </row>
    <row r="1561" spans="1:12">
      <c r="A1561" s="53" t="s">
        <v>6</v>
      </c>
      <c r="B1561" s="53" t="s">
        <v>17</v>
      </c>
      <c r="C1561" s="53"/>
      <c r="D1561" s="53"/>
      <c r="E1561" s="53"/>
      <c r="F1561" s="53"/>
      <c r="H1561" s="53"/>
      <c r="I1561" s="53"/>
      <c r="J1561" s="53"/>
      <c r="K1561" s="53"/>
      <c r="L1561" s="53"/>
    </row>
    <row r="1562" spans="1:12" ht="15.75">
      <c r="A1562" s="1" t="s">
        <v>10</v>
      </c>
      <c r="B1562" s="53"/>
      <c r="C1562" s="53"/>
      <c r="D1562" s="53"/>
      <c r="E1562" s="53"/>
      <c r="F1562" s="53"/>
      <c r="H1562" s="53"/>
      <c r="I1562" s="53"/>
      <c r="J1562" s="53"/>
      <c r="K1562" s="53"/>
      <c r="L1562" s="53"/>
    </row>
    <row r="1563" spans="1:12">
      <c r="A1563" s="53" t="s">
        <v>11</v>
      </c>
      <c r="B1563" s="53" t="s">
        <v>12</v>
      </c>
      <c r="C1563" s="53" t="s">
        <v>1</v>
      </c>
      <c r="D1563" s="53" t="s">
        <v>6</v>
      </c>
      <c r="E1563" s="53" t="s">
        <v>13</v>
      </c>
      <c r="F1563" s="53" t="s">
        <v>4</v>
      </c>
      <c r="G1563" s="50" t="s">
        <v>9</v>
      </c>
      <c r="H1563" s="53" t="s">
        <v>3</v>
      </c>
      <c r="I1563" s="53"/>
      <c r="J1563" s="53"/>
      <c r="K1563" s="53"/>
    </row>
    <row r="1564" spans="1:12">
      <c r="A1564" s="53" t="str">
        <f>B1556</f>
        <v>pellet, burned in pellet industrial furnace 300kW</v>
      </c>
      <c r="B1564" s="53">
        <v>1</v>
      </c>
      <c r="C1564" s="53" t="str">
        <f>B1557</f>
        <v>CH</v>
      </c>
      <c r="D1564" s="53" t="str">
        <f>B1561</f>
        <v>megajoule</v>
      </c>
      <c r="E1564" s="53"/>
      <c r="F1564" s="53" t="s">
        <v>15</v>
      </c>
      <c r="H1564" s="53" t="str">
        <f>B1559</f>
        <v>heat</v>
      </c>
      <c r="I1564" s="53"/>
      <c r="J1564" s="53"/>
      <c r="K1564" s="53"/>
      <c r="L1564" s="53"/>
    </row>
    <row r="1565" spans="1:12">
      <c r="A1565" s="53" t="s">
        <v>315</v>
      </c>
      <c r="B1565">
        <f>1/(0.0711533333333334*19.1)</f>
        <v>0.73581965158448881</v>
      </c>
      <c r="C1565" t="s">
        <v>104</v>
      </c>
      <c r="D1565" t="s">
        <v>17</v>
      </c>
      <c r="F1565" t="s">
        <v>18</v>
      </c>
      <c r="H1565" t="s">
        <v>317</v>
      </c>
    </row>
    <row r="1566" spans="1:12">
      <c r="A1566" t="s">
        <v>35</v>
      </c>
      <c r="B1566">
        <v>1</v>
      </c>
      <c r="D1566" t="s">
        <v>17</v>
      </c>
      <c r="E1566" t="s">
        <v>36</v>
      </c>
      <c r="F1566" t="s">
        <v>27</v>
      </c>
    </row>
    <row r="1568" spans="1:12" ht="15.75">
      <c r="A1568" s="1" t="s">
        <v>0</v>
      </c>
      <c r="B1568" s="1" t="s">
        <v>319</v>
      </c>
      <c r="C1568" s="53"/>
      <c r="D1568" s="53"/>
      <c r="E1568" s="53"/>
      <c r="F1568" s="53"/>
      <c r="H1568" s="53"/>
    </row>
    <row r="1569" spans="1:12">
      <c r="A1569" s="53" t="s">
        <v>1</v>
      </c>
      <c r="B1569" s="53" t="s">
        <v>104</v>
      </c>
      <c r="C1569" s="53"/>
      <c r="D1569" s="53"/>
      <c r="E1569" s="53"/>
      <c r="F1569" s="53"/>
      <c r="H1569" s="53"/>
      <c r="I1569" s="53"/>
      <c r="J1569" s="53"/>
      <c r="K1569" s="53"/>
      <c r="L1569" s="53"/>
    </row>
    <row r="1570" spans="1:12">
      <c r="A1570" s="53" t="s">
        <v>2</v>
      </c>
      <c r="B1570" s="53">
        <v>1</v>
      </c>
      <c r="C1570" s="53"/>
      <c r="D1570" s="53"/>
      <c r="E1570" s="53"/>
      <c r="F1570" s="53"/>
      <c r="H1570" s="53"/>
      <c r="I1570" s="53"/>
      <c r="J1570" s="53"/>
      <c r="K1570" s="53"/>
      <c r="L1570" s="53"/>
    </row>
    <row r="1571" spans="1:12">
      <c r="A1571" s="53" t="s">
        <v>3</v>
      </c>
      <c r="B1571" s="53" t="s">
        <v>284</v>
      </c>
      <c r="C1571" s="53"/>
      <c r="D1571" s="53"/>
      <c r="E1571" s="53"/>
      <c r="F1571" s="53"/>
      <c r="H1571" s="53"/>
      <c r="I1571" s="53"/>
      <c r="J1571" s="53"/>
    </row>
    <row r="1572" spans="1:12">
      <c r="A1572" s="53" t="s">
        <v>4</v>
      </c>
      <c r="B1572" s="53" t="s">
        <v>5</v>
      </c>
      <c r="C1572" s="53"/>
      <c r="D1572" s="53"/>
      <c r="E1572" s="53"/>
      <c r="F1572" s="53"/>
      <c r="H1572" s="53"/>
      <c r="I1572" s="53"/>
      <c r="J1572" s="53"/>
      <c r="K1572" s="53"/>
      <c r="L1572" s="53"/>
    </row>
    <row r="1573" spans="1:12">
      <c r="A1573" s="53" t="s">
        <v>6</v>
      </c>
      <c r="B1573" s="53" t="s">
        <v>17</v>
      </c>
      <c r="C1573" s="53"/>
      <c r="D1573" s="53"/>
      <c r="E1573" s="53"/>
      <c r="F1573" s="53"/>
      <c r="H1573" s="53"/>
      <c r="I1573" s="53"/>
      <c r="J1573" s="53"/>
      <c r="K1573" s="53"/>
      <c r="L1573" s="53"/>
    </row>
    <row r="1574" spans="1:12" ht="15.75">
      <c r="A1574" s="1" t="s">
        <v>10</v>
      </c>
      <c r="B1574" s="53"/>
      <c r="C1574" s="53"/>
      <c r="D1574" s="53"/>
      <c r="E1574" s="53"/>
      <c r="F1574" s="53"/>
      <c r="H1574" s="53"/>
      <c r="I1574" s="53"/>
      <c r="J1574" s="53"/>
      <c r="K1574" s="53"/>
      <c r="L1574" s="53"/>
    </row>
    <row r="1575" spans="1:12">
      <c r="A1575" s="53" t="s">
        <v>11</v>
      </c>
      <c r="B1575" s="53" t="s">
        <v>12</v>
      </c>
      <c r="C1575" s="53" t="s">
        <v>1</v>
      </c>
      <c r="D1575" s="53" t="s">
        <v>6</v>
      </c>
      <c r="E1575" s="53" t="s">
        <v>13</v>
      </c>
      <c r="F1575" s="53" t="s">
        <v>4</v>
      </c>
      <c r="G1575" s="50" t="s">
        <v>9</v>
      </c>
      <c r="H1575" s="53" t="s">
        <v>3</v>
      </c>
      <c r="I1575" s="53"/>
      <c r="J1575" s="53"/>
      <c r="K1575" s="53"/>
    </row>
    <row r="1576" spans="1:12">
      <c r="A1576" s="53" t="str">
        <f>B1568</f>
        <v>non-renewable waste, burned in industrial furnace</v>
      </c>
      <c r="B1576" s="53">
        <v>1</v>
      </c>
      <c r="C1576" s="53" t="str">
        <f>B1569</f>
        <v>CH</v>
      </c>
      <c r="D1576" s="53" t="str">
        <f>B1573</f>
        <v>megajoule</v>
      </c>
      <c r="E1576" s="53"/>
      <c r="F1576" s="53" t="s">
        <v>15</v>
      </c>
      <c r="H1576" s="53" t="str">
        <f>B1571</f>
        <v>heat</v>
      </c>
      <c r="I1576" s="53"/>
      <c r="J1576" s="53"/>
      <c r="K1576" s="53"/>
      <c r="L1576" s="53"/>
    </row>
    <row r="1577" spans="1:12">
      <c r="A1577" s="53" t="s">
        <v>122</v>
      </c>
      <c r="B1577">
        <f>1/6.1</f>
        <v>0.16393442622950821</v>
      </c>
      <c r="C1577" t="s">
        <v>104</v>
      </c>
      <c r="D1577" t="s">
        <v>17</v>
      </c>
      <c r="F1577" t="s">
        <v>18</v>
      </c>
      <c r="H1577" t="s">
        <v>123</v>
      </c>
    </row>
    <row r="1578" spans="1:12">
      <c r="B1578"/>
    </row>
    <row r="1579" spans="1:12" ht="15.75">
      <c r="A1579" s="1" t="s">
        <v>0</v>
      </c>
      <c r="B1579" s="1" t="s">
        <v>322</v>
      </c>
      <c r="C1579" s="53"/>
      <c r="D1579" s="53"/>
      <c r="E1579" s="53"/>
      <c r="F1579" s="53"/>
      <c r="H1579" s="53"/>
    </row>
    <row r="1580" spans="1:12">
      <c r="A1580" s="53" t="s">
        <v>1</v>
      </c>
      <c r="B1580" s="53" t="s">
        <v>104</v>
      </c>
      <c r="C1580" s="53"/>
      <c r="D1580" s="53"/>
      <c r="E1580" s="53"/>
      <c r="F1580" s="53"/>
      <c r="H1580" s="53"/>
      <c r="I1580" s="53"/>
      <c r="J1580" s="53"/>
      <c r="K1580" s="53"/>
      <c r="L1580" s="53"/>
    </row>
    <row r="1581" spans="1:12">
      <c r="A1581" s="53" t="s">
        <v>2</v>
      </c>
      <c r="B1581" s="53">
        <v>1</v>
      </c>
      <c r="C1581" s="53"/>
      <c r="D1581" s="53"/>
      <c r="E1581" s="53"/>
      <c r="F1581" s="53"/>
      <c r="H1581" s="53"/>
      <c r="I1581" s="53"/>
      <c r="J1581" s="53"/>
      <c r="K1581" s="53"/>
      <c r="L1581" s="53"/>
    </row>
    <row r="1582" spans="1:12">
      <c r="A1582" s="53" t="s">
        <v>3</v>
      </c>
      <c r="B1582" s="53" t="s">
        <v>284</v>
      </c>
      <c r="C1582" s="53"/>
      <c r="D1582" s="53"/>
      <c r="E1582" s="53"/>
      <c r="F1582" s="53"/>
      <c r="H1582" s="53"/>
      <c r="I1582" s="53"/>
      <c r="J1582" s="53"/>
    </row>
    <row r="1583" spans="1:12">
      <c r="A1583" s="53" t="s">
        <v>4</v>
      </c>
      <c r="B1583" s="53" t="s">
        <v>5</v>
      </c>
      <c r="C1583" s="53"/>
      <c r="D1583" s="53"/>
      <c r="E1583" s="53"/>
      <c r="F1583" s="53"/>
      <c r="H1583" s="53"/>
      <c r="I1583" s="53"/>
      <c r="J1583" s="53"/>
      <c r="K1583" s="53"/>
      <c r="L1583" s="53"/>
    </row>
    <row r="1584" spans="1:12">
      <c r="A1584" s="53" t="s">
        <v>6</v>
      </c>
      <c r="B1584" s="53" t="s">
        <v>17</v>
      </c>
      <c r="C1584" s="53"/>
      <c r="D1584" s="53"/>
      <c r="E1584" s="53"/>
      <c r="F1584" s="53"/>
      <c r="H1584" s="53"/>
      <c r="I1584" s="53"/>
      <c r="J1584" s="53"/>
      <c r="K1584" s="53"/>
      <c r="L1584" s="53"/>
    </row>
    <row r="1585" spans="1:12" ht="15.75">
      <c r="A1585" s="1" t="s">
        <v>10</v>
      </c>
      <c r="B1585" s="53"/>
      <c r="C1585" s="53"/>
      <c r="D1585" s="53"/>
      <c r="E1585" s="53"/>
      <c r="F1585" s="53"/>
      <c r="H1585" s="53"/>
      <c r="I1585" s="53"/>
      <c r="J1585" s="53"/>
      <c r="K1585" s="53"/>
      <c r="L1585" s="53"/>
    </row>
    <row r="1586" spans="1:12">
      <c r="A1586" s="53" t="s">
        <v>11</v>
      </c>
      <c r="B1586" s="53" t="s">
        <v>12</v>
      </c>
      <c r="C1586" s="53" t="s">
        <v>1</v>
      </c>
      <c r="D1586" s="53" t="s">
        <v>6</v>
      </c>
      <c r="E1586" s="53" t="s">
        <v>13</v>
      </c>
      <c r="F1586" s="53" t="s">
        <v>4</v>
      </c>
      <c r="G1586" s="50" t="s">
        <v>9</v>
      </c>
      <c r="H1586" s="53" t="s">
        <v>3</v>
      </c>
      <c r="I1586" s="53"/>
      <c r="J1586" s="53"/>
      <c r="K1586" s="53"/>
    </row>
    <row r="1587" spans="1:12">
      <c r="A1587" s="53" t="str">
        <f>B1579</f>
        <v>renewable waste, burned in industrial furnace</v>
      </c>
      <c r="B1587" s="53">
        <v>1</v>
      </c>
      <c r="C1587" s="53" t="str">
        <f>B1580</f>
        <v>CH</v>
      </c>
      <c r="D1587" s="53" t="str">
        <f>B1584</f>
        <v>megajoule</v>
      </c>
      <c r="E1587" s="53"/>
      <c r="F1587" s="53" t="s">
        <v>15</v>
      </c>
      <c r="H1587" s="53" t="str">
        <f>B1582</f>
        <v>heat</v>
      </c>
      <c r="I1587" s="53"/>
      <c r="J1587" s="53"/>
      <c r="K1587" s="53"/>
      <c r="L1587" s="53"/>
    </row>
    <row r="1588" spans="1:12">
      <c r="A1588" s="53" t="s">
        <v>129</v>
      </c>
      <c r="B1588">
        <f>1/4.28</f>
        <v>0.23364485981308411</v>
      </c>
      <c r="C1588" t="s">
        <v>104</v>
      </c>
      <c r="D1588" t="s">
        <v>17</v>
      </c>
      <c r="F1588" t="s">
        <v>18</v>
      </c>
      <c r="H1588" t="s">
        <v>129</v>
      </c>
    </row>
    <row r="1589" spans="1:12">
      <c r="B1589"/>
    </row>
    <row r="1590" spans="1:12" ht="15.75">
      <c r="A1590" s="1" t="s">
        <v>0</v>
      </c>
      <c r="B1590" s="1" t="s">
        <v>323</v>
      </c>
      <c r="C1590" s="53"/>
      <c r="D1590" s="53"/>
      <c r="E1590" s="53"/>
      <c r="F1590" s="53"/>
      <c r="H1590" s="53"/>
    </row>
    <row r="1591" spans="1:12">
      <c r="A1591" s="53" t="s">
        <v>1</v>
      </c>
      <c r="B1591" s="53" t="s">
        <v>104</v>
      </c>
      <c r="C1591" s="53"/>
      <c r="D1591" s="53"/>
      <c r="E1591" s="53"/>
      <c r="F1591" s="53"/>
      <c r="H1591" s="53"/>
      <c r="I1591" s="53"/>
      <c r="J1591" s="53"/>
      <c r="K1591" s="53"/>
      <c r="L1591" s="53"/>
    </row>
    <row r="1592" spans="1:12">
      <c r="A1592" s="53" t="s">
        <v>2</v>
      </c>
      <c r="B1592" s="53">
        <v>1</v>
      </c>
      <c r="C1592" s="53"/>
      <c r="D1592" s="53"/>
      <c r="E1592" s="53"/>
      <c r="F1592" s="53"/>
      <c r="H1592" s="53"/>
      <c r="I1592" s="53"/>
      <c r="J1592" s="53"/>
      <c r="K1592" s="53"/>
      <c r="L1592" s="53"/>
    </row>
    <row r="1593" spans="1:12">
      <c r="A1593" s="53" t="s">
        <v>3</v>
      </c>
      <c r="B1593" s="53" t="s">
        <v>284</v>
      </c>
      <c r="C1593" s="53"/>
      <c r="D1593" s="53"/>
      <c r="E1593" s="53"/>
      <c r="F1593" s="53"/>
      <c r="H1593" s="53"/>
      <c r="I1593" s="53"/>
      <c r="J1593" s="53"/>
    </row>
    <row r="1594" spans="1:12">
      <c r="A1594" s="53" t="s">
        <v>4</v>
      </c>
      <c r="B1594" s="53" t="s">
        <v>5</v>
      </c>
      <c r="C1594" s="53"/>
      <c r="D1594" s="53"/>
      <c r="E1594" s="53"/>
      <c r="F1594" s="53"/>
      <c r="H1594" s="53"/>
      <c r="I1594" s="53"/>
      <c r="J1594" s="53"/>
      <c r="K1594" s="53"/>
      <c r="L1594" s="53"/>
    </row>
    <row r="1595" spans="1:12">
      <c r="A1595" s="53" t="s">
        <v>6</v>
      </c>
      <c r="B1595" s="53" t="s">
        <v>17</v>
      </c>
      <c r="C1595" s="53"/>
      <c r="D1595" s="53"/>
      <c r="E1595" s="53"/>
      <c r="F1595" s="53"/>
      <c r="H1595" s="53"/>
      <c r="I1595" s="53"/>
      <c r="J1595" s="53"/>
      <c r="K1595" s="53"/>
      <c r="L1595" s="53"/>
    </row>
    <row r="1596" spans="1:12" ht="15.75">
      <c r="A1596" s="1" t="s">
        <v>10</v>
      </c>
      <c r="B1596" s="53"/>
      <c r="C1596" s="53"/>
      <c r="D1596" s="53"/>
      <c r="E1596" s="53"/>
      <c r="F1596" s="53"/>
      <c r="H1596" s="53"/>
      <c r="I1596" s="53"/>
      <c r="J1596" s="53"/>
      <c r="K1596" s="53"/>
      <c r="L1596" s="53"/>
    </row>
    <row r="1597" spans="1:12">
      <c r="A1597" s="53" t="s">
        <v>11</v>
      </c>
      <c r="B1597" s="53" t="s">
        <v>12</v>
      </c>
      <c r="C1597" s="53" t="s">
        <v>1</v>
      </c>
      <c r="D1597" s="53" t="s">
        <v>6</v>
      </c>
      <c r="E1597" s="53" t="s">
        <v>13</v>
      </c>
      <c r="F1597" s="53" t="s">
        <v>4</v>
      </c>
      <c r="G1597" s="50" t="s">
        <v>9</v>
      </c>
      <c r="H1597" s="53" t="s">
        <v>3</v>
      </c>
      <c r="I1597" s="53"/>
      <c r="J1597" s="53"/>
      <c r="K1597" s="53"/>
    </row>
    <row r="1598" spans="1:12">
      <c r="A1598" s="53" t="str">
        <f>B1590</f>
        <v>solar energy, from industrial hot water tank</v>
      </c>
      <c r="B1598" s="53">
        <v>1</v>
      </c>
      <c r="C1598" s="53" t="str">
        <f>B1591</f>
        <v>CH</v>
      </c>
      <c r="D1598" s="53" t="str">
        <f>B1595</f>
        <v>megajoule</v>
      </c>
      <c r="E1598" s="53"/>
      <c r="F1598" s="53" t="s">
        <v>15</v>
      </c>
      <c r="H1598" s="53" t="str">
        <f>B1593</f>
        <v>heat</v>
      </c>
      <c r="I1598" s="53"/>
      <c r="J1598" s="53"/>
      <c r="K1598" s="53"/>
      <c r="L1598" s="53"/>
    </row>
    <row r="1599" spans="1:12">
      <c r="A1599" s="53" t="s">
        <v>324</v>
      </c>
      <c r="B1599">
        <f>1/0.28851</f>
        <v>3.4660843644934318</v>
      </c>
      <c r="C1599" t="s">
        <v>104</v>
      </c>
      <c r="D1599" t="s">
        <v>17</v>
      </c>
      <c r="F1599" t="s">
        <v>18</v>
      </c>
      <c r="H1599" t="s">
        <v>325</v>
      </c>
    </row>
    <row r="1600" spans="1:12">
      <c r="B1600"/>
    </row>
    <row r="1601" spans="1:15" ht="15.75">
      <c r="A1601" s="1" t="s">
        <v>0</v>
      </c>
      <c r="B1601" s="1" t="s">
        <v>335</v>
      </c>
      <c r="C1601" s="53"/>
      <c r="D1601" s="53"/>
      <c r="E1601" s="53"/>
      <c r="F1601" s="53"/>
      <c r="H1601" s="53"/>
    </row>
    <row r="1602" spans="1:15">
      <c r="A1602" s="53" t="s">
        <v>1</v>
      </c>
      <c r="B1602" s="53" t="s">
        <v>104</v>
      </c>
      <c r="C1602" s="53"/>
      <c r="D1602" s="53"/>
      <c r="E1602" s="53"/>
      <c r="F1602" s="53"/>
      <c r="H1602" s="53"/>
      <c r="I1602" s="53"/>
      <c r="J1602" s="53"/>
      <c r="K1602" s="53"/>
      <c r="L1602" s="53"/>
    </row>
    <row r="1603" spans="1:15">
      <c r="A1603" s="53" t="s">
        <v>2</v>
      </c>
      <c r="B1603" s="53">
        <v>1</v>
      </c>
      <c r="C1603" s="53"/>
      <c r="D1603" s="53"/>
      <c r="E1603" s="53"/>
      <c r="F1603" s="53"/>
      <c r="H1603" s="53"/>
      <c r="I1603" s="53"/>
      <c r="J1603" s="53"/>
      <c r="K1603" s="53"/>
      <c r="L1603" s="53"/>
    </row>
    <row r="1604" spans="1:15">
      <c r="A1604" s="53" t="s">
        <v>3</v>
      </c>
      <c r="B1604" s="53" t="s">
        <v>284</v>
      </c>
      <c r="C1604" s="53"/>
      <c r="D1604" s="53"/>
      <c r="E1604" s="53"/>
      <c r="F1604" s="53"/>
      <c r="H1604" s="53"/>
      <c r="I1604" s="53"/>
      <c r="J1604" s="53"/>
    </row>
    <row r="1605" spans="1:15">
      <c r="A1605" s="53" t="s">
        <v>4</v>
      </c>
      <c r="B1605" s="53" t="s">
        <v>5</v>
      </c>
      <c r="C1605" s="53"/>
      <c r="D1605" s="53"/>
      <c r="E1605" s="53"/>
      <c r="F1605" s="53"/>
      <c r="H1605" s="53"/>
      <c r="I1605" s="53"/>
      <c r="J1605" s="53"/>
      <c r="K1605" s="53"/>
      <c r="L1605" s="53"/>
    </row>
    <row r="1606" spans="1:15">
      <c r="A1606" s="53" t="s">
        <v>6</v>
      </c>
      <c r="B1606" s="53" t="s">
        <v>17</v>
      </c>
      <c r="C1606" s="53"/>
      <c r="D1606" s="53"/>
      <c r="E1606" s="53"/>
      <c r="F1606" s="53"/>
      <c r="H1606" s="53"/>
      <c r="I1606" s="53"/>
      <c r="J1606" s="53"/>
      <c r="K1606" s="53"/>
      <c r="L1606" s="53"/>
    </row>
    <row r="1607" spans="1:15" ht="15.75">
      <c r="A1607" s="1" t="s">
        <v>10</v>
      </c>
      <c r="B1607" s="53"/>
      <c r="C1607" s="53"/>
      <c r="D1607" s="53"/>
      <c r="E1607" s="53"/>
      <c r="F1607" s="53"/>
      <c r="H1607" s="53"/>
      <c r="I1607" s="53"/>
      <c r="J1607" s="53"/>
      <c r="K1607" s="53"/>
      <c r="L1607" s="53"/>
    </row>
    <row r="1608" spans="1:15">
      <c r="A1608" s="53" t="s">
        <v>11</v>
      </c>
      <c r="B1608" s="53" t="s">
        <v>12</v>
      </c>
      <c r="C1608" s="53" t="s">
        <v>1</v>
      </c>
      <c r="D1608" s="53" t="s">
        <v>6</v>
      </c>
      <c r="E1608" s="53" t="s">
        <v>13</v>
      </c>
      <c r="F1608" s="53" t="s">
        <v>4</v>
      </c>
      <c r="G1608" s="50" t="s">
        <v>9</v>
      </c>
      <c r="H1608" s="53" t="s">
        <v>3</v>
      </c>
      <c r="I1608" s="53"/>
      <c r="J1608" s="53"/>
      <c r="K1608" s="53"/>
    </row>
    <row r="1609" spans="1:15">
      <c r="A1609" s="53" t="str">
        <f>B1601</f>
        <v>hydrogen burned, in hydrogen boiler</v>
      </c>
      <c r="B1609" s="53">
        <v>1</v>
      </c>
      <c r="C1609" s="53" t="str">
        <f>B1602</f>
        <v>CH</v>
      </c>
      <c r="D1609" s="53" t="str">
        <f>B1606</f>
        <v>megajoule</v>
      </c>
      <c r="E1609" s="53"/>
      <c r="F1609" s="53" t="s">
        <v>15</v>
      </c>
      <c r="H1609" s="53" t="str">
        <f>B1604</f>
        <v>heat</v>
      </c>
      <c r="I1609" s="53"/>
      <c r="J1609" s="53"/>
      <c r="K1609" s="53"/>
      <c r="L1609" s="53"/>
    </row>
    <row r="1610" spans="1:15">
      <c r="A1610" t="s">
        <v>330</v>
      </c>
      <c r="B1610" s="3">
        <v>4.4004494642869032E-7</v>
      </c>
      <c r="C1610" t="s">
        <v>24</v>
      </c>
      <c r="D1610" t="s">
        <v>6</v>
      </c>
      <c r="F1610" t="s">
        <v>18</v>
      </c>
      <c r="H1610" t="s">
        <v>329</v>
      </c>
    </row>
    <row r="1611" spans="1:15">
      <c r="A1611" t="s">
        <v>333</v>
      </c>
      <c r="B1611" s="3">
        <v>8.8008989285738064E-7</v>
      </c>
      <c r="C1611" t="s">
        <v>24</v>
      </c>
      <c r="D1611" t="s">
        <v>331</v>
      </c>
      <c r="F1611" t="s">
        <v>18</v>
      </c>
      <c r="H1611" t="s">
        <v>332</v>
      </c>
    </row>
    <row r="1612" spans="1:15">
      <c r="A1612" t="s">
        <v>287</v>
      </c>
      <c r="B1612">
        <v>8.1068656716417958E-4</v>
      </c>
      <c r="C1612" t="s">
        <v>104</v>
      </c>
      <c r="D1612" t="s">
        <v>125</v>
      </c>
      <c r="F1612" t="s">
        <v>18</v>
      </c>
      <c r="H1612" t="s">
        <v>286</v>
      </c>
    </row>
    <row r="1613" spans="1:15" s="55" customFormat="1" ht="15.75">
      <c r="A1613" s="53" t="s">
        <v>491</v>
      </c>
      <c r="B1613" s="59">
        <f>1/120</f>
        <v>8.3333333333333332E-3</v>
      </c>
      <c r="C1613" s="55" t="s">
        <v>103</v>
      </c>
      <c r="D1613" s="55" t="s">
        <v>7</v>
      </c>
      <c r="F1613" s="55" t="s">
        <v>18</v>
      </c>
      <c r="H1613" s="53" t="s">
        <v>492</v>
      </c>
      <c r="K1613" s="57"/>
      <c r="L1613"/>
      <c r="M1613"/>
      <c r="O1613" s="56"/>
    </row>
    <row r="1614" spans="1:15">
      <c r="A1614" s="53" t="s">
        <v>227</v>
      </c>
      <c r="B1614" s="54">
        <v>7.4626865671641873E-5</v>
      </c>
      <c r="C1614" s="53"/>
      <c r="D1614" s="53" t="s">
        <v>37</v>
      </c>
      <c r="E1614" s="53" t="s">
        <v>135</v>
      </c>
      <c r="F1614" t="s">
        <v>27</v>
      </c>
      <c r="H1614" s="53"/>
      <c r="I1614" s="53"/>
      <c r="J1614" s="53"/>
      <c r="K1614" s="53"/>
      <c r="L1614" s="53"/>
    </row>
    <row r="1615" spans="1:15">
      <c r="A1615" s="53" t="s">
        <v>214</v>
      </c>
      <c r="B1615" s="54">
        <v>7.669983416252073E-6</v>
      </c>
      <c r="C1615" s="53"/>
      <c r="D1615" s="53" t="s">
        <v>7</v>
      </c>
      <c r="E1615" s="53" t="s">
        <v>135</v>
      </c>
      <c r="F1615" t="s">
        <v>27</v>
      </c>
      <c r="H1615" s="53"/>
      <c r="I1615" s="53"/>
      <c r="J1615" s="53"/>
      <c r="K1615" s="53"/>
      <c r="L1615" s="53"/>
    </row>
    <row r="1616" spans="1:15">
      <c r="A1616" s="53" t="s">
        <v>334</v>
      </c>
      <c r="B1616" s="54">
        <v>4.1459369817577878E-5</v>
      </c>
      <c r="C1616" s="53"/>
      <c r="D1616" s="53" t="s">
        <v>7</v>
      </c>
      <c r="E1616" s="53" t="s">
        <v>135</v>
      </c>
      <c r="F1616" t="s">
        <v>27</v>
      </c>
      <c r="H1616" s="53"/>
      <c r="I1616" s="53"/>
      <c r="J1616" s="53"/>
    </row>
    <row r="1617" spans="1:12">
      <c r="A1617" s="53"/>
      <c r="B1617" s="53"/>
      <c r="C1617" s="53"/>
      <c r="D1617" s="53"/>
      <c r="E1617" s="53"/>
      <c r="F1617" s="53"/>
      <c r="H1617" s="53"/>
      <c r="I1617" s="53"/>
      <c r="J1617" s="53"/>
      <c r="K1617" s="53"/>
      <c r="L1617" s="53"/>
    </row>
    <row r="1618" spans="1:12" ht="15.75">
      <c r="A1618" s="1" t="s">
        <v>0</v>
      </c>
      <c r="B1618" s="1" t="s">
        <v>338</v>
      </c>
      <c r="C1618" s="53"/>
      <c r="D1618" s="53"/>
      <c r="E1618" s="53"/>
      <c r="F1618" s="53"/>
      <c r="G1618" s="53"/>
      <c r="H1618" s="53"/>
    </row>
    <row r="1619" spans="1:12">
      <c r="A1619" s="53" t="s">
        <v>1</v>
      </c>
      <c r="B1619" s="53" t="s">
        <v>104</v>
      </c>
      <c r="C1619" s="53"/>
      <c r="D1619" s="53"/>
      <c r="E1619" s="53"/>
      <c r="F1619" s="53"/>
      <c r="G1619" s="53"/>
      <c r="H1619" s="53"/>
      <c r="I1619" s="53"/>
      <c r="J1619" s="53"/>
      <c r="K1619" s="53"/>
      <c r="L1619" s="53"/>
    </row>
    <row r="1620" spans="1:12">
      <c r="A1620" s="53" t="s">
        <v>2</v>
      </c>
      <c r="B1620" s="53">
        <v>1</v>
      </c>
      <c r="C1620" s="53"/>
      <c r="D1620" s="53"/>
      <c r="E1620" s="53"/>
      <c r="F1620" s="53"/>
      <c r="G1620" s="53"/>
      <c r="H1620" s="53"/>
      <c r="I1620" s="53"/>
      <c r="J1620" s="53"/>
      <c r="K1620" s="53"/>
      <c r="L1620" s="53"/>
    </row>
    <row r="1621" spans="1:12">
      <c r="A1621" s="53" t="s">
        <v>3</v>
      </c>
      <c r="B1621" s="53" t="s">
        <v>286</v>
      </c>
      <c r="C1621" s="53"/>
      <c r="D1621" s="53"/>
      <c r="E1621" s="53"/>
      <c r="F1621" s="53"/>
      <c r="G1621" s="53"/>
      <c r="H1621" s="53"/>
      <c r="I1621" s="53"/>
      <c r="J1621" s="53"/>
    </row>
    <row r="1622" spans="1:12">
      <c r="A1622" s="53" t="s">
        <v>4</v>
      </c>
      <c r="B1622" s="53" t="s">
        <v>5</v>
      </c>
      <c r="C1622" s="53"/>
      <c r="D1622" s="53"/>
      <c r="E1622" s="53"/>
      <c r="F1622" s="53"/>
      <c r="G1622" s="53"/>
      <c r="H1622" s="53"/>
      <c r="I1622" s="53"/>
      <c r="J1622" s="53"/>
      <c r="K1622" s="53"/>
      <c r="L1622" s="53"/>
    </row>
    <row r="1623" spans="1:12">
      <c r="A1623" s="53" t="s">
        <v>6</v>
      </c>
      <c r="B1623" s="53" t="s">
        <v>17</v>
      </c>
      <c r="C1623" s="53"/>
      <c r="D1623" s="53"/>
      <c r="E1623" s="53"/>
      <c r="F1623" s="53"/>
      <c r="G1623" s="53"/>
      <c r="H1623" s="53"/>
      <c r="I1623" s="53"/>
      <c r="J1623" s="53"/>
      <c r="K1623" s="53"/>
      <c r="L1623" s="53"/>
    </row>
    <row r="1624" spans="1:12" ht="15.75">
      <c r="A1624" s="1" t="s">
        <v>10</v>
      </c>
      <c r="B1624" s="53"/>
      <c r="C1624" s="53"/>
      <c r="D1624" s="53"/>
      <c r="E1624" s="53"/>
      <c r="F1624" s="53"/>
      <c r="G1624" s="53"/>
      <c r="H1624" s="53"/>
      <c r="I1624" s="53"/>
      <c r="J1624" s="53"/>
      <c r="K1624" s="53"/>
      <c r="L1624" s="53"/>
    </row>
    <row r="1625" spans="1:12">
      <c r="A1625" s="53" t="s">
        <v>11</v>
      </c>
      <c r="B1625" s="53" t="s">
        <v>12</v>
      </c>
      <c r="C1625" s="53" t="s">
        <v>1</v>
      </c>
      <c r="D1625" s="53" t="s">
        <v>6</v>
      </c>
      <c r="E1625" s="53" t="s">
        <v>13</v>
      </c>
      <c r="F1625" s="53" t="s">
        <v>4</v>
      </c>
      <c r="G1625" s="50" t="s">
        <v>9</v>
      </c>
      <c r="H1625" s="53" t="s">
        <v>3</v>
      </c>
      <c r="I1625" s="53"/>
      <c r="J1625" s="53"/>
      <c r="K1625" s="53"/>
    </row>
    <row r="1626" spans="1:12">
      <c r="A1626" s="53" t="str">
        <f>B1618</f>
        <v>electricity, used in residential electric boiler</v>
      </c>
      <c r="B1626" s="53">
        <v>1</v>
      </c>
      <c r="C1626" s="53" t="str">
        <f>B1619</f>
        <v>CH</v>
      </c>
      <c r="D1626" s="53" t="str">
        <f>B1623</f>
        <v>megajoule</v>
      </c>
      <c r="E1626" s="53"/>
      <c r="F1626" s="53" t="s">
        <v>15</v>
      </c>
      <c r="H1626" s="53" t="str">
        <f>B1621</f>
        <v>electricity, low voltage</v>
      </c>
      <c r="I1626" s="53"/>
      <c r="J1626" s="53"/>
      <c r="K1626" s="53"/>
      <c r="L1626" s="53"/>
    </row>
    <row r="1627" spans="1:12">
      <c r="A1627" s="53" t="s">
        <v>287</v>
      </c>
      <c r="B1627">
        <f>1/3.6</f>
        <v>0.27777777777777779</v>
      </c>
      <c r="C1627" t="s">
        <v>104</v>
      </c>
      <c r="D1627" t="s">
        <v>125</v>
      </c>
      <c r="F1627" t="s">
        <v>18</v>
      </c>
      <c r="H1627" t="s">
        <v>286</v>
      </c>
    </row>
    <row r="1628" spans="1:12">
      <c r="A1628" s="53"/>
      <c r="B1628"/>
    </row>
    <row r="1629" spans="1:12">
      <c r="A1629" s="53"/>
    </row>
    <row r="1630" spans="1:12" ht="15.75">
      <c r="A1630" s="1" t="s">
        <v>0</v>
      </c>
      <c r="B1630" s="1" t="s">
        <v>339</v>
      </c>
      <c r="C1630" s="53"/>
      <c r="D1630" s="53"/>
      <c r="E1630" s="53"/>
      <c r="F1630" s="53"/>
      <c r="G1630" s="53"/>
      <c r="H1630" s="53"/>
    </row>
    <row r="1631" spans="1:12">
      <c r="A1631" s="53" t="s">
        <v>1</v>
      </c>
      <c r="B1631" s="53" t="s">
        <v>104</v>
      </c>
      <c r="C1631" s="53"/>
      <c r="D1631" s="53"/>
      <c r="E1631" s="53"/>
      <c r="F1631" s="53"/>
      <c r="G1631" s="53"/>
      <c r="H1631" s="53"/>
      <c r="I1631" s="53"/>
      <c r="J1631" s="53"/>
      <c r="K1631" s="53"/>
      <c r="L1631" s="53"/>
    </row>
    <row r="1632" spans="1:12">
      <c r="A1632" s="53" t="s">
        <v>2</v>
      </c>
      <c r="B1632" s="53">
        <v>1</v>
      </c>
      <c r="C1632" s="53"/>
      <c r="D1632" s="53"/>
      <c r="E1632" s="53"/>
      <c r="F1632" s="53"/>
      <c r="G1632" s="53"/>
      <c r="H1632" s="53"/>
      <c r="I1632" s="53"/>
      <c r="J1632" s="53"/>
      <c r="K1632" s="53"/>
      <c r="L1632" s="53"/>
    </row>
    <row r="1633" spans="1:12">
      <c r="A1633" s="53" t="s">
        <v>3</v>
      </c>
      <c r="B1633" s="53" t="s">
        <v>286</v>
      </c>
      <c r="C1633" s="53"/>
      <c r="D1633" s="53"/>
      <c r="E1633" s="53"/>
      <c r="F1633" s="53"/>
      <c r="G1633" s="53"/>
      <c r="H1633" s="53"/>
      <c r="I1633" s="53"/>
      <c r="J1633" s="53"/>
    </row>
    <row r="1634" spans="1:12">
      <c r="A1634" s="53" t="s">
        <v>4</v>
      </c>
      <c r="B1634" s="53" t="s">
        <v>5</v>
      </c>
      <c r="C1634" s="53"/>
      <c r="D1634" s="53"/>
      <c r="E1634" s="53"/>
      <c r="F1634" s="53"/>
      <c r="G1634" s="53"/>
      <c r="H1634" s="53"/>
      <c r="I1634" s="53"/>
      <c r="J1634" s="53"/>
      <c r="K1634" s="53"/>
      <c r="L1634" s="53"/>
    </row>
    <row r="1635" spans="1:12">
      <c r="A1635" s="53" t="s">
        <v>6</v>
      </c>
      <c r="B1635" s="53" t="s">
        <v>17</v>
      </c>
      <c r="C1635" s="53"/>
      <c r="D1635" s="53"/>
      <c r="E1635" s="53"/>
      <c r="F1635" s="53"/>
      <c r="G1635" s="53"/>
      <c r="H1635" s="53"/>
      <c r="I1635" s="53"/>
      <c r="J1635" s="53"/>
      <c r="K1635" s="53"/>
      <c r="L1635" s="53"/>
    </row>
    <row r="1636" spans="1:12" ht="15.75">
      <c r="A1636" s="1" t="s">
        <v>10</v>
      </c>
      <c r="B1636" s="53"/>
      <c r="C1636" s="53"/>
      <c r="D1636" s="53"/>
      <c r="E1636" s="53"/>
      <c r="F1636" s="53"/>
      <c r="G1636" s="53"/>
      <c r="H1636" s="53"/>
      <c r="I1636" s="53"/>
      <c r="J1636" s="53"/>
      <c r="K1636" s="53"/>
      <c r="L1636" s="53"/>
    </row>
    <row r="1637" spans="1:12">
      <c r="A1637" s="53" t="s">
        <v>11</v>
      </c>
      <c r="B1637" s="53" t="s">
        <v>12</v>
      </c>
      <c r="C1637" s="53" t="s">
        <v>1</v>
      </c>
      <c r="D1637" s="53" t="s">
        <v>6</v>
      </c>
      <c r="E1637" s="53" t="s">
        <v>13</v>
      </c>
      <c r="F1637" s="53" t="s">
        <v>4</v>
      </c>
      <c r="G1637" s="50" t="s">
        <v>9</v>
      </c>
      <c r="H1637" s="53" t="s">
        <v>3</v>
      </c>
      <c r="I1637" s="53"/>
      <c r="J1637" s="53"/>
      <c r="K1637" s="53"/>
    </row>
    <row r="1638" spans="1:12">
      <c r="A1638" s="53" t="str">
        <f>B1630</f>
        <v>electricity, used in residential heat pump</v>
      </c>
      <c r="B1638" s="53">
        <v>1</v>
      </c>
      <c r="C1638" s="53" t="str">
        <f>B1631</f>
        <v>CH</v>
      </c>
      <c r="D1638" s="53" t="str">
        <f>B1635</f>
        <v>megajoule</v>
      </c>
      <c r="E1638" s="53"/>
      <c r="F1638" s="53" t="s">
        <v>15</v>
      </c>
      <c r="H1638" s="53" t="str">
        <f>B1633</f>
        <v>electricity, low voltage</v>
      </c>
      <c r="I1638" s="53"/>
      <c r="J1638" s="53"/>
      <c r="K1638" s="53"/>
      <c r="L1638" s="53"/>
    </row>
    <row r="1639" spans="1:12">
      <c r="A1639" s="53" t="s">
        <v>290</v>
      </c>
      <c r="B1639" s="2">
        <f>1/0.357</f>
        <v>2.801120448179272</v>
      </c>
      <c r="C1639" t="s">
        <v>104</v>
      </c>
      <c r="D1639" t="s">
        <v>17</v>
      </c>
      <c r="F1639" t="s">
        <v>18</v>
      </c>
      <c r="H1639" t="s">
        <v>291</v>
      </c>
    </row>
    <row r="1640" spans="1:12">
      <c r="A1640" t="s">
        <v>482</v>
      </c>
      <c r="B1640" s="2">
        <v>2</v>
      </c>
      <c r="D1640" t="s">
        <v>17</v>
      </c>
      <c r="E1640" t="s">
        <v>485</v>
      </c>
      <c r="F1640" t="s">
        <v>27</v>
      </c>
    </row>
    <row r="1641" spans="1:12">
      <c r="A1641" s="53"/>
      <c r="B1641"/>
    </row>
    <row r="1642" spans="1:12" ht="15.75">
      <c r="A1642" s="1" t="s">
        <v>0</v>
      </c>
      <c r="B1642" s="1" t="s">
        <v>355</v>
      </c>
      <c r="C1642" s="53"/>
      <c r="D1642" s="53"/>
      <c r="E1642" s="53"/>
      <c r="F1642" s="53"/>
      <c r="G1642" s="53"/>
      <c r="H1642" s="53"/>
    </row>
    <row r="1643" spans="1:12">
      <c r="A1643" s="53" t="s">
        <v>1</v>
      </c>
      <c r="B1643" s="53" t="s">
        <v>104</v>
      </c>
      <c r="C1643" s="53"/>
      <c r="D1643" s="53"/>
      <c r="E1643" s="53"/>
      <c r="F1643" s="53"/>
      <c r="G1643" s="53"/>
      <c r="H1643" s="53"/>
      <c r="I1643" s="53"/>
      <c r="J1643" s="53"/>
      <c r="K1643" s="53"/>
      <c r="L1643" s="53"/>
    </row>
    <row r="1644" spans="1:12">
      <c r="A1644" s="53" t="s">
        <v>2</v>
      </c>
      <c r="B1644" s="53">
        <v>1</v>
      </c>
      <c r="C1644" s="53"/>
      <c r="D1644" s="53"/>
      <c r="E1644" s="53"/>
      <c r="F1644" s="53"/>
      <c r="G1644" s="53"/>
      <c r="H1644" s="53"/>
      <c r="I1644" s="53"/>
      <c r="J1644" s="53"/>
      <c r="K1644" s="53"/>
      <c r="L1644" s="53"/>
    </row>
    <row r="1645" spans="1:12">
      <c r="A1645" s="53" t="s">
        <v>3</v>
      </c>
      <c r="B1645" s="53" t="s">
        <v>286</v>
      </c>
      <c r="C1645" s="53"/>
      <c r="D1645" s="53"/>
      <c r="E1645" s="53"/>
      <c r="F1645" s="53"/>
      <c r="G1645" s="53"/>
      <c r="H1645" s="53"/>
      <c r="I1645" s="53"/>
      <c r="J1645" s="53"/>
    </row>
    <row r="1646" spans="1:12">
      <c r="A1646" s="53" t="s">
        <v>4</v>
      </c>
      <c r="B1646" s="53" t="s">
        <v>5</v>
      </c>
      <c r="C1646" s="53"/>
      <c r="D1646" s="53"/>
      <c r="E1646" s="53"/>
      <c r="F1646" s="53"/>
      <c r="G1646" s="53"/>
      <c r="H1646" s="53"/>
      <c r="I1646" s="53"/>
      <c r="J1646" s="53"/>
      <c r="K1646" s="53"/>
      <c r="L1646" s="53"/>
    </row>
    <row r="1647" spans="1:12">
      <c r="A1647" s="53" t="s">
        <v>6</v>
      </c>
      <c r="B1647" s="53" t="s">
        <v>17</v>
      </c>
      <c r="C1647" s="53"/>
      <c r="D1647" s="53"/>
      <c r="E1647" s="53"/>
      <c r="F1647" s="53"/>
      <c r="G1647" s="53"/>
      <c r="H1647" s="53"/>
      <c r="I1647" s="53"/>
      <c r="J1647" s="53"/>
      <c r="K1647" s="53"/>
      <c r="L1647" s="53"/>
    </row>
    <row r="1648" spans="1:12" ht="15.75">
      <c r="A1648" s="1" t="s">
        <v>10</v>
      </c>
      <c r="B1648" s="53"/>
      <c r="C1648" s="53"/>
      <c r="D1648" s="53"/>
      <c r="E1648" s="53"/>
      <c r="F1648" s="53"/>
      <c r="G1648" s="53"/>
      <c r="H1648" s="53"/>
      <c r="I1648" s="53"/>
      <c r="J1648" s="53"/>
      <c r="K1648" s="53"/>
      <c r="L1648" s="53"/>
    </row>
    <row r="1649" spans="1:12">
      <c r="A1649" s="53" t="s">
        <v>11</v>
      </c>
      <c r="B1649" s="53" t="s">
        <v>12</v>
      </c>
      <c r="C1649" s="53" t="s">
        <v>1</v>
      </c>
      <c r="D1649" s="53" t="s">
        <v>6</v>
      </c>
      <c r="E1649" s="53" t="s">
        <v>13</v>
      </c>
      <c r="F1649" s="53" t="s">
        <v>4</v>
      </c>
      <c r="G1649" s="50" t="s">
        <v>9</v>
      </c>
      <c r="H1649" s="53" t="s">
        <v>3</v>
      </c>
      <c r="I1649" s="53"/>
      <c r="J1649" s="53"/>
      <c r="K1649" s="53"/>
    </row>
    <row r="1650" spans="1:12">
      <c r="A1650" s="53" t="str">
        <f>B1642</f>
        <v>electricity, used in residential electric appliances</v>
      </c>
      <c r="B1650" s="53">
        <v>1</v>
      </c>
      <c r="C1650" s="53" t="str">
        <f>B1643</f>
        <v>CH</v>
      </c>
      <c r="D1650" s="53" t="str">
        <f>B1647</f>
        <v>megajoule</v>
      </c>
      <c r="E1650" s="53"/>
      <c r="F1650" s="53" t="s">
        <v>15</v>
      </c>
      <c r="H1650" s="53" t="str">
        <f>B1645</f>
        <v>electricity, low voltage</v>
      </c>
      <c r="I1650" s="53"/>
      <c r="J1650" s="53"/>
      <c r="K1650" s="53"/>
      <c r="L1650" s="53"/>
    </row>
    <row r="1651" spans="1:12">
      <c r="A1651" s="53" t="s">
        <v>287</v>
      </c>
      <c r="B1651">
        <f>1/3.6</f>
        <v>0.27777777777777779</v>
      </c>
      <c r="C1651" t="s">
        <v>104</v>
      </c>
      <c r="D1651" t="s">
        <v>125</v>
      </c>
      <c r="F1651" t="s">
        <v>18</v>
      </c>
      <c r="H1651" t="s">
        <v>286</v>
      </c>
    </row>
    <row r="1652" spans="1:12">
      <c r="A1652" s="53"/>
      <c r="B1652"/>
    </row>
    <row r="1653" spans="1:12" ht="15.75">
      <c r="A1653" s="1" t="s">
        <v>0</v>
      </c>
      <c r="B1653" s="1" t="s">
        <v>345</v>
      </c>
      <c r="C1653" s="53"/>
      <c r="D1653" s="53"/>
      <c r="E1653" s="53"/>
      <c r="F1653" s="53"/>
      <c r="G1653" s="53"/>
      <c r="H1653" s="53"/>
    </row>
    <row r="1654" spans="1:12">
      <c r="A1654" s="53" t="s">
        <v>1</v>
      </c>
      <c r="B1654" s="53" t="s">
        <v>104</v>
      </c>
      <c r="C1654" s="53"/>
      <c r="D1654" s="53"/>
      <c r="E1654" s="53"/>
      <c r="F1654" s="53"/>
      <c r="G1654" s="53"/>
      <c r="H1654" s="53"/>
      <c r="I1654" s="53"/>
      <c r="J1654" s="53"/>
      <c r="K1654" s="53"/>
      <c r="L1654" s="53"/>
    </row>
    <row r="1655" spans="1:12">
      <c r="A1655" s="53" t="s">
        <v>2</v>
      </c>
      <c r="B1655" s="53">
        <v>1</v>
      </c>
      <c r="C1655" s="53"/>
      <c r="D1655" s="53"/>
      <c r="E1655" s="53"/>
      <c r="F1655" s="53"/>
      <c r="G1655" s="53"/>
      <c r="H1655" s="53"/>
      <c r="I1655" s="53"/>
      <c r="J1655" s="53"/>
      <c r="K1655" s="53"/>
      <c r="L1655" s="53"/>
    </row>
    <row r="1656" spans="1:12">
      <c r="A1656" s="53" t="s">
        <v>3</v>
      </c>
      <c r="B1656" s="53" t="s">
        <v>284</v>
      </c>
      <c r="C1656" s="53"/>
      <c r="D1656" s="53"/>
      <c r="E1656" s="53"/>
      <c r="F1656" s="53"/>
      <c r="G1656" s="53"/>
      <c r="H1656" s="53"/>
      <c r="I1656" s="53"/>
      <c r="J1656" s="53"/>
    </row>
    <row r="1657" spans="1:12">
      <c r="A1657" s="53" t="s">
        <v>4</v>
      </c>
      <c r="B1657" s="53" t="s">
        <v>5</v>
      </c>
      <c r="C1657" s="53"/>
      <c r="D1657" s="53"/>
      <c r="E1657" s="53"/>
      <c r="F1657" s="53"/>
      <c r="G1657" s="53"/>
      <c r="H1657" s="53"/>
      <c r="I1657" s="53"/>
      <c r="J1657" s="53"/>
      <c r="K1657" s="53"/>
      <c r="L1657" s="53"/>
    </row>
    <row r="1658" spans="1:12">
      <c r="A1658" s="53" t="s">
        <v>6</v>
      </c>
      <c r="B1658" s="53" t="s">
        <v>17</v>
      </c>
      <c r="C1658" s="53"/>
      <c r="D1658" s="53"/>
      <c r="E1658" s="53"/>
      <c r="F1658" s="53"/>
      <c r="G1658" s="53"/>
      <c r="H1658" s="53"/>
      <c r="I1658" s="53"/>
      <c r="J1658" s="53"/>
      <c r="K1658" s="53"/>
      <c r="L1658" s="53"/>
    </row>
    <row r="1659" spans="1:12" ht="15.75">
      <c r="A1659" s="1" t="s">
        <v>10</v>
      </c>
      <c r="B1659" s="53"/>
      <c r="C1659" s="53"/>
      <c r="D1659" s="53"/>
      <c r="E1659" s="53"/>
      <c r="F1659" s="53"/>
      <c r="G1659" s="53"/>
      <c r="H1659" s="53"/>
      <c r="I1659" s="53"/>
      <c r="J1659" s="53"/>
      <c r="K1659" s="53"/>
      <c r="L1659" s="53"/>
    </row>
    <row r="1660" spans="1:12">
      <c r="A1660" s="53" t="s">
        <v>11</v>
      </c>
      <c r="B1660" s="53" t="s">
        <v>12</v>
      </c>
      <c r="C1660" s="53" t="s">
        <v>1</v>
      </c>
      <c r="D1660" s="53" t="s">
        <v>6</v>
      </c>
      <c r="E1660" s="53" t="s">
        <v>13</v>
      </c>
      <c r="F1660" s="53" t="s">
        <v>4</v>
      </c>
      <c r="G1660" s="50" t="s">
        <v>9</v>
      </c>
      <c r="H1660" s="53" t="s">
        <v>3</v>
      </c>
      <c r="I1660" s="53"/>
      <c r="J1660" s="53"/>
      <c r="K1660" s="53"/>
    </row>
    <row r="1661" spans="1:12">
      <c r="A1661" s="53" t="str">
        <f>B1653</f>
        <v>light fuel oil, burned in residential 10kW boiler</v>
      </c>
      <c r="B1661" s="53">
        <v>1</v>
      </c>
      <c r="C1661" s="53" t="str">
        <f>B1654</f>
        <v>CH</v>
      </c>
      <c r="D1661" s="53" t="str">
        <f>B1658</f>
        <v>megajoule</v>
      </c>
      <c r="E1661" s="53"/>
      <c r="F1661" s="53" t="s">
        <v>15</v>
      </c>
      <c r="H1661" s="53" t="str">
        <f>B1656</f>
        <v>heat</v>
      </c>
      <c r="I1661" s="53"/>
      <c r="J1661" s="53"/>
      <c r="K1661" s="53"/>
      <c r="L1661" s="53"/>
    </row>
    <row r="1662" spans="1:12">
      <c r="A1662" s="53" t="s">
        <v>344</v>
      </c>
      <c r="B1662">
        <f>1/(0.02342*40.1)</f>
        <v>1.0648017019790403</v>
      </c>
      <c r="C1662" t="s">
        <v>104</v>
      </c>
      <c r="D1662" t="s">
        <v>17</v>
      </c>
      <c r="F1662" t="s">
        <v>18</v>
      </c>
      <c r="H1662" t="s">
        <v>317</v>
      </c>
    </row>
    <row r="1664" spans="1:12" ht="15.75">
      <c r="A1664" s="1" t="s">
        <v>0</v>
      </c>
      <c r="B1664" s="1" t="s">
        <v>348</v>
      </c>
      <c r="C1664" s="53"/>
      <c r="D1664" s="53"/>
      <c r="E1664" s="53"/>
      <c r="F1664" s="53"/>
      <c r="H1664" s="53"/>
    </row>
    <row r="1665" spans="1:12">
      <c r="A1665" s="53" t="s">
        <v>1</v>
      </c>
      <c r="B1665" s="53" t="s">
        <v>104</v>
      </c>
      <c r="C1665" s="53"/>
      <c r="D1665" s="53"/>
      <c r="E1665" s="53"/>
      <c r="F1665" s="53"/>
      <c r="H1665" s="53"/>
      <c r="I1665" s="53"/>
      <c r="J1665" s="53"/>
      <c r="K1665" s="53"/>
      <c r="L1665" s="53"/>
    </row>
    <row r="1666" spans="1:12">
      <c r="A1666" s="53" t="s">
        <v>2</v>
      </c>
      <c r="B1666" s="53">
        <v>1</v>
      </c>
      <c r="C1666" s="53"/>
      <c r="D1666" s="53"/>
      <c r="E1666" s="53"/>
      <c r="F1666" s="53"/>
      <c r="H1666" s="53"/>
      <c r="I1666" s="53"/>
      <c r="J1666" s="53"/>
      <c r="K1666" s="53"/>
      <c r="L1666" s="53"/>
    </row>
    <row r="1667" spans="1:12">
      <c r="A1667" s="53" t="s">
        <v>3</v>
      </c>
      <c r="B1667" s="53" t="s">
        <v>284</v>
      </c>
      <c r="C1667" s="53"/>
      <c r="D1667" s="53"/>
      <c r="E1667" s="53"/>
      <c r="F1667" s="53"/>
      <c r="H1667" s="53"/>
      <c r="I1667" s="53"/>
      <c r="J1667" s="53"/>
    </row>
    <row r="1668" spans="1:12">
      <c r="A1668" s="53" t="s">
        <v>4</v>
      </c>
      <c r="B1668" s="53" t="s">
        <v>5</v>
      </c>
      <c r="C1668" s="53"/>
      <c r="D1668" s="53"/>
      <c r="E1668" s="53"/>
      <c r="F1668" s="53"/>
      <c r="H1668" s="53"/>
      <c r="I1668" s="53"/>
      <c r="J1668" s="53"/>
      <c r="K1668" s="53"/>
      <c r="L1668" s="53"/>
    </row>
    <row r="1669" spans="1:12">
      <c r="A1669" s="53" t="s">
        <v>6</v>
      </c>
      <c r="B1669" s="53" t="s">
        <v>17</v>
      </c>
      <c r="C1669" s="53"/>
      <c r="D1669" s="53"/>
      <c r="E1669" s="53"/>
      <c r="F1669" s="53"/>
      <c r="H1669" s="53"/>
      <c r="I1669" s="53"/>
      <c r="J1669" s="53"/>
      <c r="K1669" s="53"/>
      <c r="L1669" s="53"/>
    </row>
    <row r="1670" spans="1:12" ht="15.75">
      <c r="A1670" s="1" t="s">
        <v>10</v>
      </c>
      <c r="B1670" s="53"/>
      <c r="C1670" s="53"/>
      <c r="D1670" s="53"/>
      <c r="E1670" s="53"/>
      <c r="F1670" s="53"/>
      <c r="H1670" s="53"/>
      <c r="I1670" s="53"/>
      <c r="J1670" s="53"/>
      <c r="K1670" s="53"/>
      <c r="L1670" s="53"/>
    </row>
    <row r="1671" spans="1:12">
      <c r="A1671" s="53" t="s">
        <v>11</v>
      </c>
      <c r="B1671" s="53" t="s">
        <v>12</v>
      </c>
      <c r="C1671" s="53" t="s">
        <v>1</v>
      </c>
      <c r="D1671" s="53" t="s">
        <v>6</v>
      </c>
      <c r="E1671" s="53" t="s">
        <v>13</v>
      </c>
      <c r="F1671" s="53" t="s">
        <v>4</v>
      </c>
      <c r="G1671" s="50" t="s">
        <v>9</v>
      </c>
      <c r="H1671" s="53" t="s">
        <v>3</v>
      </c>
      <c r="I1671" s="53"/>
      <c r="J1671" s="53"/>
      <c r="K1671" s="53"/>
    </row>
    <row r="1672" spans="1:12">
      <c r="A1672" s="53" t="str">
        <f>B1664</f>
        <v>natural gas, burned in residential natural gas boiler &lt;100kW</v>
      </c>
      <c r="B1672" s="53">
        <v>1</v>
      </c>
      <c r="C1672" s="53" t="str">
        <f>B1665</f>
        <v>CH</v>
      </c>
      <c r="D1672" s="53" t="str">
        <f>B1669</f>
        <v>megajoule</v>
      </c>
      <c r="E1672" s="53"/>
      <c r="F1672" s="53" t="s">
        <v>15</v>
      </c>
      <c r="H1672" s="53" t="str">
        <f>B1667</f>
        <v>heat</v>
      </c>
      <c r="I1672" s="53"/>
      <c r="J1672" s="53"/>
      <c r="K1672" s="53"/>
      <c r="L1672" s="53"/>
    </row>
    <row r="1673" spans="1:12">
      <c r="A1673" s="53" t="s">
        <v>346</v>
      </c>
      <c r="B1673">
        <f>1/(0.025337607*36)</f>
        <v>1.0963062840850668</v>
      </c>
      <c r="C1673" t="s">
        <v>104</v>
      </c>
      <c r="D1673" t="s">
        <v>17</v>
      </c>
      <c r="F1673" t="s">
        <v>18</v>
      </c>
      <c r="H1673" t="s">
        <v>347</v>
      </c>
    </row>
    <row r="1674" spans="1:12">
      <c r="B1674"/>
    </row>
    <row r="1675" spans="1:12" ht="15.75">
      <c r="A1675" s="1" t="s">
        <v>0</v>
      </c>
      <c r="B1675" s="1" t="s">
        <v>350</v>
      </c>
      <c r="C1675" s="53"/>
      <c r="D1675" s="53"/>
      <c r="E1675" s="53"/>
      <c r="F1675" s="53"/>
      <c r="H1675" s="53"/>
    </row>
    <row r="1676" spans="1:12">
      <c r="A1676" s="53" t="s">
        <v>1</v>
      </c>
      <c r="B1676" s="53" t="s">
        <v>104</v>
      </c>
      <c r="C1676" s="53"/>
      <c r="D1676" s="53"/>
      <c r="E1676" s="53"/>
      <c r="F1676" s="53"/>
      <c r="H1676" s="53"/>
      <c r="I1676" s="53"/>
      <c r="J1676" s="53"/>
      <c r="K1676" s="53"/>
      <c r="L1676" s="53"/>
    </row>
    <row r="1677" spans="1:12">
      <c r="A1677" s="53" t="s">
        <v>2</v>
      </c>
      <c r="B1677" s="53">
        <v>1</v>
      </c>
      <c r="C1677" s="53"/>
      <c r="D1677" s="53"/>
      <c r="E1677" s="53"/>
      <c r="F1677" s="53"/>
      <c r="H1677" s="53"/>
      <c r="I1677" s="53"/>
      <c r="J1677" s="53"/>
      <c r="K1677" s="53"/>
      <c r="L1677" s="53"/>
    </row>
    <row r="1678" spans="1:12">
      <c r="A1678" s="53" t="s">
        <v>3</v>
      </c>
      <c r="B1678" s="53" t="s">
        <v>284</v>
      </c>
      <c r="C1678" s="53"/>
      <c r="D1678" s="53"/>
      <c r="E1678" s="53"/>
      <c r="F1678" s="53"/>
      <c r="H1678" s="53"/>
      <c r="I1678" s="53"/>
      <c r="J1678" s="53"/>
    </row>
    <row r="1679" spans="1:12">
      <c r="A1679" s="53" t="s">
        <v>4</v>
      </c>
      <c r="B1679" s="53" t="s">
        <v>5</v>
      </c>
      <c r="C1679" s="53"/>
      <c r="D1679" s="53"/>
      <c r="E1679" s="53"/>
      <c r="F1679" s="53"/>
      <c r="H1679" s="53"/>
      <c r="I1679" s="53"/>
      <c r="J1679" s="53"/>
      <c r="K1679" s="53"/>
      <c r="L1679" s="53"/>
    </row>
    <row r="1680" spans="1:12">
      <c r="A1680" s="53" t="s">
        <v>6</v>
      </c>
      <c r="B1680" s="53" t="s">
        <v>17</v>
      </c>
      <c r="C1680" s="53"/>
      <c r="D1680" s="53"/>
      <c r="E1680" s="53"/>
      <c r="F1680" s="53"/>
      <c r="H1680" s="53"/>
      <c r="I1680" s="53"/>
      <c r="J1680" s="53"/>
      <c r="K1680" s="53"/>
      <c r="L1680" s="53"/>
    </row>
    <row r="1681" spans="1:12" ht="15.75">
      <c r="A1681" s="1" t="s">
        <v>10</v>
      </c>
      <c r="B1681" s="53"/>
      <c r="C1681" s="53"/>
      <c r="D1681" s="53"/>
      <c r="E1681" s="53"/>
      <c r="F1681" s="53"/>
      <c r="H1681" s="53"/>
      <c r="I1681" s="53"/>
      <c r="J1681" s="53"/>
      <c r="K1681" s="53"/>
      <c r="L1681" s="53"/>
    </row>
    <row r="1682" spans="1:12">
      <c r="A1682" s="53" t="s">
        <v>11</v>
      </c>
      <c r="B1682" s="53" t="s">
        <v>12</v>
      </c>
      <c r="C1682" s="53" t="s">
        <v>1</v>
      </c>
      <c r="D1682" s="53" t="s">
        <v>6</v>
      </c>
      <c r="E1682" s="53" t="s">
        <v>13</v>
      </c>
      <c r="F1682" s="53" t="s">
        <v>4</v>
      </c>
      <c r="G1682" s="50" t="s">
        <v>9</v>
      </c>
      <c r="H1682" s="53" t="s">
        <v>3</v>
      </c>
      <c r="I1682" s="53"/>
      <c r="J1682" s="53"/>
      <c r="K1682" s="53"/>
    </row>
    <row r="1683" spans="1:12">
      <c r="A1683" s="53" t="str">
        <f>B1675</f>
        <v>hard coal, burned in hard coal residential boiler 5-15kW</v>
      </c>
      <c r="B1683" s="53">
        <v>1</v>
      </c>
      <c r="C1683" s="53" t="str">
        <f>B1676</f>
        <v>CH</v>
      </c>
      <c r="D1683" s="53" t="str">
        <f>B1680</f>
        <v>megajoule</v>
      </c>
      <c r="E1683" s="53"/>
      <c r="F1683" s="53" t="s">
        <v>15</v>
      </c>
      <c r="H1683" s="53" t="str">
        <f>B1678</f>
        <v>heat</v>
      </c>
      <c r="I1683" s="53"/>
      <c r="J1683" s="53"/>
      <c r="K1683" s="53"/>
      <c r="L1683" s="53"/>
    </row>
    <row r="1684" spans="1:12">
      <c r="A1684" s="53" t="s">
        <v>349</v>
      </c>
      <c r="B1684">
        <v>0.8</v>
      </c>
      <c r="C1684" t="s">
        <v>270</v>
      </c>
      <c r="D1684" t="s">
        <v>17</v>
      </c>
      <c r="F1684" t="s">
        <v>18</v>
      </c>
      <c r="H1684" t="s">
        <v>317</v>
      </c>
    </row>
    <row r="1685" spans="1:12">
      <c r="B1685"/>
    </row>
    <row r="1686" spans="1:12" ht="15.75">
      <c r="A1686" s="1" t="s">
        <v>0</v>
      </c>
      <c r="B1686" s="1" t="s">
        <v>352</v>
      </c>
      <c r="C1686" s="53"/>
      <c r="D1686" s="53"/>
      <c r="E1686" s="53"/>
      <c r="F1686" s="53"/>
      <c r="H1686" s="53"/>
    </row>
    <row r="1687" spans="1:12">
      <c r="A1687" s="53" t="s">
        <v>1</v>
      </c>
      <c r="B1687" s="53" t="s">
        <v>104</v>
      </c>
      <c r="C1687" s="53"/>
      <c r="D1687" s="53"/>
      <c r="E1687" s="53"/>
      <c r="F1687" s="53"/>
      <c r="H1687" s="53"/>
      <c r="I1687" s="53"/>
      <c r="J1687" s="53"/>
      <c r="K1687" s="53"/>
      <c r="L1687" s="53"/>
    </row>
    <row r="1688" spans="1:12">
      <c r="A1688" s="53" t="s">
        <v>2</v>
      </c>
      <c r="B1688" s="53">
        <v>1</v>
      </c>
      <c r="C1688" s="53"/>
      <c r="D1688" s="53"/>
      <c r="E1688" s="53"/>
      <c r="F1688" s="53"/>
      <c r="H1688" s="53"/>
      <c r="I1688" s="53"/>
      <c r="J1688" s="53"/>
      <c r="K1688" s="53"/>
      <c r="L1688" s="53"/>
    </row>
    <row r="1689" spans="1:12">
      <c r="A1689" s="53" t="s">
        <v>3</v>
      </c>
      <c r="B1689" s="53" t="s">
        <v>284</v>
      </c>
      <c r="C1689" s="53"/>
      <c r="D1689" s="53"/>
      <c r="E1689" s="53"/>
      <c r="F1689" s="53"/>
      <c r="H1689" s="53"/>
      <c r="I1689" s="53"/>
      <c r="J1689" s="53"/>
    </row>
    <row r="1690" spans="1:12">
      <c r="A1690" s="53" t="s">
        <v>4</v>
      </c>
      <c r="B1690" s="53" t="s">
        <v>5</v>
      </c>
      <c r="C1690" s="53"/>
      <c r="D1690" s="53"/>
      <c r="E1690" s="53"/>
      <c r="F1690" s="53"/>
      <c r="H1690" s="53"/>
      <c r="I1690" s="53"/>
      <c r="J1690" s="53"/>
      <c r="K1690" s="53"/>
      <c r="L1690" s="53"/>
    </row>
    <row r="1691" spans="1:12">
      <c r="A1691" s="53" t="s">
        <v>6</v>
      </c>
      <c r="B1691" s="53" t="s">
        <v>17</v>
      </c>
      <c r="C1691" s="53"/>
      <c r="D1691" s="53"/>
      <c r="E1691" s="53"/>
      <c r="F1691" s="53"/>
      <c r="H1691" s="53"/>
      <c r="I1691" s="53"/>
      <c r="J1691" s="53"/>
      <c r="K1691" s="53"/>
      <c r="L1691" s="53"/>
    </row>
    <row r="1692" spans="1:12" ht="15.75">
      <c r="A1692" s="1" t="s">
        <v>10</v>
      </c>
      <c r="B1692" s="53"/>
      <c r="C1692" s="53"/>
      <c r="D1692" s="53"/>
      <c r="E1692" s="53"/>
      <c r="F1692" s="53"/>
      <c r="H1692" s="53"/>
      <c r="I1692" s="53"/>
      <c r="J1692" s="53"/>
      <c r="K1692" s="53"/>
      <c r="L1692" s="53"/>
    </row>
    <row r="1693" spans="1:12">
      <c r="A1693" s="53" t="s">
        <v>11</v>
      </c>
      <c r="B1693" s="53" t="s">
        <v>12</v>
      </c>
      <c r="C1693" s="53" t="s">
        <v>1</v>
      </c>
      <c r="D1693" s="53" t="s">
        <v>6</v>
      </c>
      <c r="E1693" s="53" t="s">
        <v>13</v>
      </c>
      <c r="F1693" s="53" t="s">
        <v>4</v>
      </c>
      <c r="G1693" s="50" t="s">
        <v>9</v>
      </c>
      <c r="H1693" s="53" t="s">
        <v>3</v>
      </c>
      <c r="I1693" s="53"/>
      <c r="J1693" s="53"/>
      <c r="K1693" s="53"/>
    </row>
    <row r="1694" spans="1:12">
      <c r="A1694" s="53" t="str">
        <f>B1686</f>
        <v>wood, burned in residential wood stove 5-15kW</v>
      </c>
      <c r="B1694" s="53">
        <v>1</v>
      </c>
      <c r="C1694" s="53" t="str">
        <f>B1687</f>
        <v>CH</v>
      </c>
      <c r="D1694" s="53" t="str">
        <f>B1691</f>
        <v>megajoule</v>
      </c>
      <c r="E1694" s="53"/>
      <c r="F1694" s="53" t="s">
        <v>15</v>
      </c>
      <c r="H1694" s="53" t="str">
        <f>B1689</f>
        <v>heat</v>
      </c>
      <c r="I1694" s="53"/>
      <c r="J1694" s="53"/>
      <c r="K1694" s="53"/>
      <c r="L1694" s="53"/>
    </row>
    <row r="1695" spans="1:12">
      <c r="A1695" s="53" t="s">
        <v>351</v>
      </c>
      <c r="B1695">
        <f>1/(0.1078*19.1)</f>
        <v>0.48567737423384383</v>
      </c>
      <c r="C1695" t="s">
        <v>104</v>
      </c>
      <c r="D1695" t="s">
        <v>17</v>
      </c>
      <c r="F1695" t="s">
        <v>18</v>
      </c>
      <c r="H1695" t="s">
        <v>317</v>
      </c>
    </row>
    <row r="1696" spans="1:12">
      <c r="B1696"/>
    </row>
    <row r="1697" spans="1:12" ht="15.75">
      <c r="A1697" s="1" t="s">
        <v>0</v>
      </c>
      <c r="B1697" s="1" t="s">
        <v>353</v>
      </c>
      <c r="C1697" s="53"/>
      <c r="D1697" s="53"/>
      <c r="E1697" s="53"/>
      <c r="F1697" s="53"/>
      <c r="H1697" s="53"/>
    </row>
    <row r="1698" spans="1:12">
      <c r="A1698" s="53" t="s">
        <v>1</v>
      </c>
      <c r="B1698" s="53" t="s">
        <v>104</v>
      </c>
      <c r="C1698" s="53"/>
      <c r="D1698" s="53"/>
      <c r="E1698" s="53"/>
      <c r="F1698" s="53"/>
      <c r="H1698" s="53"/>
      <c r="I1698" s="53"/>
      <c r="J1698" s="53"/>
      <c r="K1698" s="53"/>
      <c r="L1698" s="53"/>
    </row>
    <row r="1699" spans="1:12">
      <c r="A1699" s="53" t="s">
        <v>2</v>
      </c>
      <c r="B1699" s="53">
        <v>1</v>
      </c>
      <c r="C1699" s="53"/>
      <c r="D1699" s="53"/>
      <c r="E1699" s="53"/>
      <c r="F1699" s="53"/>
      <c r="H1699" s="53"/>
      <c r="I1699" s="53"/>
      <c r="J1699" s="53"/>
      <c r="K1699" s="53"/>
      <c r="L1699" s="53"/>
    </row>
    <row r="1700" spans="1:12">
      <c r="A1700" s="53" t="s">
        <v>3</v>
      </c>
      <c r="B1700" s="53" t="s">
        <v>284</v>
      </c>
      <c r="C1700" s="53"/>
      <c r="D1700" s="53"/>
      <c r="E1700" s="53"/>
      <c r="F1700" s="53"/>
      <c r="H1700" s="53"/>
      <c r="I1700" s="53"/>
      <c r="J1700" s="53"/>
    </row>
    <row r="1701" spans="1:12">
      <c r="A1701" s="53" t="s">
        <v>4</v>
      </c>
      <c r="B1701" s="53" t="s">
        <v>5</v>
      </c>
      <c r="C1701" s="53"/>
      <c r="D1701" s="53"/>
      <c r="E1701" s="53"/>
      <c r="F1701" s="53"/>
      <c r="H1701" s="53"/>
      <c r="I1701" s="53"/>
      <c r="J1701" s="53"/>
      <c r="K1701" s="53"/>
      <c r="L1701" s="53"/>
    </row>
    <row r="1702" spans="1:12">
      <c r="A1702" s="53" t="s">
        <v>6</v>
      </c>
      <c r="B1702" s="53" t="s">
        <v>17</v>
      </c>
      <c r="C1702" s="53"/>
      <c r="D1702" s="53"/>
      <c r="E1702" s="53"/>
      <c r="F1702" s="53"/>
      <c r="H1702" s="53"/>
      <c r="I1702" s="53"/>
      <c r="J1702" s="53"/>
      <c r="K1702" s="53"/>
      <c r="L1702" s="53"/>
    </row>
    <row r="1703" spans="1:12" ht="15.75">
      <c r="A1703" s="1" t="s">
        <v>10</v>
      </c>
      <c r="B1703" s="53"/>
      <c r="C1703" s="53"/>
      <c r="D1703" s="53"/>
      <c r="E1703" s="53"/>
      <c r="F1703" s="53"/>
      <c r="H1703" s="53"/>
      <c r="I1703" s="53"/>
      <c r="J1703" s="53"/>
      <c r="K1703" s="53"/>
      <c r="L1703" s="53"/>
    </row>
    <row r="1704" spans="1:12">
      <c r="A1704" s="53" t="s">
        <v>11</v>
      </c>
      <c r="B1704" s="53" t="s">
        <v>12</v>
      </c>
      <c r="C1704" s="53" t="s">
        <v>1</v>
      </c>
      <c r="D1704" s="53" t="s">
        <v>6</v>
      </c>
      <c r="E1704" s="53" t="s">
        <v>13</v>
      </c>
      <c r="F1704" s="53" t="s">
        <v>4</v>
      </c>
      <c r="G1704" s="50" t="s">
        <v>9</v>
      </c>
      <c r="H1704" s="53" t="s">
        <v>3</v>
      </c>
      <c r="I1704" s="53"/>
      <c r="J1704" s="53"/>
      <c r="K1704" s="53"/>
    </row>
    <row r="1705" spans="1:12">
      <c r="A1705" s="53" t="str">
        <f>B1697</f>
        <v>pellet, burned in residential pellet stove 5-15kW</v>
      </c>
      <c r="B1705" s="53">
        <v>1</v>
      </c>
      <c r="C1705" s="53" t="str">
        <f>B1698</f>
        <v>CH</v>
      </c>
      <c r="D1705" s="53" t="str">
        <f>B1702</f>
        <v>megajoule</v>
      </c>
      <c r="E1705" s="53"/>
      <c r="F1705" s="53" t="s">
        <v>15</v>
      </c>
      <c r="H1705" s="53" t="str">
        <f>B1700</f>
        <v>heat</v>
      </c>
      <c r="I1705" s="53"/>
      <c r="J1705" s="53"/>
      <c r="K1705" s="53"/>
      <c r="L1705" s="53"/>
    </row>
    <row r="1706" spans="1:12">
      <c r="A1706" s="53" t="s">
        <v>354</v>
      </c>
      <c r="B1706">
        <f>1/(0.0762357142857144*19.1)</f>
        <v>0.68676500814552244</v>
      </c>
      <c r="C1706" t="s">
        <v>104</v>
      </c>
      <c r="D1706" t="s">
        <v>17</v>
      </c>
      <c r="F1706" t="s">
        <v>18</v>
      </c>
      <c r="H1706" t="s">
        <v>317</v>
      </c>
    </row>
    <row r="1707" spans="1:12">
      <c r="A1707" t="s">
        <v>35</v>
      </c>
      <c r="B1707">
        <v>1</v>
      </c>
      <c r="D1707" t="s">
        <v>17</v>
      </c>
      <c r="E1707" t="s">
        <v>36</v>
      </c>
      <c r="F1707" t="s">
        <v>27</v>
      </c>
    </row>
    <row r="1709" spans="1:12" ht="15.75">
      <c r="A1709" s="1" t="s">
        <v>0</v>
      </c>
      <c r="B1709" s="1" t="s">
        <v>343</v>
      </c>
      <c r="C1709" s="53"/>
      <c r="D1709" s="53"/>
      <c r="E1709" s="53"/>
      <c r="F1709" s="53"/>
      <c r="H1709" s="53"/>
    </row>
    <row r="1710" spans="1:12">
      <c r="A1710" s="53" t="s">
        <v>1</v>
      </c>
      <c r="B1710" s="53" t="s">
        <v>104</v>
      </c>
      <c r="C1710" s="53"/>
      <c r="D1710" s="53"/>
      <c r="E1710" s="53"/>
      <c r="F1710" s="53"/>
      <c r="H1710" s="53"/>
      <c r="I1710" s="53"/>
      <c r="J1710" s="53"/>
      <c r="K1710" s="53"/>
      <c r="L1710" s="53"/>
    </row>
    <row r="1711" spans="1:12">
      <c r="A1711" s="53" t="s">
        <v>2</v>
      </c>
      <c r="B1711" s="53">
        <v>1</v>
      </c>
      <c r="C1711" s="53"/>
      <c r="D1711" s="53"/>
      <c r="E1711" s="53"/>
      <c r="F1711" s="53"/>
      <c r="H1711" s="53"/>
      <c r="I1711" s="53"/>
      <c r="J1711" s="53"/>
      <c r="K1711" s="53"/>
      <c r="L1711" s="53"/>
    </row>
    <row r="1712" spans="1:12">
      <c r="A1712" s="53" t="s">
        <v>3</v>
      </c>
      <c r="B1712" s="53" t="s">
        <v>284</v>
      </c>
      <c r="C1712" s="53"/>
      <c r="D1712" s="53"/>
      <c r="E1712" s="53"/>
      <c r="F1712" s="53"/>
      <c r="H1712" s="53"/>
      <c r="I1712" s="53"/>
      <c r="J1712" s="53"/>
    </row>
    <row r="1713" spans="1:12">
      <c r="A1713" s="53" t="s">
        <v>4</v>
      </c>
      <c r="B1713" s="53" t="s">
        <v>5</v>
      </c>
      <c r="C1713" s="53"/>
      <c r="D1713" s="53"/>
      <c r="E1713" s="53"/>
      <c r="F1713" s="53"/>
      <c r="H1713" s="53"/>
      <c r="I1713" s="53"/>
      <c r="J1713" s="53"/>
      <c r="K1713" s="53"/>
      <c r="L1713" s="53"/>
    </row>
    <row r="1714" spans="1:12">
      <c r="A1714" s="53" t="s">
        <v>6</v>
      </c>
      <c r="B1714" s="53" t="s">
        <v>17</v>
      </c>
      <c r="C1714" s="53"/>
      <c r="D1714" s="53"/>
      <c r="E1714" s="53"/>
      <c r="F1714" s="53"/>
      <c r="H1714" s="53"/>
      <c r="I1714" s="53"/>
      <c r="J1714" s="53"/>
      <c r="K1714" s="53"/>
      <c r="L1714" s="53"/>
    </row>
    <row r="1715" spans="1:12" ht="15.75">
      <c r="A1715" s="1" t="s">
        <v>10</v>
      </c>
      <c r="B1715" s="53"/>
      <c r="C1715" s="53"/>
      <c r="D1715" s="53"/>
      <c r="E1715" s="53"/>
      <c r="F1715" s="53"/>
      <c r="H1715" s="53"/>
      <c r="I1715" s="53"/>
      <c r="J1715" s="53"/>
      <c r="K1715" s="53"/>
      <c r="L1715" s="53"/>
    </row>
    <row r="1716" spans="1:12">
      <c r="A1716" s="53" t="s">
        <v>11</v>
      </c>
      <c r="B1716" s="53" t="s">
        <v>12</v>
      </c>
      <c r="C1716" s="53" t="s">
        <v>1</v>
      </c>
      <c r="D1716" s="53" t="s">
        <v>6</v>
      </c>
      <c r="E1716" s="53" t="s">
        <v>13</v>
      </c>
      <c r="F1716" s="53" t="s">
        <v>4</v>
      </c>
      <c r="G1716" s="50" t="s">
        <v>9</v>
      </c>
      <c r="H1716" s="53" t="s">
        <v>3</v>
      </c>
      <c r="I1716" s="53"/>
      <c r="J1716" s="53"/>
      <c r="K1716" s="53"/>
    </row>
    <row r="1717" spans="1:12">
      <c r="A1717" s="53" t="str">
        <f>B1709</f>
        <v>solar energy, from residential hot water tank</v>
      </c>
      <c r="B1717" s="53">
        <v>1</v>
      </c>
      <c r="C1717" s="53" t="str">
        <f>B1710</f>
        <v>CH</v>
      </c>
      <c r="D1717" s="53" t="str">
        <f>B1714</f>
        <v>megajoule</v>
      </c>
      <c r="E1717" s="53"/>
      <c r="F1717" s="53" t="s">
        <v>15</v>
      </c>
      <c r="H1717" s="53" t="str">
        <f>B1712</f>
        <v>heat</v>
      </c>
      <c r="I1717" s="53"/>
      <c r="J1717" s="53"/>
      <c r="K1717" s="53"/>
      <c r="L1717" s="53"/>
    </row>
    <row r="1718" spans="1:12">
      <c r="A1718" s="53" t="s">
        <v>324</v>
      </c>
      <c r="B1718">
        <f>1/0.28851</f>
        <v>3.4660843644934318</v>
      </c>
      <c r="C1718" t="s">
        <v>104</v>
      </c>
      <c r="D1718" t="s">
        <v>17</v>
      </c>
      <c r="F1718" t="s">
        <v>18</v>
      </c>
      <c r="H1718" t="s">
        <v>325</v>
      </c>
    </row>
    <row r="1719" spans="1:12">
      <c r="B1719"/>
    </row>
    <row r="1720" spans="1:12" ht="15.75">
      <c r="A1720" s="1" t="s">
        <v>0</v>
      </c>
      <c r="B1720" s="1" t="s">
        <v>340</v>
      </c>
      <c r="C1720" s="53"/>
      <c r="D1720" s="53"/>
      <c r="E1720" s="53"/>
      <c r="F1720" s="53"/>
      <c r="H1720" s="53"/>
    </row>
    <row r="1721" spans="1:12">
      <c r="A1721" s="53" t="s">
        <v>1</v>
      </c>
      <c r="B1721" s="53" t="s">
        <v>104</v>
      </c>
      <c r="C1721" s="53"/>
      <c r="D1721" s="53"/>
      <c r="E1721" s="53"/>
      <c r="F1721" s="53"/>
      <c r="H1721" s="53"/>
      <c r="I1721" s="53"/>
      <c r="J1721" s="53"/>
      <c r="K1721" s="53"/>
      <c r="L1721" s="53"/>
    </row>
    <row r="1722" spans="1:12">
      <c r="A1722" s="53" t="s">
        <v>2</v>
      </c>
      <c r="B1722" s="53">
        <v>1</v>
      </c>
      <c r="C1722" s="53"/>
      <c r="D1722" s="53"/>
      <c r="E1722" s="53"/>
      <c r="F1722" s="53"/>
      <c r="H1722" s="53"/>
      <c r="I1722" s="53"/>
      <c r="J1722" s="53"/>
      <c r="K1722" s="53"/>
      <c r="L1722" s="53"/>
    </row>
    <row r="1723" spans="1:12">
      <c r="A1723" s="53" t="s">
        <v>3</v>
      </c>
      <c r="B1723" s="53" t="s">
        <v>284</v>
      </c>
      <c r="C1723" s="53"/>
      <c r="D1723" s="53"/>
      <c r="E1723" s="53"/>
      <c r="F1723" s="53"/>
      <c r="H1723" s="53"/>
      <c r="I1723" s="53"/>
      <c r="J1723" s="53"/>
    </row>
    <row r="1724" spans="1:12">
      <c r="A1724" s="53" t="s">
        <v>4</v>
      </c>
      <c r="B1724" s="53" t="s">
        <v>5</v>
      </c>
      <c r="C1724" s="53"/>
      <c r="D1724" s="53"/>
      <c r="E1724" s="53"/>
      <c r="F1724" s="53"/>
      <c r="H1724" s="53"/>
      <c r="I1724" s="53"/>
      <c r="J1724" s="53"/>
      <c r="K1724" s="53"/>
      <c r="L1724" s="53"/>
    </row>
    <row r="1725" spans="1:12">
      <c r="A1725" s="53" t="s">
        <v>6</v>
      </c>
      <c r="B1725" s="53" t="s">
        <v>17</v>
      </c>
      <c r="C1725" s="53"/>
      <c r="D1725" s="53"/>
      <c r="E1725" s="53"/>
      <c r="F1725" s="53"/>
      <c r="H1725" s="53"/>
      <c r="I1725" s="53"/>
      <c r="J1725" s="53"/>
      <c r="K1725" s="53"/>
      <c r="L1725" s="53"/>
    </row>
    <row r="1726" spans="1:12" ht="15.75">
      <c r="A1726" s="1" t="s">
        <v>10</v>
      </c>
      <c r="B1726" s="53"/>
      <c r="C1726" s="53"/>
      <c r="D1726" s="53"/>
      <c r="E1726" s="53"/>
      <c r="F1726" s="53"/>
      <c r="H1726" s="53"/>
      <c r="I1726" s="53"/>
      <c r="J1726" s="53"/>
      <c r="K1726" s="53"/>
      <c r="L1726" s="53"/>
    </row>
    <row r="1727" spans="1:12">
      <c r="A1727" s="53" t="s">
        <v>11</v>
      </c>
      <c r="B1727" s="53" t="s">
        <v>12</v>
      </c>
      <c r="C1727" s="53" t="s">
        <v>1</v>
      </c>
      <c r="D1727" s="53" t="s">
        <v>6</v>
      </c>
      <c r="E1727" s="53" t="s">
        <v>13</v>
      </c>
      <c r="F1727" s="53" t="s">
        <v>4</v>
      </c>
      <c r="G1727" s="50" t="s">
        <v>9</v>
      </c>
      <c r="H1727" s="53" t="s">
        <v>3</v>
      </c>
      <c r="I1727" s="53"/>
      <c r="J1727" s="53"/>
      <c r="K1727" s="53"/>
    </row>
    <row r="1728" spans="1:12">
      <c r="A1728" s="53" t="str">
        <f>B1720</f>
        <v>heat, from on-site residential gas-fired CHP</v>
      </c>
      <c r="B1728" s="53">
        <v>1</v>
      </c>
      <c r="C1728" s="53" t="str">
        <f>B1721</f>
        <v>CH</v>
      </c>
      <c r="D1728" s="53" t="str">
        <f>B1725</f>
        <v>megajoule</v>
      </c>
      <c r="E1728" s="53"/>
      <c r="F1728" s="53" t="s">
        <v>15</v>
      </c>
      <c r="H1728" s="53" t="str">
        <f>B1723</f>
        <v>heat</v>
      </c>
      <c r="I1728" s="53"/>
      <c r="J1728" s="53"/>
      <c r="K1728" s="53"/>
      <c r="L1728" s="53"/>
    </row>
    <row r="1729" spans="1:12">
      <c r="A1729" s="53" t="s">
        <v>304</v>
      </c>
      <c r="B1729">
        <f>1/(0.0095*36)</f>
        <v>2.9239766081871346</v>
      </c>
      <c r="C1729" t="s">
        <v>104</v>
      </c>
      <c r="D1729" t="s">
        <v>17</v>
      </c>
      <c r="F1729" t="s">
        <v>18</v>
      </c>
      <c r="H1729" t="s">
        <v>186</v>
      </c>
    </row>
    <row r="1730" spans="1:12">
      <c r="B1730"/>
    </row>
    <row r="1731" spans="1:12" ht="15.75">
      <c r="A1731" s="1" t="s">
        <v>0</v>
      </c>
      <c r="B1731" s="1" t="s">
        <v>341</v>
      </c>
      <c r="C1731" s="53"/>
      <c r="D1731" s="53"/>
      <c r="E1731" s="53"/>
      <c r="F1731" s="53"/>
      <c r="H1731" s="53"/>
    </row>
    <row r="1732" spans="1:12">
      <c r="A1732" s="53" t="s">
        <v>1</v>
      </c>
      <c r="B1732" s="53" t="s">
        <v>104</v>
      </c>
      <c r="C1732" s="53"/>
      <c r="D1732" s="53"/>
      <c r="E1732" s="53"/>
      <c r="F1732" s="53"/>
      <c r="H1732" s="53"/>
      <c r="I1732" s="53"/>
      <c r="J1732" s="53"/>
      <c r="K1732" s="53"/>
      <c r="L1732" s="53"/>
    </row>
    <row r="1733" spans="1:12">
      <c r="A1733" s="53" t="s">
        <v>2</v>
      </c>
      <c r="B1733" s="53">
        <v>1</v>
      </c>
      <c r="C1733" s="53"/>
      <c r="D1733" s="53"/>
      <c r="E1733" s="53"/>
      <c r="F1733" s="53"/>
      <c r="H1733" s="53"/>
      <c r="I1733" s="53"/>
      <c r="J1733" s="53"/>
      <c r="K1733" s="53"/>
      <c r="L1733" s="53"/>
    </row>
    <row r="1734" spans="1:12">
      <c r="A1734" s="53" t="s">
        <v>3</v>
      </c>
      <c r="B1734" s="53" t="s">
        <v>284</v>
      </c>
      <c r="C1734" s="53"/>
      <c r="D1734" s="53"/>
      <c r="E1734" s="53"/>
      <c r="F1734" s="53"/>
      <c r="H1734" s="53"/>
      <c r="I1734" s="53"/>
      <c r="J1734" s="53"/>
    </row>
    <row r="1735" spans="1:12">
      <c r="A1735" s="53" t="s">
        <v>4</v>
      </c>
      <c r="B1735" s="53" t="s">
        <v>5</v>
      </c>
      <c r="C1735" s="53"/>
      <c r="D1735" s="53"/>
      <c r="E1735" s="53"/>
      <c r="F1735" s="53"/>
      <c r="H1735" s="53"/>
      <c r="I1735" s="53"/>
      <c r="J1735" s="53"/>
      <c r="K1735" s="53"/>
      <c r="L1735" s="53"/>
    </row>
    <row r="1736" spans="1:12">
      <c r="A1736" s="53" t="s">
        <v>6</v>
      </c>
      <c r="B1736" s="53" t="s">
        <v>17</v>
      </c>
      <c r="C1736" s="53"/>
      <c r="D1736" s="53"/>
      <c r="E1736" s="53"/>
      <c r="F1736" s="53"/>
      <c r="H1736" s="53"/>
      <c r="I1736" s="53"/>
      <c r="J1736" s="53"/>
      <c r="K1736" s="53"/>
      <c r="L1736" s="53"/>
    </row>
    <row r="1737" spans="1:12" ht="15.75">
      <c r="A1737" s="1" t="s">
        <v>10</v>
      </c>
      <c r="B1737" s="53"/>
      <c r="C1737" s="53"/>
      <c r="D1737" s="53"/>
      <c r="E1737" s="53"/>
      <c r="F1737" s="53"/>
      <c r="H1737" s="53"/>
      <c r="I1737" s="53"/>
      <c r="J1737" s="53"/>
      <c r="K1737" s="53"/>
      <c r="L1737" s="53"/>
    </row>
    <row r="1738" spans="1:12">
      <c r="A1738" s="53" t="s">
        <v>11</v>
      </c>
      <c r="B1738" s="53" t="s">
        <v>12</v>
      </c>
      <c r="C1738" s="53" t="s">
        <v>1</v>
      </c>
      <c r="D1738" s="53" t="s">
        <v>6</v>
      </c>
      <c r="E1738" s="53" t="s">
        <v>13</v>
      </c>
      <c r="F1738" s="53" t="s">
        <v>4</v>
      </c>
      <c r="G1738" s="50" t="s">
        <v>9</v>
      </c>
      <c r="H1738" s="53" t="s">
        <v>3</v>
      </c>
      <c r="I1738" s="53"/>
      <c r="J1738" s="53"/>
      <c r="K1738" s="53"/>
    </row>
    <row r="1739" spans="1:12">
      <c r="A1739" s="53" t="str">
        <f>B1731</f>
        <v>heat, from on-site residential fuel cell CHP</v>
      </c>
      <c r="B1739" s="53">
        <v>1</v>
      </c>
      <c r="C1739" s="53" t="str">
        <f>B1732</f>
        <v>CH</v>
      </c>
      <c r="D1739" s="53" t="str">
        <f>B1736</f>
        <v>megajoule</v>
      </c>
      <c r="E1739" s="53"/>
      <c r="F1739" s="53" t="s">
        <v>15</v>
      </c>
      <c r="H1739" s="53" t="str">
        <f>B1734</f>
        <v>heat</v>
      </c>
      <c r="I1739" s="53"/>
      <c r="J1739" s="53"/>
      <c r="K1739" s="53"/>
      <c r="L1739" s="53"/>
    </row>
    <row r="1740" spans="1:12">
      <c r="A1740" s="53" t="s">
        <v>304</v>
      </c>
      <c r="B1740">
        <f>1/(0.0095*36)</f>
        <v>2.9239766081871346</v>
      </c>
      <c r="C1740" t="s">
        <v>104</v>
      </c>
      <c r="D1740" t="s">
        <v>17</v>
      </c>
      <c r="F1740" t="s">
        <v>18</v>
      </c>
      <c r="H1740" t="s">
        <v>186</v>
      </c>
    </row>
    <row r="1741" spans="1:12">
      <c r="B1741"/>
    </row>
    <row r="1742" spans="1:12" ht="15.75">
      <c r="A1742" s="1" t="s">
        <v>0</v>
      </c>
      <c r="B1742" s="1" t="s">
        <v>342</v>
      </c>
      <c r="C1742" s="53"/>
      <c r="D1742" s="53"/>
      <c r="E1742" s="53"/>
      <c r="F1742" s="53"/>
      <c r="H1742" s="53"/>
    </row>
    <row r="1743" spans="1:12">
      <c r="A1743" s="53" t="s">
        <v>1</v>
      </c>
      <c r="B1743" s="53" t="s">
        <v>104</v>
      </c>
      <c r="C1743" s="53"/>
      <c r="D1743" s="53"/>
      <c r="E1743" s="53"/>
      <c r="F1743" s="53"/>
      <c r="H1743" s="53"/>
      <c r="I1743" s="53"/>
      <c r="J1743" s="53"/>
      <c r="K1743" s="53"/>
      <c r="L1743" s="53"/>
    </row>
    <row r="1744" spans="1:12">
      <c r="A1744" s="53" t="s">
        <v>2</v>
      </c>
      <c r="B1744" s="53">
        <v>1</v>
      </c>
      <c r="C1744" s="53"/>
      <c r="D1744" s="53"/>
      <c r="E1744" s="53"/>
      <c r="F1744" s="53"/>
      <c r="H1744" s="53"/>
      <c r="I1744" s="53"/>
      <c r="J1744" s="53"/>
      <c r="K1744" s="53"/>
      <c r="L1744" s="53"/>
    </row>
    <row r="1745" spans="1:12">
      <c r="A1745" s="53" t="s">
        <v>3</v>
      </c>
      <c r="B1745" s="53" t="s">
        <v>284</v>
      </c>
      <c r="C1745" s="53"/>
      <c r="D1745" s="53"/>
      <c r="E1745" s="53"/>
      <c r="F1745" s="53"/>
      <c r="H1745" s="53"/>
      <c r="I1745" s="53"/>
      <c r="J1745" s="53"/>
    </row>
    <row r="1746" spans="1:12">
      <c r="A1746" s="53" t="s">
        <v>4</v>
      </c>
      <c r="B1746" s="53" t="s">
        <v>5</v>
      </c>
      <c r="C1746" s="53"/>
      <c r="D1746" s="53"/>
      <c r="E1746" s="53"/>
      <c r="F1746" s="53"/>
      <c r="H1746" s="53"/>
      <c r="I1746" s="53"/>
      <c r="J1746" s="53"/>
      <c r="K1746" s="53"/>
      <c r="L1746" s="53"/>
    </row>
    <row r="1747" spans="1:12">
      <c r="A1747" s="53" t="s">
        <v>6</v>
      </c>
      <c r="B1747" s="53" t="s">
        <v>17</v>
      </c>
      <c r="C1747" s="53"/>
      <c r="D1747" s="53"/>
      <c r="E1747" s="53"/>
      <c r="F1747" s="53"/>
      <c r="H1747" s="53"/>
      <c r="I1747" s="53"/>
      <c r="J1747" s="53"/>
      <c r="K1747" s="53"/>
      <c r="L1747" s="53"/>
    </row>
    <row r="1748" spans="1:12" ht="15.75">
      <c r="A1748" s="1" t="s">
        <v>10</v>
      </c>
      <c r="B1748" s="53"/>
      <c r="C1748" s="53"/>
      <c r="D1748" s="53"/>
      <c r="E1748" s="53"/>
      <c r="F1748" s="53"/>
      <c r="H1748" s="53"/>
      <c r="I1748" s="53"/>
      <c r="J1748" s="53"/>
      <c r="K1748" s="53"/>
      <c r="L1748" s="53"/>
    </row>
    <row r="1749" spans="1:12">
      <c r="A1749" s="53" t="s">
        <v>11</v>
      </c>
      <c r="B1749" s="53" t="s">
        <v>12</v>
      </c>
      <c r="C1749" s="53" t="s">
        <v>1</v>
      </c>
      <c r="D1749" s="53" t="s">
        <v>6</v>
      </c>
      <c r="E1749" s="53" t="s">
        <v>13</v>
      </c>
      <c r="F1749" s="53" t="s">
        <v>4</v>
      </c>
      <c r="G1749" s="50" t="s">
        <v>9</v>
      </c>
      <c r="H1749" s="53" t="s">
        <v>3</v>
      </c>
      <c r="I1749" s="53"/>
      <c r="J1749" s="53"/>
      <c r="K1749" s="53"/>
    </row>
    <row r="1750" spans="1:12">
      <c r="A1750" s="53" t="str">
        <f>B1742</f>
        <v>heat, from on-site residential wood-fired CHP</v>
      </c>
      <c r="B1750" s="53">
        <v>1</v>
      </c>
      <c r="C1750" s="53" t="str">
        <f>B1743</f>
        <v>CH</v>
      </c>
      <c r="D1750" s="53" t="str">
        <f>B1747</f>
        <v>megajoule</v>
      </c>
      <c r="E1750" s="53"/>
      <c r="F1750" s="53" t="s">
        <v>15</v>
      </c>
      <c r="H1750" s="53" t="str">
        <f>B1745</f>
        <v>heat</v>
      </c>
      <c r="I1750" s="53"/>
      <c r="J1750" s="53"/>
      <c r="K1750" s="53"/>
      <c r="L1750" s="53"/>
    </row>
    <row r="1751" spans="1:12">
      <c r="A1751" s="53" t="s">
        <v>326</v>
      </c>
      <c r="B1751">
        <f>1/(0.0396618169378429*19)</f>
        <v>1.3270087709257352</v>
      </c>
      <c r="C1751" t="s">
        <v>104</v>
      </c>
      <c r="D1751" t="s">
        <v>17</v>
      </c>
      <c r="F1751" t="s">
        <v>18</v>
      </c>
      <c r="H1751" t="s">
        <v>294</v>
      </c>
    </row>
    <row r="1753" spans="1:12">
      <c r="B1753"/>
    </row>
    <row r="1754" spans="1:12" ht="15.75">
      <c r="A1754" s="1" t="s">
        <v>0</v>
      </c>
      <c r="B1754" s="1" t="s">
        <v>471</v>
      </c>
      <c r="C1754" s="53"/>
      <c r="D1754" s="53"/>
      <c r="E1754" s="53"/>
      <c r="F1754" s="53"/>
      <c r="G1754" s="53"/>
      <c r="H1754" s="53"/>
    </row>
    <row r="1755" spans="1:12">
      <c r="A1755" s="53" t="s">
        <v>1</v>
      </c>
      <c r="B1755" s="53" t="s">
        <v>104</v>
      </c>
      <c r="C1755" s="53"/>
      <c r="D1755" s="53"/>
      <c r="E1755" s="53"/>
      <c r="F1755" s="53"/>
      <c r="G1755" s="53"/>
      <c r="H1755" s="53"/>
      <c r="I1755" s="53"/>
      <c r="J1755" s="53"/>
      <c r="K1755" s="53"/>
      <c r="L1755" s="53"/>
    </row>
    <row r="1756" spans="1:12">
      <c r="A1756" s="53" t="s">
        <v>2</v>
      </c>
      <c r="B1756" s="53">
        <v>1</v>
      </c>
      <c r="C1756" s="53"/>
      <c r="D1756" s="53"/>
      <c r="E1756" s="53"/>
      <c r="F1756" s="53"/>
      <c r="G1756" s="53"/>
      <c r="H1756" s="53"/>
      <c r="I1756" s="53"/>
      <c r="J1756" s="53"/>
      <c r="K1756" s="53"/>
      <c r="L1756" s="53"/>
    </row>
    <row r="1757" spans="1:12">
      <c r="A1757" s="53" t="s">
        <v>3</v>
      </c>
      <c r="B1757" s="53" t="s">
        <v>284</v>
      </c>
      <c r="C1757" s="53"/>
      <c r="D1757" s="53"/>
      <c r="E1757" s="53"/>
      <c r="F1757" s="53"/>
      <c r="G1757" s="53"/>
      <c r="H1757" s="53"/>
      <c r="I1757" s="53"/>
      <c r="J1757" s="53"/>
    </row>
    <row r="1758" spans="1:12">
      <c r="A1758" s="53" t="s">
        <v>4</v>
      </c>
      <c r="B1758" s="53" t="s">
        <v>5</v>
      </c>
      <c r="C1758" s="53"/>
      <c r="D1758" s="53"/>
      <c r="E1758" s="53"/>
      <c r="F1758" s="53"/>
      <c r="G1758" s="53"/>
      <c r="H1758" s="53"/>
      <c r="I1758" s="53"/>
      <c r="J1758" s="53"/>
      <c r="K1758" s="53"/>
      <c r="L1758" s="53"/>
    </row>
    <row r="1759" spans="1:12">
      <c r="A1759" s="53" t="s">
        <v>6</v>
      </c>
      <c r="B1759" s="53" t="s">
        <v>17</v>
      </c>
      <c r="C1759" s="53"/>
      <c r="D1759" s="53"/>
      <c r="E1759" s="53"/>
      <c r="F1759" s="53"/>
      <c r="G1759" s="53"/>
      <c r="H1759" s="53"/>
      <c r="I1759" s="53"/>
      <c r="J1759" s="53"/>
      <c r="K1759" s="53"/>
      <c r="L1759" s="53"/>
    </row>
    <row r="1760" spans="1:12" ht="15.75">
      <c r="A1760" s="1" t="s">
        <v>10</v>
      </c>
      <c r="B1760" s="53"/>
      <c r="C1760" s="53"/>
      <c r="D1760" s="53"/>
      <c r="E1760" s="53"/>
      <c r="F1760" s="53"/>
      <c r="G1760" s="53"/>
      <c r="H1760" s="53"/>
      <c r="I1760" s="53"/>
      <c r="J1760" s="53"/>
      <c r="K1760" s="53"/>
      <c r="L1760" s="53"/>
    </row>
    <row r="1761" spans="1:12">
      <c r="A1761" s="53" t="s">
        <v>11</v>
      </c>
      <c r="B1761" s="53" t="s">
        <v>12</v>
      </c>
      <c r="C1761" s="53" t="s">
        <v>1</v>
      </c>
      <c r="D1761" s="53" t="s">
        <v>6</v>
      </c>
      <c r="E1761" s="53" t="s">
        <v>13</v>
      </c>
      <c r="F1761" s="53" t="s">
        <v>4</v>
      </c>
      <c r="G1761" s="53" t="s">
        <v>3</v>
      </c>
      <c r="H1761" s="53"/>
      <c r="I1761" s="53"/>
      <c r="J1761" s="53"/>
      <c r="K1761" s="53"/>
    </row>
    <row r="1762" spans="1:12">
      <c r="A1762" s="53" t="str">
        <f>B1754</f>
        <v>diesel, burned in passenger car vehicle</v>
      </c>
      <c r="B1762" s="53">
        <v>1</v>
      </c>
      <c r="C1762" s="53" t="str">
        <f>B1755</f>
        <v>CH</v>
      </c>
      <c r="D1762" s="53" t="str">
        <f>B1759</f>
        <v>megajoule</v>
      </c>
      <c r="E1762" s="53"/>
      <c r="F1762" s="53" t="s">
        <v>15</v>
      </c>
      <c r="G1762" s="53" t="str">
        <f>B1757</f>
        <v>heat</v>
      </c>
      <c r="H1762" s="53"/>
      <c r="I1762" s="53"/>
      <c r="J1762" s="53"/>
      <c r="K1762" s="53"/>
      <c r="L1762" s="53"/>
    </row>
    <row r="1763" spans="1:12">
      <c r="A1763" s="53" t="s">
        <v>376</v>
      </c>
      <c r="B1763">
        <f>1/43</f>
        <v>2.3255813953488372E-2</v>
      </c>
      <c r="C1763" t="s">
        <v>104</v>
      </c>
      <c r="D1763" t="s">
        <v>7</v>
      </c>
      <c r="F1763" t="s">
        <v>18</v>
      </c>
      <c r="G1763" t="s">
        <v>356</v>
      </c>
    </row>
    <row r="1764" spans="1:12">
      <c r="A1764" s="53" t="s">
        <v>357</v>
      </c>
      <c r="B1764">
        <f>150/200000/2.15</f>
        <v>3.4883720930232559E-4</v>
      </c>
      <c r="C1764" t="s">
        <v>24</v>
      </c>
      <c r="D1764" t="s">
        <v>7</v>
      </c>
      <c r="F1764" t="s">
        <v>18</v>
      </c>
      <c r="G1764" t="s">
        <v>358</v>
      </c>
    </row>
    <row r="1765" spans="1:12">
      <c r="A1765" t="s">
        <v>359</v>
      </c>
      <c r="B1765" s="3">
        <v>7.1455665432553858E-7</v>
      </c>
      <c r="D1765" t="s">
        <v>7</v>
      </c>
      <c r="E1765" t="s">
        <v>243</v>
      </c>
      <c r="F1765" s="53" t="s">
        <v>27</v>
      </c>
      <c r="H1765" s="3"/>
    </row>
    <row r="1766" spans="1:12">
      <c r="A1766" t="s">
        <v>360</v>
      </c>
      <c r="B1766" s="3">
        <v>3.2468920124586623E-7</v>
      </c>
      <c r="D1766" t="s">
        <v>7</v>
      </c>
      <c r="E1766" t="s">
        <v>243</v>
      </c>
      <c r="F1766" s="53" t="s">
        <v>27</v>
      </c>
      <c r="H1766" s="3"/>
    </row>
    <row r="1767" spans="1:12">
      <c r="A1767" t="s">
        <v>361</v>
      </c>
      <c r="B1767" s="3">
        <v>3.9534349472964383E-7</v>
      </c>
      <c r="D1767" t="s">
        <v>7</v>
      </c>
      <c r="E1767" t="s">
        <v>243</v>
      </c>
      <c r="F1767" s="53" t="s">
        <v>27</v>
      </c>
      <c r="H1767" s="3"/>
    </row>
    <row r="1768" spans="1:12">
      <c r="A1768" t="s">
        <v>188</v>
      </c>
      <c r="B1768" s="3">
        <v>3.7209280955662761E-7</v>
      </c>
      <c r="D1768" t="s">
        <v>7</v>
      </c>
      <c r="E1768" t="s">
        <v>243</v>
      </c>
      <c r="F1768" s="53" t="s">
        <v>27</v>
      </c>
      <c r="H1768" s="3"/>
    </row>
    <row r="1769" spans="1:12">
      <c r="A1769" t="s">
        <v>362</v>
      </c>
      <c r="B1769" s="3">
        <v>9.4995966427857817E-8</v>
      </c>
      <c r="D1769" t="s">
        <v>7</v>
      </c>
      <c r="E1769" t="s">
        <v>243</v>
      </c>
      <c r="F1769" s="53" t="s">
        <v>27</v>
      </c>
      <c r="H1769" s="3"/>
    </row>
    <row r="1770" spans="1:12">
      <c r="A1770" t="s">
        <v>192</v>
      </c>
      <c r="B1770" s="3">
        <v>2.186743705223342E-7</v>
      </c>
      <c r="D1770" t="s">
        <v>7</v>
      </c>
      <c r="E1770" t="s">
        <v>243</v>
      </c>
      <c r="F1770" s="53" t="s">
        <v>27</v>
      </c>
      <c r="H1770" s="3"/>
    </row>
    <row r="1771" spans="1:12">
      <c r="A1771" t="s">
        <v>363</v>
      </c>
      <c r="B1771" s="3">
        <v>1.2147463123534157E-8</v>
      </c>
      <c r="D1771" t="s">
        <v>7</v>
      </c>
      <c r="E1771" t="s">
        <v>243</v>
      </c>
      <c r="F1771" s="53" t="s">
        <v>27</v>
      </c>
      <c r="H1771" s="3"/>
    </row>
    <row r="1772" spans="1:12">
      <c r="A1772" t="s">
        <v>196</v>
      </c>
      <c r="B1772" s="3">
        <v>2.3255800597289225E-10</v>
      </c>
      <c r="D1772" t="s">
        <v>7</v>
      </c>
      <c r="E1772" t="s">
        <v>243</v>
      </c>
      <c r="F1772" s="53" t="s">
        <v>27</v>
      </c>
      <c r="H1772" s="3"/>
    </row>
    <row r="1773" spans="1:12">
      <c r="A1773" t="s">
        <v>143</v>
      </c>
      <c r="B1773">
        <f>B1763*3.15</f>
        <v>7.3255813953488375E-2</v>
      </c>
      <c r="D1773" t="s">
        <v>7</v>
      </c>
      <c r="E1773" t="s">
        <v>243</v>
      </c>
      <c r="F1773" s="53" t="s">
        <v>27</v>
      </c>
      <c r="H1773" s="3"/>
    </row>
    <row r="1774" spans="1:12">
      <c r="A1774" t="s">
        <v>197</v>
      </c>
      <c r="B1774" s="3">
        <v>2.1069404153243686E-5</v>
      </c>
      <c r="D1774" t="s">
        <v>7</v>
      </c>
      <c r="E1774" t="s">
        <v>243</v>
      </c>
      <c r="F1774" s="53" t="s">
        <v>27</v>
      </c>
      <c r="H1774" s="3"/>
    </row>
    <row r="1775" spans="1:12">
      <c r="A1775" t="s">
        <v>198</v>
      </c>
      <c r="B1775" s="3">
        <v>1.1627900298644613E-9</v>
      </c>
      <c r="D1775" t="s">
        <v>7</v>
      </c>
      <c r="E1775" t="s">
        <v>243</v>
      </c>
      <c r="F1775" s="53" t="s">
        <v>27</v>
      </c>
      <c r="H1775" s="3"/>
    </row>
    <row r="1776" spans="1:12">
      <c r="A1776" t="s">
        <v>234</v>
      </c>
      <c r="B1776" s="3">
        <v>2.3255800597289222E-12</v>
      </c>
      <c r="D1776" t="s">
        <v>7</v>
      </c>
      <c r="E1776" t="s">
        <v>243</v>
      </c>
      <c r="F1776" s="53" t="s">
        <v>27</v>
      </c>
      <c r="H1776" s="3"/>
    </row>
    <row r="1777" spans="1:8">
      <c r="A1777" t="s">
        <v>200</v>
      </c>
      <c r="B1777" s="3">
        <v>3.9534861015391682E-8</v>
      </c>
      <c r="D1777" t="s">
        <v>7</v>
      </c>
      <c r="E1777" t="s">
        <v>243</v>
      </c>
      <c r="F1777" s="53" t="s">
        <v>27</v>
      </c>
      <c r="H1777" s="3"/>
    </row>
    <row r="1778" spans="1:8">
      <c r="A1778" t="s">
        <v>476</v>
      </c>
      <c r="B1778" s="3">
        <v>7.1789570411210658E-8</v>
      </c>
      <c r="D1778" t="s">
        <v>7</v>
      </c>
      <c r="E1778" t="s">
        <v>243</v>
      </c>
      <c r="F1778" s="53" t="s">
        <v>27</v>
      </c>
      <c r="H1778" s="3"/>
    </row>
    <row r="1779" spans="1:8">
      <c r="A1779" t="s">
        <v>202</v>
      </c>
      <c r="B1779" s="3">
        <v>1.1627900298644611E-6</v>
      </c>
      <c r="D1779" t="s">
        <v>7</v>
      </c>
      <c r="E1779" t="s">
        <v>243</v>
      </c>
      <c r="F1779" s="53" t="s">
        <v>27</v>
      </c>
      <c r="H1779" s="3"/>
    </row>
    <row r="1780" spans="1:8">
      <c r="A1780" t="s">
        <v>364</v>
      </c>
      <c r="B1780" s="3">
        <v>3.646242366932188E-8</v>
      </c>
      <c r="D1780" t="s">
        <v>7</v>
      </c>
      <c r="E1780" t="s">
        <v>243</v>
      </c>
      <c r="F1780" s="53" t="s">
        <v>27</v>
      </c>
      <c r="H1780" s="3"/>
    </row>
    <row r="1781" spans="1:8">
      <c r="A1781" t="s">
        <v>365</v>
      </c>
      <c r="B1781" s="3">
        <v>1.2114072625668476E-6</v>
      </c>
      <c r="D1781" t="s">
        <v>7</v>
      </c>
      <c r="E1781" t="s">
        <v>243</v>
      </c>
      <c r="F1781" s="53" t="s">
        <v>27</v>
      </c>
      <c r="H1781" s="3"/>
    </row>
    <row r="1782" spans="1:8">
      <c r="A1782" t="s">
        <v>366</v>
      </c>
      <c r="B1782" s="3">
        <v>1.3252688602888143E-6</v>
      </c>
      <c r="D1782" t="s">
        <v>7</v>
      </c>
      <c r="E1782" t="s">
        <v>243</v>
      </c>
      <c r="F1782" s="53" t="s">
        <v>27</v>
      </c>
      <c r="H1782" s="3"/>
    </row>
    <row r="1783" spans="1:8">
      <c r="A1783" t="s">
        <v>367</v>
      </c>
      <c r="B1783" s="3">
        <v>2.2087814338146904E-8</v>
      </c>
      <c r="D1783" t="s">
        <v>7</v>
      </c>
      <c r="E1783" t="s">
        <v>243</v>
      </c>
      <c r="F1783" s="53" t="s">
        <v>27</v>
      </c>
      <c r="H1783" s="3"/>
    </row>
    <row r="1784" spans="1:8">
      <c r="A1784" t="s">
        <v>208</v>
      </c>
      <c r="B1784" s="3">
        <v>1.9186035492763611E-15</v>
      </c>
      <c r="D1784" t="s">
        <v>7</v>
      </c>
      <c r="E1784" t="s">
        <v>243</v>
      </c>
      <c r="F1784" s="53" t="s">
        <v>27</v>
      </c>
      <c r="H1784" s="3"/>
    </row>
    <row r="1785" spans="1:8">
      <c r="A1785" t="s">
        <v>210</v>
      </c>
      <c r="B1785" s="3">
        <v>4.6511601194578451E-13</v>
      </c>
      <c r="D1785" t="s">
        <v>7</v>
      </c>
      <c r="E1785" t="s">
        <v>243</v>
      </c>
      <c r="F1785" s="53" t="s">
        <v>27</v>
      </c>
      <c r="H1785" s="3"/>
    </row>
    <row r="1786" spans="1:8">
      <c r="A1786" t="s">
        <v>211</v>
      </c>
      <c r="B1786" s="3">
        <v>6.6447090752701953E-7</v>
      </c>
      <c r="D1786" t="s">
        <v>7</v>
      </c>
      <c r="E1786" t="s">
        <v>243</v>
      </c>
      <c r="F1786" s="53" t="s">
        <v>27</v>
      </c>
      <c r="H1786" s="3"/>
    </row>
    <row r="1787" spans="1:8">
      <c r="A1787" t="s">
        <v>368</v>
      </c>
      <c r="B1787" s="3">
        <v>1.3252688602888143E-7</v>
      </c>
      <c r="D1787" t="s">
        <v>7</v>
      </c>
      <c r="E1787" t="s">
        <v>243</v>
      </c>
      <c r="F1787" s="53" t="s">
        <v>27</v>
      </c>
      <c r="H1787" s="3"/>
    </row>
    <row r="1788" spans="1:8">
      <c r="A1788" t="s">
        <v>212</v>
      </c>
      <c r="B1788" s="3">
        <v>5.8566933256401625E-6</v>
      </c>
      <c r="D1788" t="s">
        <v>7</v>
      </c>
      <c r="E1788" t="s">
        <v>243</v>
      </c>
      <c r="F1788" s="53" t="s">
        <v>27</v>
      </c>
      <c r="H1788" s="3"/>
    </row>
    <row r="1789" spans="1:8">
      <c r="A1789" t="s">
        <v>213</v>
      </c>
      <c r="B1789" s="3">
        <v>1.6279060418102458E-9</v>
      </c>
      <c r="D1789" t="s">
        <v>7</v>
      </c>
      <c r="E1789" t="s">
        <v>243</v>
      </c>
      <c r="F1789" s="53" t="s">
        <v>27</v>
      </c>
      <c r="H1789" s="3"/>
    </row>
    <row r="1790" spans="1:8">
      <c r="A1790" t="s">
        <v>214</v>
      </c>
      <c r="B1790">
        <v>2.2614048584510013E-4</v>
      </c>
      <c r="D1790" t="s">
        <v>7</v>
      </c>
      <c r="E1790" t="s">
        <v>243</v>
      </c>
      <c r="F1790" s="53" t="s">
        <v>27</v>
      </c>
      <c r="H1790" s="3"/>
    </row>
    <row r="1791" spans="1:8">
      <c r="A1791" t="s">
        <v>369</v>
      </c>
      <c r="B1791" s="3">
        <v>4.2883696301401334E-9</v>
      </c>
      <c r="D1791" t="s">
        <v>7</v>
      </c>
      <c r="E1791" t="s">
        <v>243</v>
      </c>
      <c r="F1791" s="53" t="s">
        <v>27</v>
      </c>
      <c r="H1791" s="3"/>
    </row>
    <row r="1792" spans="1:8">
      <c r="A1792" t="s">
        <v>215</v>
      </c>
      <c r="B1792" s="3">
        <v>6.3929447213629726E-7</v>
      </c>
      <c r="D1792" t="s">
        <v>7</v>
      </c>
      <c r="E1792" t="s">
        <v>243</v>
      </c>
      <c r="F1792" s="53" t="s">
        <v>27</v>
      </c>
      <c r="H1792" s="3"/>
    </row>
    <row r="1793" spans="1:12">
      <c r="A1793" t="s">
        <v>370</v>
      </c>
      <c r="B1793" s="3">
        <v>4.417562867629381E-9</v>
      </c>
      <c r="D1793" t="s">
        <v>7</v>
      </c>
      <c r="E1793" t="s">
        <v>243</v>
      </c>
      <c r="F1793" s="53" t="s">
        <v>27</v>
      </c>
      <c r="H1793" s="3"/>
    </row>
    <row r="1794" spans="1:12">
      <c r="A1794" t="s">
        <v>371</v>
      </c>
      <c r="B1794" s="3">
        <v>1.2147463123534157E-8</v>
      </c>
      <c r="D1794" t="s">
        <v>7</v>
      </c>
      <c r="E1794" t="s">
        <v>243</v>
      </c>
      <c r="F1794" s="53" t="s">
        <v>27</v>
      </c>
      <c r="H1794" s="3"/>
    </row>
    <row r="1795" spans="1:12">
      <c r="A1795" t="s">
        <v>372</v>
      </c>
      <c r="B1795" s="3">
        <v>3.9768082958024133E-7</v>
      </c>
      <c r="D1795" t="s">
        <v>7</v>
      </c>
      <c r="E1795" t="s">
        <v>243</v>
      </c>
      <c r="F1795" s="53" t="s">
        <v>27</v>
      </c>
      <c r="H1795" s="3"/>
    </row>
    <row r="1796" spans="1:12">
      <c r="A1796" t="s">
        <v>218</v>
      </c>
      <c r="B1796" s="3">
        <v>2.3255800597289225E-10</v>
      </c>
      <c r="D1796" t="s">
        <v>7</v>
      </c>
      <c r="E1796" t="s">
        <v>243</v>
      </c>
      <c r="F1796" s="53" t="s">
        <v>27</v>
      </c>
      <c r="H1796" s="3"/>
    </row>
    <row r="1797" spans="1:12">
      <c r="A1797" t="s">
        <v>373</v>
      </c>
      <c r="B1797" s="3">
        <v>4.0869969387591558E-8</v>
      </c>
      <c r="D1797" t="s">
        <v>7</v>
      </c>
      <c r="E1797" t="s">
        <v>243</v>
      </c>
      <c r="F1797" s="53" t="s">
        <v>27</v>
      </c>
      <c r="H1797" s="3"/>
    </row>
    <row r="1798" spans="1:12">
      <c r="A1798" t="s">
        <v>221</v>
      </c>
      <c r="B1798" s="3">
        <v>4.651160119457845E-7</v>
      </c>
      <c r="D1798" t="s">
        <v>7</v>
      </c>
      <c r="E1798" t="s">
        <v>243</v>
      </c>
      <c r="F1798" s="53" t="s">
        <v>27</v>
      </c>
      <c r="H1798" s="3"/>
    </row>
    <row r="1799" spans="1:12">
      <c r="A1799" t="s">
        <v>225</v>
      </c>
      <c r="B1799" s="3">
        <v>7.619711612948033E-8</v>
      </c>
      <c r="D1799" t="s">
        <v>7</v>
      </c>
      <c r="E1799" t="s">
        <v>243</v>
      </c>
      <c r="F1799" s="53" t="s">
        <v>27</v>
      </c>
      <c r="H1799" s="3"/>
    </row>
    <row r="1800" spans="1:12">
      <c r="A1800" t="s">
        <v>228</v>
      </c>
      <c r="B1800" s="3">
        <v>2.3255800597289226E-8</v>
      </c>
      <c r="D1800" t="s">
        <v>7</v>
      </c>
      <c r="E1800" t="s">
        <v>243</v>
      </c>
      <c r="F1800" s="53" t="s">
        <v>27</v>
      </c>
      <c r="H1800" s="3"/>
    </row>
    <row r="1801" spans="1:12">
      <c r="A1801" t="s">
        <v>374</v>
      </c>
      <c r="B1801" s="3">
        <v>6.7382024692940973E-8</v>
      </c>
      <c r="D1801" t="s">
        <v>7</v>
      </c>
      <c r="E1801" t="s">
        <v>243</v>
      </c>
      <c r="F1801" s="53" t="s">
        <v>27</v>
      </c>
      <c r="H1801" s="3"/>
    </row>
    <row r="1802" spans="1:12">
      <c r="A1802" t="s">
        <v>375</v>
      </c>
      <c r="B1802" s="3">
        <v>2.9821053643838246E-8</v>
      </c>
      <c r="D1802" t="s">
        <v>7</v>
      </c>
      <c r="E1802" t="s">
        <v>243</v>
      </c>
      <c r="F1802" s="53" t="s">
        <v>27</v>
      </c>
      <c r="H1802" s="3"/>
    </row>
    <row r="1803" spans="1:12">
      <c r="B1803"/>
      <c r="F1803" s="53"/>
      <c r="H1803" s="3"/>
    </row>
    <row r="1804" spans="1:12" ht="15.75">
      <c r="A1804" s="1" t="s">
        <v>0</v>
      </c>
      <c r="B1804" s="1" t="s">
        <v>472</v>
      </c>
      <c r="C1804" s="53"/>
      <c r="D1804" s="53"/>
      <c r="E1804" s="53"/>
      <c r="F1804" s="53"/>
      <c r="G1804" s="53"/>
      <c r="H1804" s="53"/>
    </row>
    <row r="1805" spans="1:12">
      <c r="A1805" s="53" t="s">
        <v>1</v>
      </c>
      <c r="B1805" s="53" t="s">
        <v>104</v>
      </c>
      <c r="C1805" s="53"/>
      <c r="D1805" s="53"/>
      <c r="E1805" s="53"/>
      <c r="F1805" s="53"/>
      <c r="G1805" s="53"/>
      <c r="H1805" s="53"/>
      <c r="I1805" s="53"/>
      <c r="J1805" s="53"/>
      <c r="K1805" s="53"/>
      <c r="L1805" s="53"/>
    </row>
    <row r="1806" spans="1:12">
      <c r="A1806" s="53" t="s">
        <v>2</v>
      </c>
      <c r="B1806" s="53">
        <v>1</v>
      </c>
      <c r="C1806" s="53"/>
      <c r="D1806" s="53"/>
      <c r="E1806" s="53"/>
      <c r="F1806" s="53"/>
      <c r="G1806" s="53"/>
      <c r="H1806" s="53"/>
      <c r="I1806" s="53"/>
      <c r="J1806" s="53"/>
      <c r="K1806" s="53"/>
      <c r="L1806" s="53"/>
    </row>
    <row r="1807" spans="1:12">
      <c r="A1807" s="53" t="s">
        <v>3</v>
      </c>
      <c r="B1807" s="53" t="s">
        <v>284</v>
      </c>
      <c r="C1807" s="53"/>
      <c r="D1807" s="53"/>
      <c r="E1807" s="53"/>
      <c r="F1807" s="53"/>
      <c r="G1807" s="53"/>
      <c r="H1807" s="53"/>
      <c r="I1807" s="53"/>
      <c r="J1807" s="53"/>
    </row>
    <row r="1808" spans="1:12">
      <c r="A1808" s="53" t="s">
        <v>4</v>
      </c>
      <c r="B1808" s="53" t="s">
        <v>5</v>
      </c>
      <c r="C1808" s="53"/>
      <c r="D1808" s="53"/>
      <c r="E1808" s="53"/>
      <c r="F1808" s="53"/>
      <c r="G1808" s="53"/>
      <c r="H1808" s="53"/>
      <c r="I1808" s="53"/>
      <c r="J1808" s="53"/>
      <c r="K1808" s="53"/>
      <c r="L1808" s="53"/>
    </row>
    <row r="1809" spans="1:12">
      <c r="A1809" s="53" t="s">
        <v>6</v>
      </c>
      <c r="B1809" s="53" t="s">
        <v>17</v>
      </c>
      <c r="C1809" s="53"/>
      <c r="D1809" s="53"/>
      <c r="E1809" s="53"/>
      <c r="F1809" s="53"/>
      <c r="G1809" s="53"/>
      <c r="H1809" s="53"/>
      <c r="I1809" s="53"/>
      <c r="J1809" s="53"/>
      <c r="K1809" s="53"/>
      <c r="L1809" s="53"/>
    </row>
    <row r="1810" spans="1:12" ht="15.75">
      <c r="A1810" s="1" t="s">
        <v>10</v>
      </c>
      <c r="B1810" s="53"/>
      <c r="C1810" s="53"/>
      <c r="D1810" s="53"/>
      <c r="E1810" s="53"/>
      <c r="F1810" s="53"/>
      <c r="G1810" s="53"/>
      <c r="H1810" s="53"/>
      <c r="I1810" s="53"/>
      <c r="J1810" s="53"/>
      <c r="K1810" s="53"/>
      <c r="L1810" s="53"/>
    </row>
    <row r="1811" spans="1:12">
      <c r="A1811" s="53" t="s">
        <v>11</v>
      </c>
      <c r="B1811" s="53" t="s">
        <v>12</v>
      </c>
      <c r="C1811" s="53" t="s">
        <v>1</v>
      </c>
      <c r="D1811" s="53" t="s">
        <v>6</v>
      </c>
      <c r="E1811" s="53" t="s">
        <v>13</v>
      </c>
      <c r="F1811" s="53" t="s">
        <v>4</v>
      </c>
      <c r="G1811" s="53" t="s">
        <v>3</v>
      </c>
      <c r="H1811" s="53"/>
      <c r="I1811" s="53"/>
      <c r="J1811" s="53"/>
      <c r="K1811" s="53"/>
    </row>
    <row r="1812" spans="1:12">
      <c r="A1812" s="53" t="str">
        <f>B1804</f>
        <v>petrol, burned in passenger car vehicle</v>
      </c>
      <c r="B1812" s="53">
        <v>1</v>
      </c>
      <c r="C1812" s="53" t="str">
        <f>B1805</f>
        <v>CH</v>
      </c>
      <c r="D1812" s="53" t="str">
        <f>B1809</f>
        <v>megajoule</v>
      </c>
      <c r="E1812" s="53"/>
      <c r="F1812" s="53" t="s">
        <v>15</v>
      </c>
      <c r="G1812" s="53" t="str">
        <f>B1807</f>
        <v>heat</v>
      </c>
      <c r="H1812" s="53"/>
      <c r="I1812" s="53"/>
      <c r="J1812" s="53"/>
      <c r="K1812" s="53"/>
      <c r="L1812" s="53"/>
    </row>
    <row r="1813" spans="1:12">
      <c r="A1813" t="s">
        <v>382</v>
      </c>
      <c r="B1813">
        <f>1/42.6</f>
        <v>2.3474178403755867E-2</v>
      </c>
      <c r="C1813" t="s">
        <v>104</v>
      </c>
      <c r="D1813" t="s">
        <v>7</v>
      </c>
      <c r="F1813" t="s">
        <v>18</v>
      </c>
      <c r="G1813" t="s">
        <v>377</v>
      </c>
    </row>
    <row r="1814" spans="1:12">
      <c r="A1814" s="53" t="s">
        <v>357</v>
      </c>
      <c r="B1814">
        <f>150/200000/2.15</f>
        <v>3.4883720930232559E-4</v>
      </c>
      <c r="C1814" t="s">
        <v>24</v>
      </c>
      <c r="D1814" t="s">
        <v>7</v>
      </c>
      <c r="F1814" t="s">
        <v>18</v>
      </c>
      <c r="G1814" t="s">
        <v>358</v>
      </c>
    </row>
    <row r="1815" spans="1:12">
      <c r="A1815" t="s">
        <v>378</v>
      </c>
      <c r="B1815" s="3">
        <v>1.4547114129662022E-7</v>
      </c>
      <c r="D1815" t="s">
        <v>7</v>
      </c>
      <c r="E1815" t="s">
        <v>243</v>
      </c>
      <c r="F1815" s="53" t="s">
        <v>27</v>
      </c>
      <c r="H1815" s="3"/>
    </row>
    <row r="1816" spans="1:12">
      <c r="A1816" t="s">
        <v>475</v>
      </c>
      <c r="B1816" s="3">
        <v>2.3599288167039204E-6</v>
      </c>
      <c r="D1816" t="s">
        <v>7</v>
      </c>
      <c r="E1816" t="s">
        <v>243</v>
      </c>
      <c r="F1816" s="53" t="s">
        <v>27</v>
      </c>
      <c r="H1816" s="3"/>
    </row>
    <row r="1817" spans="1:12">
      <c r="A1817" t="s">
        <v>359</v>
      </c>
      <c r="B1817" s="3">
        <v>6.4176573052336623E-8</v>
      </c>
      <c r="D1817" t="s">
        <v>7</v>
      </c>
      <c r="E1817" t="s">
        <v>243</v>
      </c>
      <c r="F1817" s="53" t="s">
        <v>27</v>
      </c>
      <c r="H1817" s="3"/>
    </row>
    <row r="1818" spans="1:12">
      <c r="A1818" t="s">
        <v>360</v>
      </c>
      <c r="B1818" s="3">
        <v>5.2181249284002014E-8</v>
      </c>
      <c r="D1818" t="s">
        <v>7</v>
      </c>
      <c r="E1818" t="s">
        <v>243</v>
      </c>
      <c r="F1818" s="53" t="s">
        <v>27</v>
      </c>
      <c r="H1818" s="3"/>
    </row>
    <row r="1819" spans="1:12">
      <c r="A1819" t="s">
        <v>361</v>
      </c>
      <c r="B1819" s="3">
        <v>1.6258913648856724E-8</v>
      </c>
      <c r="D1819" t="s">
        <v>7</v>
      </c>
      <c r="E1819" t="s">
        <v>243</v>
      </c>
      <c r="F1819" s="53" t="s">
        <v>27</v>
      </c>
      <c r="H1819" s="3"/>
    </row>
    <row r="1820" spans="1:12">
      <c r="A1820" t="s">
        <v>188</v>
      </c>
      <c r="B1820" s="3">
        <v>7.0422535211267627E-7</v>
      </c>
      <c r="D1820" t="s">
        <v>7</v>
      </c>
      <c r="E1820" t="s">
        <v>243</v>
      </c>
      <c r="F1820" s="53" t="s">
        <v>27</v>
      </c>
      <c r="H1820" s="3"/>
    </row>
    <row r="1821" spans="1:12">
      <c r="A1821" t="s">
        <v>362</v>
      </c>
      <c r="B1821" s="3">
        <v>1.8823431144155847E-8</v>
      </c>
      <c r="D1821" t="s">
        <v>7</v>
      </c>
      <c r="E1821" t="s">
        <v>243</v>
      </c>
      <c r="F1821" s="53" t="s">
        <v>27</v>
      </c>
      <c r="H1821" s="3"/>
    </row>
    <row r="1822" spans="1:12">
      <c r="A1822" t="s">
        <v>192</v>
      </c>
      <c r="B1822" s="3">
        <v>1.2876677795875375E-6</v>
      </c>
      <c r="D1822" t="s">
        <v>7</v>
      </c>
      <c r="E1822" t="s">
        <v>243</v>
      </c>
      <c r="F1822" s="53" t="s">
        <v>27</v>
      </c>
      <c r="H1822" s="3"/>
    </row>
    <row r="1823" spans="1:12">
      <c r="A1823" t="s">
        <v>363</v>
      </c>
      <c r="B1823" s="3">
        <v>2.4210190597681178E-6</v>
      </c>
      <c r="D1823" t="s">
        <v>7</v>
      </c>
      <c r="E1823" t="s">
        <v>243</v>
      </c>
      <c r="F1823" s="53" t="s">
        <v>27</v>
      </c>
      <c r="H1823" s="3"/>
    </row>
    <row r="1824" spans="1:12">
      <c r="A1824" t="s">
        <v>196</v>
      </c>
      <c r="B1824" s="3">
        <v>2.3474178403755876E-10</v>
      </c>
      <c r="D1824" t="s">
        <v>7</v>
      </c>
      <c r="E1824" t="s">
        <v>243</v>
      </c>
      <c r="F1824" s="53" t="s">
        <v>27</v>
      </c>
      <c r="H1824" s="3"/>
    </row>
    <row r="1825" spans="1:8">
      <c r="A1825" t="s">
        <v>143</v>
      </c>
      <c r="B1825">
        <v>7.4647887323943687E-2</v>
      </c>
      <c r="D1825" t="s">
        <v>7</v>
      </c>
      <c r="E1825" t="s">
        <v>243</v>
      </c>
      <c r="F1825" s="53" t="s">
        <v>27</v>
      </c>
      <c r="H1825" s="3"/>
    </row>
    <row r="1826" spans="1:8">
      <c r="A1826" t="s">
        <v>197</v>
      </c>
      <c r="B1826">
        <v>1.2822587476495615E-4</v>
      </c>
      <c r="D1826" t="s">
        <v>7</v>
      </c>
      <c r="E1826" t="s">
        <v>243</v>
      </c>
      <c r="F1826" s="53" t="s">
        <v>27</v>
      </c>
      <c r="H1826" s="3"/>
    </row>
    <row r="1827" spans="1:8">
      <c r="A1827" t="s">
        <v>198</v>
      </c>
      <c r="B1827" s="3">
        <v>1.173708920187794E-9</v>
      </c>
      <c r="D1827" t="s">
        <v>7</v>
      </c>
      <c r="E1827" t="s">
        <v>243</v>
      </c>
      <c r="F1827" s="53" t="s">
        <v>27</v>
      </c>
      <c r="H1827" s="3"/>
    </row>
    <row r="1828" spans="1:8">
      <c r="A1828" t="s">
        <v>234</v>
      </c>
      <c r="B1828" s="3">
        <v>2.3474178403755881E-12</v>
      </c>
      <c r="D1828" t="s">
        <v>7</v>
      </c>
      <c r="E1828" t="s">
        <v>243</v>
      </c>
      <c r="F1828" s="53" t="s">
        <v>27</v>
      </c>
      <c r="H1828" s="3"/>
    </row>
    <row r="1829" spans="1:8">
      <c r="A1829" t="s">
        <v>200</v>
      </c>
      <c r="B1829" s="3">
        <v>3.9906103286384993E-8</v>
      </c>
      <c r="D1829" t="s">
        <v>7</v>
      </c>
      <c r="E1829" t="s">
        <v>243</v>
      </c>
      <c r="F1829" s="53" t="s">
        <v>27</v>
      </c>
      <c r="H1829" s="3"/>
    </row>
    <row r="1830" spans="1:8">
      <c r="A1830" t="s">
        <v>476</v>
      </c>
      <c r="B1830" s="3">
        <v>9.7553481893140337E-8</v>
      </c>
      <c r="D1830" t="s">
        <v>7</v>
      </c>
      <c r="E1830" t="s">
        <v>243</v>
      </c>
      <c r="F1830" s="53" t="s">
        <v>27</v>
      </c>
      <c r="H1830" s="3"/>
    </row>
    <row r="1831" spans="1:8">
      <c r="A1831" t="s">
        <v>202</v>
      </c>
      <c r="B1831" s="3">
        <v>3.0516431924882642E-6</v>
      </c>
      <c r="D1831" t="s">
        <v>7</v>
      </c>
      <c r="E1831" t="s">
        <v>243</v>
      </c>
      <c r="F1831" s="53" t="s">
        <v>27</v>
      </c>
      <c r="H1831" s="3"/>
    </row>
    <row r="1832" spans="1:8">
      <c r="A1832" t="s">
        <v>364</v>
      </c>
      <c r="B1832" s="3">
        <v>3.738595604189168E-7</v>
      </c>
      <c r="D1832" t="s">
        <v>7</v>
      </c>
      <c r="E1832" t="s">
        <v>243</v>
      </c>
      <c r="F1832" s="53" t="s">
        <v>27</v>
      </c>
      <c r="H1832" s="3"/>
    </row>
    <row r="1833" spans="1:8">
      <c r="A1833" t="s">
        <v>379</v>
      </c>
      <c r="B1833" s="3">
        <v>8.4158173387917866E-9</v>
      </c>
      <c r="D1833" t="s">
        <v>7</v>
      </c>
      <c r="E1833" t="s">
        <v>243</v>
      </c>
      <c r="F1833" s="53" t="s">
        <v>27</v>
      </c>
      <c r="H1833" s="3"/>
    </row>
    <row r="1834" spans="1:8">
      <c r="A1834" t="s">
        <v>365</v>
      </c>
      <c r="B1834" s="3">
        <v>6.2458409966156062E-7</v>
      </c>
      <c r="D1834" t="s">
        <v>7</v>
      </c>
      <c r="E1834" t="s">
        <v>243</v>
      </c>
      <c r="F1834" s="53" t="s">
        <v>27</v>
      </c>
      <c r="H1834" s="3"/>
    </row>
    <row r="1835" spans="1:8">
      <c r="A1835" t="s">
        <v>366</v>
      </c>
      <c r="B1835" s="3">
        <v>1.4547114129662022E-7</v>
      </c>
      <c r="D1835" t="s">
        <v>7</v>
      </c>
      <c r="E1835" t="s">
        <v>243</v>
      </c>
      <c r="F1835" s="53" t="s">
        <v>27</v>
      </c>
      <c r="H1835" s="3"/>
    </row>
    <row r="1836" spans="1:8">
      <c r="A1836" t="s">
        <v>367</v>
      </c>
      <c r="B1836" s="3">
        <v>6.3317491509246337E-8</v>
      </c>
      <c r="D1836" t="s">
        <v>7</v>
      </c>
      <c r="E1836" t="s">
        <v>243</v>
      </c>
      <c r="F1836" s="53" t="s">
        <v>27</v>
      </c>
      <c r="H1836" s="3"/>
    </row>
    <row r="1837" spans="1:8">
      <c r="A1837" t="s">
        <v>380</v>
      </c>
      <c r="B1837" s="3">
        <v>1.3777122524373701E-7</v>
      </c>
      <c r="D1837" t="s">
        <v>7</v>
      </c>
      <c r="E1837" t="s">
        <v>243</v>
      </c>
      <c r="F1837" s="53" t="s">
        <v>27</v>
      </c>
      <c r="H1837" s="3"/>
    </row>
    <row r="1838" spans="1:8">
      <c r="A1838" t="s">
        <v>208</v>
      </c>
      <c r="B1838" s="3">
        <v>3.5211267605633819E-11</v>
      </c>
      <c r="D1838" t="s">
        <v>7</v>
      </c>
      <c r="E1838" t="s">
        <v>243</v>
      </c>
      <c r="F1838" s="53" t="s">
        <v>27</v>
      </c>
      <c r="H1838" s="3"/>
    </row>
    <row r="1839" spans="1:8">
      <c r="A1839" t="s">
        <v>210</v>
      </c>
      <c r="B1839" s="3">
        <v>1.6431924882629114E-12</v>
      </c>
      <c r="D1839" t="s">
        <v>7</v>
      </c>
      <c r="E1839" t="s">
        <v>243</v>
      </c>
      <c r="F1839" s="53" t="s">
        <v>27</v>
      </c>
      <c r="H1839" s="3"/>
    </row>
    <row r="1840" spans="1:8">
      <c r="A1840" t="s">
        <v>211</v>
      </c>
      <c r="B1840" s="3">
        <v>5.7558463387048561E-6</v>
      </c>
      <c r="D1840" t="s">
        <v>7</v>
      </c>
      <c r="E1840" t="s">
        <v>243</v>
      </c>
      <c r="F1840" s="53" t="s">
        <v>27</v>
      </c>
      <c r="H1840" s="3"/>
    </row>
    <row r="1841" spans="1:8">
      <c r="A1841" t="s">
        <v>368</v>
      </c>
      <c r="B1841" s="3">
        <v>4.2794987979867499E-9</v>
      </c>
      <c r="D1841" t="s">
        <v>7</v>
      </c>
      <c r="E1841" t="s">
        <v>243</v>
      </c>
      <c r="F1841" s="53" t="s">
        <v>27</v>
      </c>
      <c r="H1841" s="3"/>
    </row>
    <row r="1842" spans="1:8">
      <c r="A1842" t="s">
        <v>212</v>
      </c>
      <c r="B1842" s="3">
        <v>2.1817489411000107E-5</v>
      </c>
      <c r="D1842" t="s">
        <v>7</v>
      </c>
      <c r="E1842" t="s">
        <v>243</v>
      </c>
      <c r="F1842" s="53" t="s">
        <v>27</v>
      </c>
      <c r="H1842" s="3"/>
    </row>
    <row r="1843" spans="1:8">
      <c r="A1843" t="s">
        <v>213</v>
      </c>
      <c r="B1843" s="3">
        <v>1.6431924882629115E-9</v>
      </c>
      <c r="D1843" t="s">
        <v>7</v>
      </c>
      <c r="E1843" t="s">
        <v>243</v>
      </c>
      <c r="F1843" s="53" t="s">
        <v>27</v>
      </c>
      <c r="H1843" s="3"/>
    </row>
    <row r="1844" spans="1:8">
      <c r="A1844" t="s">
        <v>214</v>
      </c>
      <c r="B1844" s="3">
        <v>1.0423522722828692E-5</v>
      </c>
      <c r="D1844" t="s">
        <v>7</v>
      </c>
      <c r="E1844" t="s">
        <v>243</v>
      </c>
      <c r="F1844" s="53" t="s">
        <v>27</v>
      </c>
      <c r="H1844" s="3"/>
    </row>
    <row r="1845" spans="1:8">
      <c r="A1845" t="s">
        <v>369</v>
      </c>
      <c r="B1845" s="3">
        <v>8.1690140845070448E-10</v>
      </c>
      <c r="D1845" t="s">
        <v>7</v>
      </c>
      <c r="E1845" t="s">
        <v>243</v>
      </c>
      <c r="F1845" s="53" t="s">
        <v>27</v>
      </c>
      <c r="H1845" s="3"/>
    </row>
    <row r="1846" spans="1:8">
      <c r="A1846" t="s">
        <v>215</v>
      </c>
      <c r="B1846" s="3">
        <v>3.3122366161369572E-7</v>
      </c>
      <c r="D1846" t="s">
        <v>7</v>
      </c>
      <c r="E1846" t="s">
        <v>243</v>
      </c>
      <c r="F1846" s="53" t="s">
        <v>27</v>
      </c>
      <c r="H1846" s="3"/>
    </row>
    <row r="1847" spans="1:8">
      <c r="A1847" t="s">
        <v>370</v>
      </c>
      <c r="B1847" s="3">
        <v>2.7827878429139121E-6</v>
      </c>
      <c r="D1847" t="s">
        <v>7</v>
      </c>
      <c r="E1847" t="s">
        <v>243</v>
      </c>
      <c r="F1847" s="53" t="s">
        <v>27</v>
      </c>
      <c r="H1847" s="3"/>
    </row>
    <row r="1848" spans="1:8">
      <c r="A1848" t="s">
        <v>371</v>
      </c>
      <c r="B1848" s="3">
        <v>1.789116858072825E-6</v>
      </c>
      <c r="D1848" t="s">
        <v>7</v>
      </c>
      <c r="E1848" t="s">
        <v>243</v>
      </c>
      <c r="F1848" s="53" t="s">
        <v>27</v>
      </c>
      <c r="H1848" s="3"/>
    </row>
    <row r="1849" spans="1:8">
      <c r="A1849" t="s">
        <v>381</v>
      </c>
      <c r="B1849" s="3">
        <v>4.7122213530248159E-8</v>
      </c>
      <c r="D1849" t="s">
        <v>7</v>
      </c>
      <c r="E1849" t="s">
        <v>243</v>
      </c>
      <c r="F1849" s="53" t="s">
        <v>27</v>
      </c>
      <c r="H1849" s="3"/>
    </row>
    <row r="1850" spans="1:8">
      <c r="A1850" t="s">
        <v>372</v>
      </c>
      <c r="B1850" s="3">
        <v>3.2676916472359795E-7</v>
      </c>
      <c r="D1850" t="s">
        <v>7</v>
      </c>
      <c r="E1850" t="s">
        <v>243</v>
      </c>
      <c r="F1850" s="53" t="s">
        <v>27</v>
      </c>
      <c r="H1850" s="3"/>
    </row>
    <row r="1851" spans="1:8">
      <c r="A1851" t="s">
        <v>218</v>
      </c>
      <c r="B1851" s="3">
        <v>2.3474178403755876E-10</v>
      </c>
      <c r="D1851" t="s">
        <v>7</v>
      </c>
      <c r="E1851" t="s">
        <v>243</v>
      </c>
      <c r="F1851" s="53" t="s">
        <v>27</v>
      </c>
      <c r="H1851" s="3"/>
    </row>
    <row r="1852" spans="1:8">
      <c r="A1852" t="s">
        <v>373</v>
      </c>
      <c r="B1852" s="3">
        <v>8.6417239667896019E-8</v>
      </c>
      <c r="D1852" t="s">
        <v>7</v>
      </c>
      <c r="E1852" t="s">
        <v>243</v>
      </c>
      <c r="F1852" s="53" t="s">
        <v>27</v>
      </c>
      <c r="H1852" s="3"/>
    </row>
    <row r="1853" spans="1:8">
      <c r="A1853" t="s">
        <v>221</v>
      </c>
      <c r="B1853" s="3">
        <v>4.6948356807511755E-7</v>
      </c>
      <c r="D1853" t="s">
        <v>7</v>
      </c>
      <c r="E1853" t="s">
        <v>243</v>
      </c>
      <c r="F1853" s="53" t="s">
        <v>27</v>
      </c>
      <c r="H1853" s="3"/>
    </row>
    <row r="1854" spans="1:8">
      <c r="A1854" t="s">
        <v>225</v>
      </c>
      <c r="B1854" s="3">
        <v>2.4137009577343855E-6</v>
      </c>
      <c r="D1854" t="s">
        <v>7</v>
      </c>
      <c r="E1854" t="s">
        <v>243</v>
      </c>
      <c r="F1854" s="53" t="s">
        <v>27</v>
      </c>
      <c r="H1854" s="3"/>
    </row>
    <row r="1855" spans="1:8">
      <c r="A1855" t="s">
        <v>228</v>
      </c>
      <c r="B1855" s="3">
        <v>2.3474178403755879E-8</v>
      </c>
      <c r="D1855" t="s">
        <v>7</v>
      </c>
      <c r="E1855" t="s">
        <v>243</v>
      </c>
      <c r="F1855" s="53" t="s">
        <v>27</v>
      </c>
      <c r="H1855" s="3"/>
    </row>
    <row r="1856" spans="1:8">
      <c r="A1856" t="s">
        <v>374</v>
      </c>
      <c r="B1856" s="3">
        <v>1.0417159155842839E-6</v>
      </c>
      <c r="D1856" t="s">
        <v>7</v>
      </c>
      <c r="E1856" t="s">
        <v>243</v>
      </c>
      <c r="F1856" s="53" t="s">
        <v>27</v>
      </c>
      <c r="H1856" s="3"/>
    </row>
    <row r="1857" spans="1:12">
      <c r="A1857" t="s">
        <v>375</v>
      </c>
      <c r="B1857" s="3">
        <v>2.4967455068997787E-7</v>
      </c>
      <c r="D1857" t="s">
        <v>7</v>
      </c>
      <c r="E1857" t="s">
        <v>243</v>
      </c>
      <c r="F1857" s="53" t="s">
        <v>27</v>
      </c>
      <c r="H1857" s="3"/>
    </row>
    <row r="1858" spans="1:12">
      <c r="B1858"/>
    </row>
    <row r="1859" spans="1:12" ht="15.75">
      <c r="A1859" s="1" t="s">
        <v>0</v>
      </c>
      <c r="B1859" s="1" t="s">
        <v>473</v>
      </c>
      <c r="C1859" s="53"/>
      <c r="D1859" s="53"/>
      <c r="E1859" s="53"/>
      <c r="F1859" s="53"/>
      <c r="G1859" s="53"/>
      <c r="H1859" s="53"/>
    </row>
    <row r="1860" spans="1:12">
      <c r="A1860" s="53" t="s">
        <v>1</v>
      </c>
      <c r="B1860" s="53" t="s">
        <v>104</v>
      </c>
      <c r="C1860" s="53"/>
      <c r="D1860" s="53"/>
      <c r="E1860" s="53"/>
      <c r="F1860" s="53"/>
      <c r="G1860" s="53"/>
      <c r="H1860" s="53"/>
      <c r="I1860" s="53"/>
      <c r="J1860" s="53"/>
      <c r="K1860" s="53"/>
      <c r="L1860" s="53"/>
    </row>
    <row r="1861" spans="1:12">
      <c r="A1861" s="53" t="s">
        <v>2</v>
      </c>
      <c r="B1861" s="53">
        <v>1</v>
      </c>
      <c r="C1861" s="53"/>
      <c r="D1861" s="53"/>
      <c r="E1861" s="53"/>
      <c r="F1861" s="53"/>
      <c r="G1861" s="53"/>
      <c r="H1861" s="53"/>
      <c r="I1861" s="53"/>
      <c r="J1861" s="53"/>
      <c r="K1861" s="53"/>
      <c r="L1861" s="53"/>
    </row>
    <row r="1862" spans="1:12">
      <c r="A1862" s="53" t="s">
        <v>3</v>
      </c>
      <c r="B1862" s="53" t="s">
        <v>284</v>
      </c>
      <c r="C1862" s="53"/>
      <c r="D1862" s="53"/>
      <c r="E1862" s="53"/>
      <c r="F1862" s="53"/>
      <c r="G1862" s="53"/>
      <c r="H1862" s="53"/>
      <c r="I1862" s="53"/>
      <c r="J1862" s="53"/>
    </row>
    <row r="1863" spans="1:12">
      <c r="A1863" t="s">
        <v>9</v>
      </c>
      <c r="B1863" t="s">
        <v>402</v>
      </c>
      <c r="C1863" s="53"/>
      <c r="D1863" s="53"/>
      <c r="E1863" s="53"/>
      <c r="F1863" s="53"/>
      <c r="G1863" s="53"/>
      <c r="H1863" s="53"/>
      <c r="I1863" s="53"/>
      <c r="J1863" s="53"/>
    </row>
    <row r="1864" spans="1:12">
      <c r="A1864" s="53" t="s">
        <v>4</v>
      </c>
      <c r="B1864" s="53" t="s">
        <v>5</v>
      </c>
      <c r="C1864" s="53"/>
      <c r="D1864" s="53"/>
      <c r="E1864" s="53"/>
      <c r="F1864" s="53"/>
      <c r="G1864" s="53"/>
      <c r="H1864" s="53"/>
      <c r="I1864" s="53"/>
      <c r="J1864" s="53"/>
      <c r="K1864" s="53"/>
      <c r="L1864" s="53"/>
    </row>
    <row r="1865" spans="1:12">
      <c r="A1865" s="53" t="s">
        <v>6</v>
      </c>
      <c r="B1865" s="53" t="s">
        <v>17</v>
      </c>
      <c r="C1865" s="53"/>
      <c r="D1865" s="53"/>
      <c r="E1865" s="53"/>
      <c r="F1865" s="53"/>
      <c r="G1865" s="53"/>
      <c r="H1865" s="53"/>
      <c r="I1865" s="53"/>
      <c r="J1865" s="53"/>
      <c r="K1865" s="53"/>
      <c r="L1865" s="53"/>
    </row>
    <row r="1866" spans="1:12" ht="15.75">
      <c r="A1866" s="1" t="s">
        <v>10</v>
      </c>
      <c r="B1866" s="53"/>
      <c r="C1866" s="53"/>
      <c r="D1866" s="53"/>
      <c r="E1866" s="53"/>
      <c r="F1866" s="53"/>
      <c r="G1866" s="53"/>
      <c r="H1866" s="53"/>
      <c r="I1866" s="53"/>
      <c r="J1866" s="53"/>
      <c r="K1866" s="53"/>
      <c r="L1866" s="53"/>
    </row>
    <row r="1867" spans="1:12">
      <c r="A1867" s="53" t="s">
        <v>11</v>
      </c>
      <c r="B1867" s="53" t="s">
        <v>12</v>
      </c>
      <c r="C1867" s="53" t="s">
        <v>1</v>
      </c>
      <c r="D1867" s="53" t="s">
        <v>6</v>
      </c>
      <c r="E1867" s="53" t="s">
        <v>13</v>
      </c>
      <c r="F1867" s="53" t="s">
        <v>4</v>
      </c>
      <c r="G1867" s="53" t="s">
        <v>3</v>
      </c>
      <c r="H1867" t="s">
        <v>479</v>
      </c>
      <c r="I1867" t="s">
        <v>497</v>
      </c>
      <c r="J1867" t="s">
        <v>480</v>
      </c>
      <c r="K1867" t="s">
        <v>481</v>
      </c>
    </row>
    <row r="1868" spans="1:12">
      <c r="A1868" s="53" t="str">
        <f>B1859</f>
        <v>compressed gas, burned in passenger car vehicle</v>
      </c>
      <c r="B1868" s="53">
        <v>1</v>
      </c>
      <c r="C1868" s="53" t="str">
        <f>B1860</f>
        <v>CH</v>
      </c>
      <c r="D1868" s="53" t="str">
        <f>B1865</f>
        <v>megajoule</v>
      </c>
      <c r="E1868" s="53"/>
      <c r="F1868" s="53" t="s">
        <v>15</v>
      </c>
      <c r="G1868" s="53" t="str">
        <f>B1862</f>
        <v>heat</v>
      </c>
      <c r="H1868" s="53">
        <v>0</v>
      </c>
      <c r="J1868" s="53"/>
      <c r="K1868" s="53"/>
      <c r="L1868" s="53"/>
    </row>
    <row r="1869" spans="1:12">
      <c r="A1869" t="s">
        <v>384</v>
      </c>
      <c r="B1869">
        <f>1/36</f>
        <v>2.7777777777777776E-2</v>
      </c>
      <c r="C1869" t="s">
        <v>104</v>
      </c>
      <c r="D1869" t="s">
        <v>37</v>
      </c>
      <c r="F1869" t="s">
        <v>18</v>
      </c>
      <c r="G1869" t="s">
        <v>383</v>
      </c>
      <c r="H1869">
        <v>0</v>
      </c>
    </row>
    <row r="1870" spans="1:12">
      <c r="A1870" s="53" t="s">
        <v>357</v>
      </c>
      <c r="B1870">
        <f>150/200000/2.15</f>
        <v>3.4883720930232559E-4</v>
      </c>
      <c r="C1870" t="s">
        <v>24</v>
      </c>
      <c r="D1870" t="s">
        <v>7</v>
      </c>
      <c r="F1870" t="s">
        <v>18</v>
      </c>
      <c r="G1870" t="s">
        <v>358</v>
      </c>
      <c r="H1870">
        <v>5</v>
      </c>
      <c r="I1870">
        <f>B1870</f>
        <v>3.4883720930232559E-4</v>
      </c>
      <c r="J1870">
        <f>150/250000/2.15</f>
        <v>2.7906976744186045E-4</v>
      </c>
      <c r="K1870">
        <f>150/150000/2.15</f>
        <v>4.6511627906976747E-4</v>
      </c>
    </row>
    <row r="1871" spans="1:12">
      <c r="A1871" t="s">
        <v>400</v>
      </c>
      <c r="B1871">
        <f>102/200000/3.7</f>
        <v>1.3783783783783785E-4</v>
      </c>
      <c r="C1871" t="s">
        <v>103</v>
      </c>
      <c r="D1871" t="s">
        <v>7</v>
      </c>
      <c r="E1871" t="s">
        <v>16</v>
      </c>
      <c r="F1871" t="s">
        <v>18</v>
      </c>
      <c r="G1871" t="s">
        <v>401</v>
      </c>
      <c r="H1871">
        <v>5</v>
      </c>
      <c r="I1871">
        <f>B1871</f>
        <v>1.3783783783783785E-4</v>
      </c>
      <c r="J1871">
        <f>90/250000/3.7</f>
        <v>9.7297297297297295E-5</v>
      </c>
      <c r="K1871">
        <f>130/150000/3.7</f>
        <v>2.3423423423423422E-4</v>
      </c>
    </row>
    <row r="1872" spans="1:12">
      <c r="A1872" t="s">
        <v>188</v>
      </c>
      <c r="B1872" s="3">
        <v>4.4166666666666577E-6</v>
      </c>
      <c r="D1872" t="s">
        <v>7</v>
      </c>
      <c r="E1872" t="s">
        <v>243</v>
      </c>
      <c r="F1872" s="53" t="s">
        <v>27</v>
      </c>
      <c r="H1872" s="30">
        <v>0</v>
      </c>
    </row>
    <row r="1873" spans="1:12">
      <c r="A1873" t="s">
        <v>192</v>
      </c>
      <c r="B1873" s="3">
        <v>7.5082705379565517E-7</v>
      </c>
      <c r="D1873" t="s">
        <v>7</v>
      </c>
      <c r="E1873" t="s">
        <v>243</v>
      </c>
      <c r="F1873" s="53" t="s">
        <v>27</v>
      </c>
      <c r="H1873" s="30">
        <v>0</v>
      </c>
    </row>
    <row r="1874" spans="1:12">
      <c r="A1874" t="s">
        <v>143</v>
      </c>
      <c r="B1874">
        <v>5.5944444444444442E-2</v>
      </c>
      <c r="D1874" t="s">
        <v>7</v>
      </c>
      <c r="E1874" t="s">
        <v>243</v>
      </c>
      <c r="F1874" s="53" t="s">
        <v>27</v>
      </c>
      <c r="H1874" s="30">
        <v>0</v>
      </c>
    </row>
    <row r="1875" spans="1:12">
      <c r="A1875" t="s">
        <v>197</v>
      </c>
      <c r="B1875">
        <v>2.6360440412565261E-4</v>
      </c>
      <c r="D1875" t="s">
        <v>7</v>
      </c>
      <c r="E1875" t="s">
        <v>243</v>
      </c>
      <c r="F1875" s="53" t="s">
        <v>27</v>
      </c>
      <c r="H1875" s="30">
        <v>0</v>
      </c>
    </row>
    <row r="1876" spans="1:12">
      <c r="A1876" t="s">
        <v>202</v>
      </c>
      <c r="B1876" s="3">
        <v>9.6666666666666532E-7</v>
      </c>
      <c r="D1876" t="s">
        <v>7</v>
      </c>
      <c r="E1876" t="s">
        <v>243</v>
      </c>
      <c r="F1876" s="53" t="s">
        <v>27</v>
      </c>
      <c r="H1876" s="30">
        <v>0</v>
      </c>
    </row>
    <row r="1877" spans="1:12">
      <c r="A1877" t="s">
        <v>210</v>
      </c>
      <c r="B1877" s="3">
        <v>2.7750000000000002E-10</v>
      </c>
      <c r="D1877" t="s">
        <v>7</v>
      </c>
      <c r="E1877" t="s">
        <v>243</v>
      </c>
      <c r="F1877" s="53" t="s">
        <v>27</v>
      </c>
      <c r="H1877" s="30">
        <v>0</v>
      </c>
    </row>
    <row r="1878" spans="1:12">
      <c r="A1878" t="s">
        <v>211</v>
      </c>
      <c r="B1878" s="3">
        <v>1.606690212560312E-5</v>
      </c>
      <c r="D1878" t="s">
        <v>7</v>
      </c>
      <c r="E1878" t="s">
        <v>243</v>
      </c>
      <c r="F1878" s="53" t="s">
        <v>27</v>
      </c>
      <c r="H1878" s="30">
        <v>0</v>
      </c>
    </row>
    <row r="1879" spans="1:12">
      <c r="A1879" t="s">
        <v>212</v>
      </c>
      <c r="B1879" s="3">
        <v>6.8382126269474045E-6</v>
      </c>
      <c r="D1879" t="s">
        <v>7</v>
      </c>
      <c r="E1879" t="s">
        <v>243</v>
      </c>
      <c r="F1879" s="53" t="s">
        <v>27</v>
      </c>
      <c r="H1879" s="30">
        <v>0</v>
      </c>
    </row>
    <row r="1880" spans="1:12">
      <c r="A1880" t="s">
        <v>214</v>
      </c>
      <c r="B1880" s="3">
        <v>2.9605693862641999E-6</v>
      </c>
      <c r="D1880" t="s">
        <v>7</v>
      </c>
      <c r="E1880" t="s">
        <v>243</v>
      </c>
      <c r="F1880" s="53" t="s">
        <v>27</v>
      </c>
      <c r="H1880" s="30">
        <v>0</v>
      </c>
    </row>
    <row r="1881" spans="1:12">
      <c r="A1881" t="s">
        <v>215</v>
      </c>
      <c r="B1881" s="3">
        <v>1.4636237937232238E-7</v>
      </c>
      <c r="D1881" t="s">
        <v>7</v>
      </c>
      <c r="E1881" t="s">
        <v>243</v>
      </c>
      <c r="F1881" s="53" t="s">
        <v>27</v>
      </c>
      <c r="H1881" s="30">
        <v>0</v>
      </c>
    </row>
    <row r="1882" spans="1:12">
      <c r="A1882" t="s">
        <v>221</v>
      </c>
      <c r="B1882" s="3">
        <v>5.6430000000000142E-7</v>
      </c>
      <c r="D1882" t="s">
        <v>7</v>
      </c>
      <c r="E1882" t="s">
        <v>243</v>
      </c>
      <c r="F1882" s="53" t="s">
        <v>27</v>
      </c>
      <c r="H1882" s="30">
        <v>0</v>
      </c>
    </row>
    <row r="1883" spans="1:12">
      <c r="A1883" t="s">
        <v>225</v>
      </c>
      <c r="B1883" s="3">
        <v>2.2336471011856279E-6</v>
      </c>
      <c r="D1883" t="s">
        <v>7</v>
      </c>
      <c r="E1883" t="s">
        <v>243</v>
      </c>
      <c r="F1883" s="53" t="s">
        <v>27</v>
      </c>
      <c r="H1883" s="30">
        <v>0</v>
      </c>
    </row>
    <row r="1884" spans="1:12">
      <c r="B1884"/>
    </row>
    <row r="1885" spans="1:12" ht="15.75">
      <c r="A1885" s="1" t="s">
        <v>0</v>
      </c>
      <c r="B1885" s="1" t="s">
        <v>469</v>
      </c>
      <c r="C1885" s="53"/>
      <c r="D1885" s="53"/>
      <c r="E1885" s="53"/>
      <c r="F1885" s="53"/>
      <c r="G1885" s="53"/>
      <c r="H1885" s="53"/>
    </row>
    <row r="1886" spans="1:12">
      <c r="A1886" s="53" t="s">
        <v>1</v>
      </c>
      <c r="B1886" s="53" t="s">
        <v>104</v>
      </c>
      <c r="C1886" s="53"/>
      <c r="D1886" s="53"/>
      <c r="E1886" s="53"/>
      <c r="F1886" s="53"/>
      <c r="G1886" s="53"/>
      <c r="H1886" s="53"/>
      <c r="I1886" s="53"/>
      <c r="J1886" s="53"/>
      <c r="K1886" s="53"/>
      <c r="L1886" s="53"/>
    </row>
    <row r="1887" spans="1:12">
      <c r="A1887" t="s">
        <v>9</v>
      </c>
      <c r="B1887" t="s">
        <v>478</v>
      </c>
      <c r="C1887" s="53"/>
      <c r="D1887" s="53"/>
      <c r="E1887" s="53"/>
      <c r="F1887" s="53"/>
      <c r="G1887" s="53"/>
      <c r="H1887" s="53"/>
      <c r="I1887" s="53"/>
      <c r="J1887" s="53"/>
      <c r="K1887" s="53"/>
      <c r="L1887" s="53"/>
    </row>
    <row r="1888" spans="1:12">
      <c r="A1888" s="53" t="s">
        <v>2</v>
      </c>
      <c r="B1888" s="53">
        <v>1</v>
      </c>
      <c r="C1888" s="53"/>
      <c r="D1888" s="53"/>
      <c r="E1888" s="53"/>
      <c r="F1888" s="53"/>
      <c r="G1888" s="53"/>
      <c r="H1888" s="53"/>
      <c r="I1888" s="53"/>
      <c r="J1888" s="53"/>
      <c r="K1888" s="53"/>
      <c r="L1888" s="53"/>
    </row>
    <row r="1889" spans="1:12">
      <c r="A1889" s="53" t="s">
        <v>3</v>
      </c>
      <c r="B1889" s="53" t="s">
        <v>286</v>
      </c>
      <c r="C1889" s="53"/>
      <c r="D1889" s="53"/>
      <c r="E1889" s="53"/>
      <c r="F1889" s="53"/>
      <c r="G1889" s="53"/>
      <c r="H1889" s="53"/>
      <c r="I1889" s="53"/>
      <c r="J1889" s="53"/>
    </row>
    <row r="1890" spans="1:12">
      <c r="A1890" s="53" t="s">
        <v>4</v>
      </c>
      <c r="B1890" s="53" t="s">
        <v>5</v>
      </c>
      <c r="C1890" s="53"/>
      <c r="D1890" s="53"/>
      <c r="E1890" s="53"/>
      <c r="F1890" s="53"/>
      <c r="G1890" s="53"/>
      <c r="H1890" s="53"/>
      <c r="I1890" s="53"/>
      <c r="J1890" s="53"/>
      <c r="K1890" s="53"/>
      <c r="L1890" s="53"/>
    </row>
    <row r="1891" spans="1:12">
      <c r="A1891" s="53" t="s">
        <v>6</v>
      </c>
      <c r="B1891" s="53" t="s">
        <v>17</v>
      </c>
      <c r="C1891" s="53"/>
      <c r="D1891" s="53"/>
      <c r="E1891" s="53"/>
      <c r="F1891" s="53"/>
      <c r="G1891" s="53"/>
      <c r="H1891" s="53"/>
      <c r="I1891" s="53"/>
      <c r="J1891" s="53"/>
      <c r="K1891" s="53"/>
      <c r="L1891" s="53"/>
    </row>
    <row r="1892" spans="1:12" ht="15.75">
      <c r="A1892" s="1" t="s">
        <v>10</v>
      </c>
      <c r="B1892" s="53"/>
      <c r="C1892" s="53"/>
      <c r="D1892" s="53"/>
      <c r="E1892" s="53"/>
      <c r="F1892" s="53"/>
      <c r="G1892" s="53"/>
      <c r="H1892" s="53"/>
      <c r="I1892" s="53"/>
      <c r="J1892" s="53"/>
      <c r="K1892" s="53"/>
      <c r="L1892" s="53"/>
    </row>
    <row r="1893" spans="1:12">
      <c r="A1893" s="53" t="s">
        <v>11</v>
      </c>
      <c r="B1893" s="53" t="s">
        <v>12</v>
      </c>
      <c r="C1893" s="53" t="s">
        <v>1</v>
      </c>
      <c r="D1893" s="53" t="s">
        <v>6</v>
      </c>
      <c r="E1893" s="53" t="s">
        <v>13</v>
      </c>
      <c r="F1893" s="53" t="s">
        <v>4</v>
      </c>
      <c r="G1893" s="53" t="s">
        <v>3</v>
      </c>
      <c r="H1893" t="s">
        <v>479</v>
      </c>
      <c r="I1893" t="s">
        <v>497</v>
      </c>
      <c r="J1893" t="s">
        <v>480</v>
      </c>
      <c r="K1893" t="s">
        <v>481</v>
      </c>
    </row>
    <row r="1894" spans="1:12">
      <c r="A1894" s="53" t="str">
        <f>B1885</f>
        <v>electricity, used in passenger car vehicle</v>
      </c>
      <c r="B1894" s="53">
        <v>1</v>
      </c>
      <c r="C1894" s="53" t="str">
        <f>B1886</f>
        <v>CH</v>
      </c>
      <c r="D1894" s="53" t="str">
        <f>B1891</f>
        <v>megajoule</v>
      </c>
      <c r="E1894" s="53"/>
      <c r="F1894" s="53" t="s">
        <v>15</v>
      </c>
      <c r="G1894" s="53" t="str">
        <f>B1889</f>
        <v>electricity, low voltage</v>
      </c>
      <c r="H1894" s="53">
        <v>0</v>
      </c>
      <c r="J1894" s="53"/>
      <c r="K1894" s="53"/>
    </row>
    <row r="1895" spans="1:12">
      <c r="A1895" s="53" t="s">
        <v>287</v>
      </c>
      <c r="B1895">
        <f>1/3.6</f>
        <v>0.27777777777777779</v>
      </c>
      <c r="C1895" t="s">
        <v>104</v>
      </c>
      <c r="D1895" t="s">
        <v>125</v>
      </c>
      <c r="F1895" t="s">
        <v>18</v>
      </c>
      <c r="G1895" t="s">
        <v>286</v>
      </c>
      <c r="H1895">
        <v>0</v>
      </c>
    </row>
    <row r="1896" spans="1:12">
      <c r="A1896" s="53" t="s">
        <v>385</v>
      </c>
      <c r="B1896">
        <f>89.9/200000/0.75</f>
        <v>5.9933333333333334E-4</v>
      </c>
      <c r="C1896" t="s">
        <v>24</v>
      </c>
      <c r="D1896" t="s">
        <v>7</v>
      </c>
      <c r="F1896" t="s">
        <v>18</v>
      </c>
      <c r="G1896" t="s">
        <v>386</v>
      </c>
      <c r="H1896">
        <v>5</v>
      </c>
      <c r="I1896">
        <f t="shared" ref="I1896:I1901" si="0">B1896</f>
        <v>5.9933333333333334E-4</v>
      </c>
      <c r="J1896">
        <f>60/250000/0.75</f>
        <v>3.2000000000000003E-4</v>
      </c>
      <c r="K1896">
        <f>120/150000/0.75</f>
        <v>1.0666666666666667E-3</v>
      </c>
    </row>
    <row r="1897" spans="1:12">
      <c r="A1897" t="s">
        <v>389</v>
      </c>
      <c r="B1897">
        <v>2.9804347826086958E-5</v>
      </c>
      <c r="C1897" t="s">
        <v>24</v>
      </c>
      <c r="D1897" t="s">
        <v>7</v>
      </c>
      <c r="F1897" t="s">
        <v>18</v>
      </c>
      <c r="G1897" t="s">
        <v>390</v>
      </c>
      <c r="H1897">
        <v>5</v>
      </c>
      <c r="I1897">
        <f t="shared" si="0"/>
        <v>2.9804347826086958E-5</v>
      </c>
      <c r="J1897">
        <f>(200000/250000)*B1897</f>
        <v>2.3843478260869569E-5</v>
      </c>
      <c r="K1897">
        <f>(200000/150000)*B1897</f>
        <v>3.9739130434782611E-5</v>
      </c>
    </row>
    <row r="1898" spans="1:12">
      <c r="A1898" t="s">
        <v>391</v>
      </c>
      <c r="B1898">
        <f>8.94/200000/0.75</f>
        <v>5.9599999999999992E-5</v>
      </c>
      <c r="C1898" t="s">
        <v>24</v>
      </c>
      <c r="D1898" t="s">
        <v>7</v>
      </c>
      <c r="F1898" t="s">
        <v>18</v>
      </c>
      <c r="G1898" t="s">
        <v>392</v>
      </c>
      <c r="H1898">
        <v>5</v>
      </c>
      <c r="I1898">
        <f t="shared" si="0"/>
        <v>5.9599999999999992E-5</v>
      </c>
      <c r="J1898">
        <f>8.94/250000/0.75</f>
        <v>4.7679999999999998E-5</v>
      </c>
      <c r="K1898">
        <f>8.94/150000/0.75</f>
        <v>7.9466666666666669E-5</v>
      </c>
    </row>
    <row r="1899" spans="1:12">
      <c r="A1899" t="s">
        <v>393</v>
      </c>
      <c r="B1899">
        <v>2.6492753623188407E-5</v>
      </c>
      <c r="C1899" t="s">
        <v>24</v>
      </c>
      <c r="D1899" t="s">
        <v>7</v>
      </c>
      <c r="F1899" t="s">
        <v>18</v>
      </c>
      <c r="G1899" t="s">
        <v>394</v>
      </c>
      <c r="H1899">
        <v>5</v>
      </c>
      <c r="I1899">
        <f t="shared" si="0"/>
        <v>2.6492753623188407E-5</v>
      </c>
      <c r="J1899">
        <f>(200000/250000)*B1899</f>
        <v>2.1194202898550728E-5</v>
      </c>
      <c r="K1899">
        <f>(200000/150000)*B1899</f>
        <v>3.5323671497584541E-5</v>
      </c>
    </row>
    <row r="1900" spans="1:12">
      <c r="A1900" t="s">
        <v>495</v>
      </c>
      <c r="B1900">
        <f>48/200000/0.75</f>
        <v>3.2000000000000003E-4</v>
      </c>
      <c r="C1900" s="53" t="s">
        <v>24</v>
      </c>
      <c r="D1900" t="s">
        <v>125</v>
      </c>
      <c r="F1900" t="s">
        <v>18</v>
      </c>
      <c r="G1900" t="s">
        <v>498</v>
      </c>
      <c r="H1900">
        <v>5</v>
      </c>
      <c r="I1900">
        <f t="shared" si="0"/>
        <v>3.2000000000000003E-4</v>
      </c>
      <c r="J1900">
        <f>30/250000/0.75</f>
        <v>1.6000000000000001E-4</v>
      </c>
      <c r="K1900">
        <f>80/150000/0.75</f>
        <v>7.1111111111111115E-4</v>
      </c>
    </row>
    <row r="1901" spans="1:12">
      <c r="A1901" t="s">
        <v>403</v>
      </c>
      <c r="B1901">
        <f>5.96/200000/0.75</f>
        <v>3.9733333333333335E-5</v>
      </c>
      <c r="C1901" t="s">
        <v>24</v>
      </c>
      <c r="D1901" t="s">
        <v>7</v>
      </c>
      <c r="F1901" t="s">
        <v>18</v>
      </c>
      <c r="G1901" t="s">
        <v>404</v>
      </c>
      <c r="H1901">
        <v>5</v>
      </c>
      <c r="I1901">
        <f t="shared" si="0"/>
        <v>3.9733333333333335E-5</v>
      </c>
      <c r="J1901">
        <f>5.96/250000/0.75</f>
        <v>3.1786666666666665E-5</v>
      </c>
      <c r="K1901">
        <f>5.96/150000/0.75</f>
        <v>5.2977777777777782E-5</v>
      </c>
    </row>
    <row r="1902" spans="1:12">
      <c r="B1902"/>
    </row>
    <row r="1903" spans="1:12" ht="15.75">
      <c r="A1903" s="1" t="s">
        <v>0</v>
      </c>
      <c r="B1903" s="60" t="s">
        <v>431</v>
      </c>
    </row>
    <row r="1904" spans="1:12">
      <c r="A1904" t="s">
        <v>1</v>
      </c>
      <c r="B1904" t="s">
        <v>24</v>
      </c>
    </row>
    <row r="1905" spans="1:12">
      <c r="A1905" t="s">
        <v>3</v>
      </c>
      <c r="B1905" t="str">
        <f>B1903</f>
        <v>charging station, 3kW</v>
      </c>
    </row>
    <row r="1906" spans="1:12">
      <c r="A1906" t="s">
        <v>4</v>
      </c>
      <c r="B1906" t="s">
        <v>5</v>
      </c>
    </row>
    <row r="1907" spans="1:12">
      <c r="A1907" t="s">
        <v>6</v>
      </c>
      <c r="B1907" t="s">
        <v>6</v>
      </c>
    </row>
    <row r="1908" spans="1:12">
      <c r="A1908" t="s">
        <v>8</v>
      </c>
      <c r="B1908" t="s">
        <v>429</v>
      </c>
    </row>
    <row r="1909" spans="1:12">
      <c r="A1909" t="s">
        <v>9</v>
      </c>
      <c r="B1909" t="s">
        <v>459</v>
      </c>
    </row>
    <row r="1910" spans="1:12" ht="15.75">
      <c r="A1910" s="1" t="s">
        <v>10</v>
      </c>
      <c r="B1910"/>
    </row>
    <row r="1911" spans="1:12">
      <c r="A1911" t="s">
        <v>11</v>
      </c>
      <c r="B1911" t="s">
        <v>12</v>
      </c>
      <c r="C1911" t="s">
        <v>1</v>
      </c>
      <c r="D1911" t="s">
        <v>6</v>
      </c>
      <c r="E1911" t="s">
        <v>13</v>
      </c>
      <c r="F1911" t="s">
        <v>4</v>
      </c>
      <c r="G1911" t="s">
        <v>9</v>
      </c>
      <c r="H1911" t="s">
        <v>3</v>
      </c>
    </row>
    <row r="1912" spans="1:12">
      <c r="A1912" t="str">
        <f>B1903</f>
        <v>charging station, 3kW</v>
      </c>
      <c r="B1912">
        <v>1</v>
      </c>
      <c r="C1912" t="str">
        <f>B1904</f>
        <v>GLO</v>
      </c>
      <c r="D1912" t="str">
        <f>B1907</f>
        <v>unit</v>
      </c>
      <c r="F1912" t="s">
        <v>15</v>
      </c>
      <c r="G1912" t="s">
        <v>16</v>
      </c>
      <c r="H1912" t="str">
        <f>B1905</f>
        <v>charging station, 3kW</v>
      </c>
    </row>
    <row r="1913" spans="1:12">
      <c r="A1913" s="65" t="s">
        <v>460</v>
      </c>
      <c r="B1913" s="66">
        <v>3</v>
      </c>
      <c r="C1913" t="s">
        <v>24</v>
      </c>
      <c r="D1913" t="s">
        <v>7</v>
      </c>
      <c r="F1913" t="s">
        <v>18</v>
      </c>
      <c r="H1913" t="s">
        <v>461</v>
      </c>
    </row>
    <row r="1914" spans="1:12">
      <c r="A1914" s="65" t="s">
        <v>433</v>
      </c>
      <c r="B1914" s="66">
        <f>15900*(B1913/1000)</f>
        <v>47.7</v>
      </c>
      <c r="C1914" t="s">
        <v>24</v>
      </c>
      <c r="D1914" t="s">
        <v>28</v>
      </c>
      <c r="F1914" t="s">
        <v>18</v>
      </c>
      <c r="H1914" t="s">
        <v>433</v>
      </c>
    </row>
    <row r="1915" spans="1:12">
      <c r="A1915" s="65" t="s">
        <v>81</v>
      </c>
      <c r="B1915" s="66">
        <f>1000*(B1913/1000)</f>
        <v>3</v>
      </c>
      <c r="C1915" t="s">
        <v>103</v>
      </c>
      <c r="D1915" t="s">
        <v>28</v>
      </c>
      <c r="F1915" t="s">
        <v>18</v>
      </c>
      <c r="H1915" t="s">
        <v>82</v>
      </c>
    </row>
    <row r="1916" spans="1:12">
      <c r="A1916" t="s">
        <v>462</v>
      </c>
      <c r="B1916" s="66">
        <f>-1*B1913</f>
        <v>-3</v>
      </c>
      <c r="C1916" t="s">
        <v>24</v>
      </c>
      <c r="D1916" t="s">
        <v>7</v>
      </c>
      <c r="F1916" t="s">
        <v>18</v>
      </c>
      <c r="H1916" t="s">
        <v>463</v>
      </c>
    </row>
    <row r="1917" spans="1:12">
      <c r="B1917"/>
    </row>
    <row r="1918" spans="1:12" ht="15.75">
      <c r="A1918" s="1" t="s">
        <v>0</v>
      </c>
      <c r="B1918" s="1" t="s">
        <v>470</v>
      </c>
      <c r="C1918" s="53"/>
      <c r="D1918" s="53"/>
      <c r="E1918" s="53"/>
      <c r="F1918" s="53"/>
      <c r="G1918" s="53"/>
      <c r="H1918" s="53"/>
    </row>
    <row r="1919" spans="1:12">
      <c r="A1919" s="53" t="s">
        <v>1</v>
      </c>
      <c r="B1919" s="53" t="s">
        <v>104</v>
      </c>
      <c r="C1919" s="53"/>
      <c r="D1919" s="53"/>
      <c r="E1919" s="53"/>
      <c r="F1919" s="53"/>
      <c r="G1919" s="53"/>
      <c r="H1919" s="53"/>
      <c r="I1919" s="53"/>
      <c r="J1919" s="53"/>
      <c r="K1919" s="53"/>
      <c r="L1919" s="53"/>
    </row>
    <row r="1920" spans="1:12">
      <c r="A1920" s="53" t="s">
        <v>2</v>
      </c>
      <c r="B1920" s="53">
        <v>1</v>
      </c>
      <c r="C1920" s="53"/>
      <c r="D1920" s="53"/>
      <c r="E1920" s="53"/>
      <c r="F1920" s="53"/>
      <c r="G1920" s="53"/>
      <c r="H1920" s="53"/>
      <c r="I1920" s="53"/>
      <c r="J1920" s="53"/>
      <c r="K1920" s="53"/>
      <c r="L1920" s="53"/>
    </row>
    <row r="1921" spans="1:15">
      <c r="A1921" s="53" t="s">
        <v>3</v>
      </c>
      <c r="B1921" s="53" t="s">
        <v>284</v>
      </c>
      <c r="C1921" s="53"/>
      <c r="D1921" s="53"/>
      <c r="E1921" s="53"/>
      <c r="F1921" s="53"/>
      <c r="G1921" s="53"/>
      <c r="H1921" s="53"/>
      <c r="I1921" s="53"/>
      <c r="J1921" s="53"/>
    </row>
    <row r="1922" spans="1:15">
      <c r="A1922" s="53" t="s">
        <v>4</v>
      </c>
      <c r="B1922" s="53" t="s">
        <v>5</v>
      </c>
      <c r="C1922" s="53"/>
      <c r="D1922" s="53"/>
      <c r="E1922" s="53"/>
      <c r="F1922" s="53"/>
      <c r="G1922" s="53"/>
      <c r="H1922" s="53"/>
      <c r="I1922" s="53"/>
      <c r="J1922" s="53"/>
      <c r="K1922" s="53"/>
      <c r="L1922" s="53"/>
    </row>
    <row r="1923" spans="1:15">
      <c r="A1923" t="s">
        <v>9</v>
      </c>
      <c r="B1923" t="s">
        <v>397</v>
      </c>
      <c r="C1923" s="53"/>
      <c r="D1923" s="53"/>
      <c r="E1923" s="53"/>
      <c r="F1923" s="53"/>
      <c r="G1923" s="53"/>
      <c r="H1923" s="53"/>
      <c r="I1923" s="53"/>
      <c r="J1923" s="53"/>
      <c r="K1923" s="53"/>
      <c r="L1923" s="53"/>
    </row>
    <row r="1924" spans="1:15">
      <c r="A1924" s="53" t="s">
        <v>6</v>
      </c>
      <c r="B1924" s="53" t="s">
        <v>17</v>
      </c>
      <c r="C1924" s="53"/>
      <c r="D1924" s="53"/>
      <c r="E1924" s="53"/>
      <c r="F1924" s="53"/>
      <c r="G1924" s="53"/>
      <c r="H1924" s="53"/>
      <c r="I1924" s="53"/>
      <c r="J1924" s="53"/>
      <c r="K1924" s="53"/>
      <c r="L1924" s="53"/>
    </row>
    <row r="1925" spans="1:15" ht="15.75">
      <c r="A1925" s="1" t="s">
        <v>10</v>
      </c>
      <c r="B1925" s="53"/>
      <c r="C1925" s="53"/>
      <c r="D1925" s="53"/>
      <c r="E1925" s="53"/>
      <c r="F1925" s="53"/>
      <c r="G1925" s="53"/>
      <c r="H1925" s="53"/>
      <c r="I1925" s="53"/>
      <c r="J1925" s="53"/>
      <c r="K1925" s="53"/>
      <c r="L1925" s="53"/>
    </row>
    <row r="1926" spans="1:15">
      <c r="A1926" s="53" t="s">
        <v>11</v>
      </c>
      <c r="B1926" s="53" t="s">
        <v>12</v>
      </c>
      <c r="C1926" s="53" t="s">
        <v>1</v>
      </c>
      <c r="D1926" s="53" t="s">
        <v>6</v>
      </c>
      <c r="E1926" s="53" t="s">
        <v>13</v>
      </c>
      <c r="F1926" s="53" t="s">
        <v>4</v>
      </c>
      <c r="G1926" s="53" t="s">
        <v>3</v>
      </c>
      <c r="H1926" t="s">
        <v>479</v>
      </c>
      <c r="I1926" t="s">
        <v>497</v>
      </c>
      <c r="J1926" t="s">
        <v>480</v>
      </c>
      <c r="K1926" t="s">
        <v>481</v>
      </c>
    </row>
    <row r="1927" spans="1:15">
      <c r="A1927" s="53" t="str">
        <f>B1918</f>
        <v>hydrogen, used in passenger car vehicle</v>
      </c>
      <c r="B1927" s="53">
        <v>1</v>
      </c>
      <c r="C1927" s="53" t="str">
        <f>B1919</f>
        <v>CH</v>
      </c>
      <c r="D1927" s="53" t="str">
        <f>B1924</f>
        <v>megajoule</v>
      </c>
      <c r="E1927" s="53"/>
      <c r="F1927" s="53" t="s">
        <v>15</v>
      </c>
      <c r="G1927" s="53" t="str">
        <f>B1921</f>
        <v>heat</v>
      </c>
      <c r="H1927" s="53"/>
      <c r="J1927" s="53"/>
      <c r="K1927" s="53"/>
    </row>
    <row r="1928" spans="1:15" s="55" customFormat="1" ht="15.75">
      <c r="A1928" s="53" t="s">
        <v>491</v>
      </c>
      <c r="B1928" s="59">
        <f>1/120</f>
        <v>8.3333333333333332E-3</v>
      </c>
      <c r="C1928" s="55" t="s">
        <v>103</v>
      </c>
      <c r="D1928" s="55" t="s">
        <v>7</v>
      </c>
      <c r="F1928" s="55" t="s">
        <v>18</v>
      </c>
      <c r="G1928" s="53" t="s">
        <v>492</v>
      </c>
      <c r="K1928" s="57"/>
      <c r="L1928"/>
      <c r="M1928"/>
      <c r="O1928" s="56"/>
    </row>
    <row r="1929" spans="1:15" s="55" customFormat="1" ht="15.75">
      <c r="A1929" s="53" t="s">
        <v>334</v>
      </c>
      <c r="B1929" s="58">
        <f>0.56%*B1928</f>
        <v>4.6666666666666672E-5</v>
      </c>
      <c r="D1929" s="55" t="s">
        <v>7</v>
      </c>
      <c r="E1929" s="55" t="s">
        <v>135</v>
      </c>
      <c r="F1929" s="53" t="s">
        <v>27</v>
      </c>
      <c r="K1929" s="57"/>
      <c r="L1929" s="61"/>
      <c r="M1929"/>
      <c r="O1929" s="56"/>
    </row>
    <row r="1930" spans="1:15" s="55" customFormat="1" ht="15.75">
      <c r="A1930" s="53" t="s">
        <v>227</v>
      </c>
      <c r="B1930" s="58">
        <f>B1928*9/1000</f>
        <v>7.4999999999999993E-5</v>
      </c>
      <c r="D1930" s="53" t="s">
        <v>37</v>
      </c>
      <c r="E1930" s="55" t="s">
        <v>135</v>
      </c>
      <c r="F1930" s="53" t="s">
        <v>27</v>
      </c>
      <c r="L1930"/>
      <c r="M1930"/>
      <c r="O1930" s="56"/>
    </row>
    <row r="1931" spans="1:15">
      <c r="A1931" t="s">
        <v>389</v>
      </c>
      <c r="B1931" s="28">
        <f>4.47/200000/1.5</f>
        <v>1.4899999999999998E-5</v>
      </c>
      <c r="C1931" t="s">
        <v>24</v>
      </c>
      <c r="D1931" t="s">
        <v>7</v>
      </c>
      <c r="F1931" t="s">
        <v>18</v>
      </c>
      <c r="G1931" t="s">
        <v>390</v>
      </c>
      <c r="H1931">
        <v>5</v>
      </c>
      <c r="I1931">
        <f>B1931</f>
        <v>1.4899999999999998E-5</v>
      </c>
      <c r="J1931">
        <f>4.47/250000/1.5</f>
        <v>1.1919999999999999E-5</v>
      </c>
      <c r="K1931">
        <f>4.47/150000/1.5</f>
        <v>1.9866666666666667E-5</v>
      </c>
    </row>
    <row r="1932" spans="1:15">
      <c r="A1932" t="s">
        <v>385</v>
      </c>
      <c r="B1932" s="28">
        <v>2.3890980215666521E-4</v>
      </c>
      <c r="C1932" t="s">
        <v>24</v>
      </c>
      <c r="D1932" t="s">
        <v>7</v>
      </c>
      <c r="F1932" t="s">
        <v>18</v>
      </c>
      <c r="G1932" t="s">
        <v>386</v>
      </c>
      <c r="H1932">
        <v>5</v>
      </c>
      <c r="I1932">
        <f>B1932</f>
        <v>2.3890980215666521E-4</v>
      </c>
      <c r="J1932">
        <f>(200000/250000)*B1932</f>
        <v>1.9112784172533218E-4</v>
      </c>
      <c r="K1932">
        <f>(200000/150000)*B1932</f>
        <v>3.1854640287555362E-4</v>
      </c>
    </row>
    <row r="1933" spans="1:15">
      <c r="A1933" t="s">
        <v>391</v>
      </c>
      <c r="B1933" s="28">
        <v>2.4565217391304346E-5</v>
      </c>
      <c r="C1933" t="s">
        <v>24</v>
      </c>
      <c r="D1933" t="s">
        <v>7</v>
      </c>
      <c r="F1933" t="s">
        <v>18</v>
      </c>
      <c r="G1933" t="s">
        <v>392</v>
      </c>
    </row>
    <row r="1934" spans="1:15">
      <c r="A1934" t="s">
        <v>393</v>
      </c>
      <c r="B1934" s="28">
        <v>1.0917874396135266E-5</v>
      </c>
      <c r="C1934" t="s">
        <v>24</v>
      </c>
      <c r="D1934" t="s">
        <v>7</v>
      </c>
      <c r="F1934" t="s">
        <v>18</v>
      </c>
      <c r="G1934" t="s">
        <v>394</v>
      </c>
      <c r="H1934">
        <v>5</v>
      </c>
      <c r="I1934">
        <f>B1934</f>
        <v>1.0917874396135266E-5</v>
      </c>
      <c r="J1934">
        <f>(200000/250000)*B1934</f>
        <v>8.7342995169082132E-6</v>
      </c>
      <c r="K1934">
        <f>(200000/150000)*B1934</f>
        <v>1.4557165861513688E-5</v>
      </c>
    </row>
    <row r="1935" spans="1:15">
      <c r="A1935" t="s">
        <v>495</v>
      </c>
      <c r="B1935" s="28">
        <f>(23.75*0.2)/1.8/200000</f>
        <v>1.3194444444444444E-5</v>
      </c>
      <c r="C1935" s="53" t="s">
        <v>24</v>
      </c>
      <c r="D1935" t="s">
        <v>125</v>
      </c>
      <c r="F1935" t="s">
        <v>18</v>
      </c>
      <c r="G1935" t="s">
        <v>498</v>
      </c>
      <c r="H1935">
        <v>5</v>
      </c>
      <c r="I1935">
        <f>B1935</f>
        <v>1.3194444444444444E-5</v>
      </c>
      <c r="J1935" s="67">
        <f>(11.7*0.2)/1.8/200000</f>
        <v>6.4999999999999988E-6</v>
      </c>
      <c r="K1935" s="67">
        <f>(36*0.2)/1.8/200000</f>
        <v>2.0000000000000002E-5</v>
      </c>
    </row>
    <row r="1936" spans="1:15">
      <c r="A1936" t="s">
        <v>399</v>
      </c>
      <c r="B1936" s="28">
        <f>102/1.8/200000</f>
        <v>2.833333333333333E-4</v>
      </c>
      <c r="C1936" t="s">
        <v>103</v>
      </c>
      <c r="D1936" t="s">
        <v>7</v>
      </c>
      <c r="F1936" t="s">
        <v>18</v>
      </c>
      <c r="G1936" t="s">
        <v>398</v>
      </c>
      <c r="H1936">
        <v>5</v>
      </c>
      <c r="I1936">
        <f>B1936</f>
        <v>2.833333333333333E-4</v>
      </c>
      <c r="J1936" s="67">
        <f>78/1.8/200000</f>
        <v>2.1666666666666668E-4</v>
      </c>
      <c r="K1936" s="67">
        <f>117/1.8/200000</f>
        <v>3.2499999999999999E-4</v>
      </c>
    </row>
    <row r="1937" spans="1:11" ht="15.75">
      <c r="A1937" s="61" t="s">
        <v>387</v>
      </c>
      <c r="B1937" s="28">
        <f>45/1.8/200000</f>
        <v>1.25E-4</v>
      </c>
      <c r="C1937" t="s">
        <v>24</v>
      </c>
      <c r="D1937" t="s">
        <v>6</v>
      </c>
      <c r="F1937" t="s">
        <v>18</v>
      </c>
      <c r="G1937" t="s">
        <v>388</v>
      </c>
      <c r="H1937" s="28">
        <v>5</v>
      </c>
      <c r="I1937">
        <f>B1937</f>
        <v>1.25E-4</v>
      </c>
      <c r="J1937" s="67">
        <f>22/1.8/200000</f>
        <v>6.1111111111111107E-5</v>
      </c>
      <c r="K1937" s="67">
        <f>68/1.8/200000</f>
        <v>1.8888888888888888E-4</v>
      </c>
    </row>
    <row r="1939" spans="1:11" ht="15.75">
      <c r="A1939" s="1" t="s">
        <v>0</v>
      </c>
      <c r="B1939" s="1" t="s">
        <v>420</v>
      </c>
    </row>
    <row r="1940" spans="1:11">
      <c r="A1940" t="s">
        <v>9</v>
      </c>
      <c r="B1940" t="s">
        <v>406</v>
      </c>
    </row>
    <row r="1941" spans="1:11">
      <c r="A1941" t="s">
        <v>395</v>
      </c>
      <c r="B1941" t="s">
        <v>407</v>
      </c>
    </row>
    <row r="1942" spans="1:11">
      <c r="A1942" t="s">
        <v>1</v>
      </c>
      <c r="B1942" t="s">
        <v>104</v>
      </c>
    </row>
    <row r="1943" spans="1:11">
      <c r="A1943" t="s">
        <v>2</v>
      </c>
      <c r="B1943">
        <v>1</v>
      </c>
    </row>
    <row r="1944" spans="1:11">
      <c r="A1944" t="s">
        <v>3</v>
      </c>
      <c r="B1944" t="s">
        <v>284</v>
      </c>
    </row>
    <row r="1945" spans="1:11">
      <c r="A1945" t="s">
        <v>4</v>
      </c>
      <c r="B1945" t="s">
        <v>5</v>
      </c>
    </row>
    <row r="1946" spans="1:11">
      <c r="A1946" t="s">
        <v>6</v>
      </c>
      <c r="B1946" t="s">
        <v>17</v>
      </c>
    </row>
    <row r="1947" spans="1:11" ht="15.75">
      <c r="A1947" s="1" t="s">
        <v>10</v>
      </c>
      <c r="B1947"/>
    </row>
    <row r="1948" spans="1:11">
      <c r="A1948" t="s">
        <v>11</v>
      </c>
      <c r="B1948" t="s">
        <v>12</v>
      </c>
      <c r="C1948" t="s">
        <v>1</v>
      </c>
      <c r="D1948" t="s">
        <v>6</v>
      </c>
      <c r="E1948" t="s">
        <v>13</v>
      </c>
      <c r="F1948" t="s">
        <v>4</v>
      </c>
      <c r="G1948" t="s">
        <v>3</v>
      </c>
    </row>
    <row r="1949" spans="1:11">
      <c r="A1949" t="s">
        <v>420</v>
      </c>
      <c r="B1949">
        <v>1</v>
      </c>
      <c r="C1949" t="s">
        <v>104</v>
      </c>
      <c r="D1949" t="s">
        <v>17</v>
      </c>
      <c r="F1949" t="s">
        <v>15</v>
      </c>
      <c r="G1949" t="s">
        <v>284</v>
      </c>
    </row>
    <row r="1950" spans="1:11">
      <c r="A1950" t="s">
        <v>412</v>
      </c>
      <c r="B1950">
        <v>8.4039805756723712E-6</v>
      </c>
      <c r="C1950" t="s">
        <v>103</v>
      </c>
      <c r="D1950" t="s">
        <v>7</v>
      </c>
      <c r="F1950" t="s">
        <v>18</v>
      </c>
      <c r="G1950" t="s">
        <v>413</v>
      </c>
    </row>
    <row r="1951" spans="1:11">
      <c r="A1951" t="s">
        <v>414</v>
      </c>
      <c r="B1951">
        <v>1.3427927506200167E-4</v>
      </c>
      <c r="C1951" t="s">
        <v>103</v>
      </c>
      <c r="D1951" t="s">
        <v>7</v>
      </c>
      <c r="F1951" t="s">
        <v>18</v>
      </c>
      <c r="G1951" t="s">
        <v>414</v>
      </c>
    </row>
    <row r="1952" spans="1:11">
      <c r="A1952" s="53" t="s">
        <v>376</v>
      </c>
      <c r="B1952">
        <f>1/43</f>
        <v>2.3255813953488372E-2</v>
      </c>
      <c r="C1952" t="s">
        <v>104</v>
      </c>
      <c r="D1952" t="s">
        <v>7</v>
      </c>
      <c r="F1952" t="s">
        <v>18</v>
      </c>
      <c r="G1952" t="s">
        <v>356</v>
      </c>
    </row>
    <row r="1953" spans="1:8">
      <c r="A1953" t="s">
        <v>359</v>
      </c>
      <c r="B1953" s="3">
        <v>7.1455665432553858E-7</v>
      </c>
      <c r="D1953" t="s">
        <v>7</v>
      </c>
      <c r="E1953" t="s">
        <v>243</v>
      </c>
      <c r="F1953" s="53" t="s">
        <v>27</v>
      </c>
      <c r="H1953" s="3"/>
    </row>
    <row r="1954" spans="1:8">
      <c r="A1954" t="s">
        <v>360</v>
      </c>
      <c r="B1954" s="3">
        <v>3.2468920124586623E-7</v>
      </c>
      <c r="D1954" t="s">
        <v>7</v>
      </c>
      <c r="E1954" t="s">
        <v>243</v>
      </c>
      <c r="F1954" s="53" t="s">
        <v>27</v>
      </c>
      <c r="H1954" s="3"/>
    </row>
    <row r="1955" spans="1:8">
      <c r="A1955" t="s">
        <v>361</v>
      </c>
      <c r="B1955" s="3">
        <v>3.9534349472964383E-7</v>
      </c>
      <c r="D1955" t="s">
        <v>7</v>
      </c>
      <c r="E1955" t="s">
        <v>243</v>
      </c>
      <c r="F1955" s="53" t="s">
        <v>27</v>
      </c>
      <c r="H1955" s="3"/>
    </row>
    <row r="1956" spans="1:8">
      <c r="A1956" t="s">
        <v>188</v>
      </c>
      <c r="B1956" s="3">
        <v>3.7209280955662761E-7</v>
      </c>
      <c r="D1956" t="s">
        <v>7</v>
      </c>
      <c r="E1956" t="s">
        <v>243</v>
      </c>
      <c r="F1956" s="53" t="s">
        <v>27</v>
      </c>
      <c r="H1956" s="3"/>
    </row>
    <row r="1957" spans="1:8">
      <c r="A1957" t="s">
        <v>362</v>
      </c>
      <c r="B1957" s="3">
        <v>9.4995966427857817E-8</v>
      </c>
      <c r="D1957" t="s">
        <v>7</v>
      </c>
      <c r="E1957" t="s">
        <v>243</v>
      </c>
      <c r="F1957" s="53" t="s">
        <v>27</v>
      </c>
      <c r="H1957" s="3"/>
    </row>
    <row r="1958" spans="1:8">
      <c r="A1958" t="s">
        <v>192</v>
      </c>
      <c r="B1958" s="3">
        <v>2.186743705223342E-7</v>
      </c>
      <c r="D1958" t="s">
        <v>7</v>
      </c>
      <c r="E1958" t="s">
        <v>243</v>
      </c>
      <c r="F1958" s="53" t="s">
        <v>27</v>
      </c>
      <c r="H1958" s="3"/>
    </row>
    <row r="1959" spans="1:8">
      <c r="A1959" t="s">
        <v>363</v>
      </c>
      <c r="B1959" s="3">
        <v>1.2147463123534157E-8</v>
      </c>
      <c r="D1959" t="s">
        <v>7</v>
      </c>
      <c r="E1959" t="s">
        <v>243</v>
      </c>
      <c r="F1959" s="53" t="s">
        <v>27</v>
      </c>
      <c r="H1959" s="3"/>
    </row>
    <row r="1960" spans="1:8">
      <c r="A1960" t="s">
        <v>196</v>
      </c>
      <c r="B1960" s="3">
        <v>2.3255800597289225E-10</v>
      </c>
      <c r="D1960" t="s">
        <v>7</v>
      </c>
      <c r="E1960" t="s">
        <v>243</v>
      </c>
      <c r="F1960" s="53" t="s">
        <v>27</v>
      </c>
      <c r="H1960" s="3"/>
    </row>
    <row r="1961" spans="1:8">
      <c r="A1961" t="s">
        <v>143</v>
      </c>
      <c r="B1961">
        <f>B1952*3.15</f>
        <v>7.3255813953488375E-2</v>
      </c>
      <c r="D1961" t="s">
        <v>7</v>
      </c>
      <c r="E1961" t="s">
        <v>243</v>
      </c>
      <c r="F1961" s="53" t="s">
        <v>27</v>
      </c>
      <c r="H1961" s="3"/>
    </row>
    <row r="1962" spans="1:8">
      <c r="A1962" t="s">
        <v>197</v>
      </c>
      <c r="B1962" s="3">
        <v>2.1069404153243686E-5</v>
      </c>
      <c r="D1962" t="s">
        <v>7</v>
      </c>
      <c r="E1962" t="s">
        <v>243</v>
      </c>
      <c r="F1962" s="53" t="s">
        <v>27</v>
      </c>
      <c r="H1962" s="3"/>
    </row>
    <row r="1963" spans="1:8">
      <c r="A1963" t="s">
        <v>198</v>
      </c>
      <c r="B1963" s="3">
        <v>1.1627900298644613E-9</v>
      </c>
      <c r="D1963" t="s">
        <v>7</v>
      </c>
      <c r="E1963" t="s">
        <v>243</v>
      </c>
      <c r="F1963" s="53" t="s">
        <v>27</v>
      </c>
      <c r="H1963" s="3"/>
    </row>
    <row r="1964" spans="1:8">
      <c r="A1964" t="s">
        <v>234</v>
      </c>
      <c r="B1964" s="3">
        <v>2.3255800597289222E-12</v>
      </c>
      <c r="D1964" t="s">
        <v>7</v>
      </c>
      <c r="E1964" t="s">
        <v>243</v>
      </c>
      <c r="F1964" s="53" t="s">
        <v>27</v>
      </c>
      <c r="H1964" s="3"/>
    </row>
    <row r="1965" spans="1:8">
      <c r="A1965" t="s">
        <v>200</v>
      </c>
      <c r="B1965" s="3">
        <v>3.9534861015391682E-8</v>
      </c>
      <c r="D1965" t="s">
        <v>7</v>
      </c>
      <c r="E1965" t="s">
        <v>243</v>
      </c>
      <c r="F1965" s="53" t="s">
        <v>27</v>
      </c>
      <c r="H1965" s="3"/>
    </row>
    <row r="1966" spans="1:8">
      <c r="A1966" t="s">
        <v>476</v>
      </c>
      <c r="B1966" s="3">
        <v>7.1789570411210658E-8</v>
      </c>
      <c r="D1966" t="s">
        <v>7</v>
      </c>
      <c r="E1966" t="s">
        <v>243</v>
      </c>
      <c r="F1966" s="53" t="s">
        <v>27</v>
      </c>
      <c r="H1966" s="3"/>
    </row>
    <row r="1967" spans="1:8">
      <c r="A1967" t="s">
        <v>202</v>
      </c>
      <c r="B1967" s="3">
        <v>1.1627900298644611E-6</v>
      </c>
      <c r="D1967" t="s">
        <v>7</v>
      </c>
      <c r="E1967" t="s">
        <v>243</v>
      </c>
      <c r="F1967" s="53" t="s">
        <v>27</v>
      </c>
      <c r="H1967" s="3"/>
    </row>
    <row r="1968" spans="1:8">
      <c r="A1968" t="s">
        <v>364</v>
      </c>
      <c r="B1968" s="3">
        <v>3.646242366932188E-8</v>
      </c>
      <c r="D1968" t="s">
        <v>7</v>
      </c>
      <c r="E1968" t="s">
        <v>243</v>
      </c>
      <c r="F1968" s="53" t="s">
        <v>27</v>
      </c>
      <c r="H1968" s="3"/>
    </row>
    <row r="1969" spans="1:8">
      <c r="A1969" t="s">
        <v>365</v>
      </c>
      <c r="B1969" s="3">
        <v>1.2114072625668476E-6</v>
      </c>
      <c r="D1969" t="s">
        <v>7</v>
      </c>
      <c r="E1969" t="s">
        <v>243</v>
      </c>
      <c r="F1969" s="53" t="s">
        <v>27</v>
      </c>
      <c r="H1969" s="3"/>
    </row>
    <row r="1970" spans="1:8">
      <c r="A1970" t="s">
        <v>366</v>
      </c>
      <c r="B1970" s="3">
        <v>1.3252688602888143E-6</v>
      </c>
      <c r="D1970" t="s">
        <v>7</v>
      </c>
      <c r="E1970" t="s">
        <v>243</v>
      </c>
      <c r="F1970" s="53" t="s">
        <v>27</v>
      </c>
      <c r="H1970" s="3"/>
    </row>
    <row r="1971" spans="1:8">
      <c r="A1971" t="s">
        <v>367</v>
      </c>
      <c r="B1971" s="3">
        <v>2.2087814338146904E-8</v>
      </c>
      <c r="D1971" t="s">
        <v>7</v>
      </c>
      <c r="E1971" t="s">
        <v>243</v>
      </c>
      <c r="F1971" s="53" t="s">
        <v>27</v>
      </c>
      <c r="H1971" s="3"/>
    </row>
    <row r="1972" spans="1:8">
      <c r="A1972" t="s">
        <v>208</v>
      </c>
      <c r="B1972" s="3">
        <v>1.9186035492763611E-15</v>
      </c>
      <c r="D1972" t="s">
        <v>7</v>
      </c>
      <c r="E1972" t="s">
        <v>243</v>
      </c>
      <c r="F1972" s="53" t="s">
        <v>27</v>
      </c>
      <c r="H1972" s="3"/>
    </row>
    <row r="1973" spans="1:8">
      <c r="A1973" t="s">
        <v>210</v>
      </c>
      <c r="B1973" s="3">
        <v>4.6511601194578451E-13</v>
      </c>
      <c r="D1973" t="s">
        <v>7</v>
      </c>
      <c r="E1973" t="s">
        <v>243</v>
      </c>
      <c r="F1973" s="53" t="s">
        <v>27</v>
      </c>
      <c r="H1973" s="3"/>
    </row>
    <row r="1974" spans="1:8">
      <c r="A1974" t="s">
        <v>211</v>
      </c>
      <c r="B1974" s="3">
        <v>6.6447090752701953E-7</v>
      </c>
      <c r="D1974" t="s">
        <v>7</v>
      </c>
      <c r="E1974" t="s">
        <v>243</v>
      </c>
      <c r="F1974" s="53" t="s">
        <v>27</v>
      </c>
      <c r="H1974" s="3"/>
    </row>
    <row r="1975" spans="1:8">
      <c r="A1975" t="s">
        <v>368</v>
      </c>
      <c r="B1975" s="3">
        <v>1.3252688602888143E-7</v>
      </c>
      <c r="D1975" t="s">
        <v>7</v>
      </c>
      <c r="E1975" t="s">
        <v>243</v>
      </c>
      <c r="F1975" s="53" t="s">
        <v>27</v>
      </c>
      <c r="H1975" s="3"/>
    </row>
    <row r="1976" spans="1:8">
      <c r="A1976" t="s">
        <v>212</v>
      </c>
      <c r="B1976" s="3">
        <v>5.8566933256401625E-6</v>
      </c>
      <c r="D1976" t="s">
        <v>7</v>
      </c>
      <c r="E1976" t="s">
        <v>243</v>
      </c>
      <c r="F1976" s="53" t="s">
        <v>27</v>
      </c>
      <c r="H1976" s="3"/>
    </row>
    <row r="1977" spans="1:8">
      <c r="A1977" t="s">
        <v>213</v>
      </c>
      <c r="B1977" s="3">
        <v>1.6279060418102458E-9</v>
      </c>
      <c r="D1977" t="s">
        <v>7</v>
      </c>
      <c r="E1977" t="s">
        <v>243</v>
      </c>
      <c r="F1977" s="53" t="s">
        <v>27</v>
      </c>
      <c r="H1977" s="3"/>
    </row>
    <row r="1978" spans="1:8">
      <c r="A1978" t="s">
        <v>214</v>
      </c>
      <c r="B1978">
        <v>2.2614048584510013E-4</v>
      </c>
      <c r="D1978" t="s">
        <v>7</v>
      </c>
      <c r="E1978" t="s">
        <v>243</v>
      </c>
      <c r="F1978" s="53" t="s">
        <v>27</v>
      </c>
      <c r="H1978" s="3"/>
    </row>
    <row r="1979" spans="1:8">
      <c r="A1979" t="s">
        <v>369</v>
      </c>
      <c r="B1979" s="3">
        <v>4.2883696301401334E-9</v>
      </c>
      <c r="D1979" t="s">
        <v>7</v>
      </c>
      <c r="E1979" t="s">
        <v>243</v>
      </c>
      <c r="F1979" s="53" t="s">
        <v>27</v>
      </c>
      <c r="H1979" s="3"/>
    </row>
    <row r="1980" spans="1:8">
      <c r="A1980" t="s">
        <v>215</v>
      </c>
      <c r="B1980" s="3">
        <v>6.3929447213629726E-7</v>
      </c>
      <c r="D1980" t="s">
        <v>7</v>
      </c>
      <c r="E1980" t="s">
        <v>243</v>
      </c>
      <c r="F1980" s="53" t="s">
        <v>27</v>
      </c>
      <c r="H1980" s="3"/>
    </row>
    <row r="1981" spans="1:8">
      <c r="A1981" t="s">
        <v>370</v>
      </c>
      <c r="B1981" s="3">
        <v>4.417562867629381E-9</v>
      </c>
      <c r="D1981" t="s">
        <v>7</v>
      </c>
      <c r="E1981" t="s">
        <v>243</v>
      </c>
      <c r="F1981" s="53" t="s">
        <v>27</v>
      </c>
      <c r="H1981" s="3"/>
    </row>
    <row r="1982" spans="1:8">
      <c r="A1982" t="s">
        <v>371</v>
      </c>
      <c r="B1982" s="3">
        <v>1.2147463123534157E-8</v>
      </c>
      <c r="D1982" t="s">
        <v>7</v>
      </c>
      <c r="E1982" t="s">
        <v>243</v>
      </c>
      <c r="F1982" s="53" t="s">
        <v>27</v>
      </c>
      <c r="H1982" s="3"/>
    </row>
    <row r="1983" spans="1:8">
      <c r="A1983" t="s">
        <v>372</v>
      </c>
      <c r="B1983" s="3">
        <v>3.9768082958024133E-7</v>
      </c>
      <c r="D1983" t="s">
        <v>7</v>
      </c>
      <c r="E1983" t="s">
        <v>243</v>
      </c>
      <c r="F1983" s="53" t="s">
        <v>27</v>
      </c>
      <c r="H1983" s="3"/>
    </row>
    <row r="1984" spans="1:8">
      <c r="A1984" t="s">
        <v>218</v>
      </c>
      <c r="B1984" s="3">
        <v>2.3255800597289225E-10</v>
      </c>
      <c r="D1984" t="s">
        <v>7</v>
      </c>
      <c r="E1984" t="s">
        <v>243</v>
      </c>
      <c r="F1984" s="53" t="s">
        <v>27</v>
      </c>
      <c r="H1984" s="3"/>
    </row>
    <row r="1985" spans="1:8">
      <c r="A1985" t="s">
        <v>373</v>
      </c>
      <c r="B1985" s="3">
        <v>4.0869969387591558E-8</v>
      </c>
      <c r="D1985" t="s">
        <v>7</v>
      </c>
      <c r="E1985" t="s">
        <v>243</v>
      </c>
      <c r="F1985" s="53" t="s">
        <v>27</v>
      </c>
      <c r="H1985" s="3"/>
    </row>
    <row r="1986" spans="1:8">
      <c r="A1986" t="s">
        <v>221</v>
      </c>
      <c r="B1986" s="3">
        <v>4.651160119457845E-7</v>
      </c>
      <c r="D1986" t="s">
        <v>7</v>
      </c>
      <c r="E1986" t="s">
        <v>243</v>
      </c>
      <c r="F1986" s="53" t="s">
        <v>27</v>
      </c>
      <c r="H1986" s="3"/>
    </row>
    <row r="1987" spans="1:8">
      <c r="A1987" t="s">
        <v>225</v>
      </c>
      <c r="B1987" s="3">
        <v>7.619711612948033E-8</v>
      </c>
      <c r="D1987" t="s">
        <v>7</v>
      </c>
      <c r="E1987" t="s">
        <v>243</v>
      </c>
      <c r="F1987" s="53" t="s">
        <v>27</v>
      </c>
      <c r="H1987" s="3"/>
    </row>
    <row r="1988" spans="1:8">
      <c r="A1988" t="s">
        <v>228</v>
      </c>
      <c r="B1988" s="3">
        <v>2.3255800597289226E-8</v>
      </c>
      <c r="D1988" t="s">
        <v>7</v>
      </c>
      <c r="E1988" t="s">
        <v>243</v>
      </c>
      <c r="F1988" s="53" t="s">
        <v>27</v>
      </c>
      <c r="H1988" s="3"/>
    </row>
    <row r="1989" spans="1:8">
      <c r="A1989" t="s">
        <v>374</v>
      </c>
      <c r="B1989" s="3">
        <v>6.7382024692940973E-8</v>
      </c>
      <c r="D1989" t="s">
        <v>7</v>
      </c>
      <c r="E1989" t="s">
        <v>243</v>
      </c>
      <c r="F1989" s="53" t="s">
        <v>27</v>
      </c>
      <c r="H1989" s="3"/>
    </row>
    <row r="1990" spans="1:8">
      <c r="A1990" t="s">
        <v>375</v>
      </c>
      <c r="B1990" s="3">
        <v>2.9821053643838246E-8</v>
      </c>
      <c r="D1990" t="s">
        <v>7</v>
      </c>
      <c r="E1990" t="s">
        <v>243</v>
      </c>
      <c r="F1990" s="53" t="s">
        <v>27</v>
      </c>
      <c r="H1990" s="3"/>
    </row>
    <row r="1993" spans="1:8" ht="15.75">
      <c r="A1993" s="1" t="s">
        <v>0</v>
      </c>
      <c r="B1993" s="1" t="s">
        <v>421</v>
      </c>
    </row>
    <row r="1994" spans="1:8">
      <c r="A1994" t="s">
        <v>9</v>
      </c>
      <c r="B1994" t="s">
        <v>415</v>
      </c>
    </row>
    <row r="1995" spans="1:8">
      <c r="A1995" t="s">
        <v>395</v>
      </c>
      <c r="B1995" t="s">
        <v>407</v>
      </c>
    </row>
    <row r="1996" spans="1:8">
      <c r="A1996" t="s">
        <v>1</v>
      </c>
      <c r="B1996" t="s">
        <v>104</v>
      </c>
    </row>
    <row r="1997" spans="1:8">
      <c r="A1997" t="s">
        <v>2</v>
      </c>
      <c r="B1997">
        <v>1</v>
      </c>
    </row>
    <row r="1998" spans="1:8">
      <c r="A1998" t="s">
        <v>3</v>
      </c>
      <c r="B1998" t="s">
        <v>284</v>
      </c>
    </row>
    <row r="1999" spans="1:8">
      <c r="A1999" t="s">
        <v>8</v>
      </c>
      <c r="B1999" t="s">
        <v>408</v>
      </c>
    </row>
    <row r="2000" spans="1:8">
      <c r="A2000" t="s">
        <v>4</v>
      </c>
      <c r="B2000" t="s">
        <v>5</v>
      </c>
    </row>
    <row r="2001" spans="1:11">
      <c r="A2001" t="s">
        <v>6</v>
      </c>
      <c r="B2001" t="s">
        <v>17</v>
      </c>
    </row>
    <row r="2002" spans="1:11" ht="15.75">
      <c r="A2002" s="1" t="s">
        <v>10</v>
      </c>
      <c r="B2002"/>
    </row>
    <row r="2003" spans="1:11">
      <c r="A2003" t="s">
        <v>11</v>
      </c>
      <c r="B2003" t="s">
        <v>12</v>
      </c>
      <c r="C2003" t="s">
        <v>1</v>
      </c>
      <c r="D2003" t="s">
        <v>13</v>
      </c>
      <c r="E2003" t="s">
        <v>6</v>
      </c>
      <c r="F2003" t="s">
        <v>4</v>
      </c>
      <c r="G2003" t="s">
        <v>3</v>
      </c>
      <c r="H2003" t="s">
        <v>479</v>
      </c>
      <c r="I2003" t="s">
        <v>497</v>
      </c>
      <c r="J2003" t="s">
        <v>480</v>
      </c>
      <c r="K2003" t="s">
        <v>481</v>
      </c>
    </row>
    <row r="2004" spans="1:11">
      <c r="A2004" t="s">
        <v>421</v>
      </c>
      <c r="B2004">
        <v>1</v>
      </c>
      <c r="C2004" t="s">
        <v>104</v>
      </c>
      <c r="E2004" t="s">
        <v>17</v>
      </c>
      <c r="F2004" t="s">
        <v>15</v>
      </c>
      <c r="G2004" t="s">
        <v>284</v>
      </c>
      <c r="H2004">
        <v>0</v>
      </c>
    </row>
    <row r="2005" spans="1:11">
      <c r="A2005" t="s">
        <v>384</v>
      </c>
      <c r="B2005">
        <f>1/36</f>
        <v>2.7777777777777776E-2</v>
      </c>
      <c r="C2005" t="s">
        <v>104</v>
      </c>
      <c r="E2005" t="s">
        <v>37</v>
      </c>
      <c r="F2005" t="s">
        <v>18</v>
      </c>
      <c r="G2005" t="s">
        <v>383</v>
      </c>
      <c r="H2005">
        <v>0</v>
      </c>
    </row>
    <row r="2006" spans="1:11">
      <c r="A2006" t="s">
        <v>400</v>
      </c>
      <c r="B2006">
        <f>232/700000/11.99</f>
        <v>2.7642082687954249E-5</v>
      </c>
      <c r="C2006" t="s">
        <v>103</v>
      </c>
      <c r="E2006" t="s">
        <v>7</v>
      </c>
      <c r="F2006" t="s">
        <v>18</v>
      </c>
      <c r="G2006" t="s">
        <v>401</v>
      </c>
      <c r="H2006">
        <v>5</v>
      </c>
      <c r="I2006">
        <f>B2006</f>
        <v>2.7642082687954249E-5</v>
      </c>
      <c r="J2006">
        <f>155/700000/11.99</f>
        <v>1.8467770761348742E-5</v>
      </c>
      <c r="K2006">
        <f>309/700000/11.99</f>
        <v>3.6816394614559746E-5</v>
      </c>
    </row>
    <row r="2007" spans="1:11">
      <c r="A2007" t="s">
        <v>414</v>
      </c>
      <c r="B2007">
        <v>1.2763976504487801E-4</v>
      </c>
      <c r="C2007" t="s">
        <v>103</v>
      </c>
      <c r="E2007" t="s">
        <v>7</v>
      </c>
      <c r="F2007" t="s">
        <v>18</v>
      </c>
      <c r="G2007" t="s">
        <v>414</v>
      </c>
      <c r="H2007">
        <v>5</v>
      </c>
      <c r="I2007">
        <f>B2007</f>
        <v>1.2763976504487801E-4</v>
      </c>
      <c r="J2007">
        <f>I2007*(700000/1000000)</f>
        <v>8.9347835531414601E-5</v>
      </c>
      <c r="K2007">
        <f>I2007*(700000/500000)</f>
        <v>1.786956710628292E-4</v>
      </c>
    </row>
    <row r="2008" spans="1:11">
      <c r="A2008" t="s">
        <v>188</v>
      </c>
      <c r="B2008" s="3">
        <v>4.4166666666666577E-6</v>
      </c>
      <c r="D2008" t="s">
        <v>243</v>
      </c>
      <c r="E2008" t="s">
        <v>7</v>
      </c>
      <c r="F2008" s="53" t="s">
        <v>27</v>
      </c>
      <c r="H2008" s="30">
        <v>0</v>
      </c>
    </row>
    <row r="2009" spans="1:11">
      <c r="A2009" t="s">
        <v>192</v>
      </c>
      <c r="B2009" s="3">
        <v>7.5082705379565517E-7</v>
      </c>
      <c r="D2009" t="s">
        <v>243</v>
      </c>
      <c r="E2009" t="s">
        <v>7</v>
      </c>
      <c r="F2009" s="53" t="s">
        <v>27</v>
      </c>
      <c r="H2009" s="30">
        <v>0</v>
      </c>
    </row>
    <row r="2010" spans="1:11">
      <c r="A2010" t="s">
        <v>143</v>
      </c>
      <c r="B2010">
        <v>5.5944444444444442E-2</v>
      </c>
      <c r="D2010" t="s">
        <v>243</v>
      </c>
      <c r="E2010" t="s">
        <v>7</v>
      </c>
      <c r="F2010" s="53" t="s">
        <v>27</v>
      </c>
      <c r="H2010" s="30">
        <v>0</v>
      </c>
    </row>
    <row r="2011" spans="1:11">
      <c r="A2011" t="s">
        <v>197</v>
      </c>
      <c r="B2011">
        <v>2.6360440412565261E-4</v>
      </c>
      <c r="D2011" t="s">
        <v>243</v>
      </c>
      <c r="E2011" t="s">
        <v>7</v>
      </c>
      <c r="F2011" s="53" t="s">
        <v>27</v>
      </c>
      <c r="H2011" s="30">
        <v>0</v>
      </c>
    </row>
    <row r="2012" spans="1:11">
      <c r="A2012" t="s">
        <v>202</v>
      </c>
      <c r="B2012" s="3">
        <v>9.6666666666666532E-7</v>
      </c>
      <c r="D2012" t="s">
        <v>243</v>
      </c>
      <c r="E2012" t="s">
        <v>7</v>
      </c>
      <c r="F2012" s="53" t="s">
        <v>27</v>
      </c>
      <c r="H2012" s="30">
        <v>0</v>
      </c>
    </row>
    <row r="2013" spans="1:11">
      <c r="A2013" t="s">
        <v>210</v>
      </c>
      <c r="B2013" s="3">
        <v>2.7750000000000002E-10</v>
      </c>
      <c r="D2013" t="s">
        <v>243</v>
      </c>
      <c r="E2013" t="s">
        <v>7</v>
      </c>
      <c r="F2013" s="53" t="s">
        <v>27</v>
      </c>
      <c r="H2013" s="30">
        <v>0</v>
      </c>
    </row>
    <row r="2014" spans="1:11">
      <c r="A2014" t="s">
        <v>211</v>
      </c>
      <c r="B2014" s="3">
        <v>1.606690212560312E-5</v>
      </c>
      <c r="D2014" t="s">
        <v>243</v>
      </c>
      <c r="E2014" t="s">
        <v>7</v>
      </c>
      <c r="F2014" s="53" t="s">
        <v>27</v>
      </c>
      <c r="H2014" s="30">
        <v>0</v>
      </c>
    </row>
    <row r="2015" spans="1:11">
      <c r="A2015" t="s">
        <v>212</v>
      </c>
      <c r="B2015" s="3">
        <v>6.8382126269474045E-6</v>
      </c>
      <c r="D2015" t="s">
        <v>243</v>
      </c>
      <c r="E2015" t="s">
        <v>7</v>
      </c>
      <c r="F2015" s="53" t="s">
        <v>27</v>
      </c>
      <c r="H2015" s="30">
        <v>0</v>
      </c>
    </row>
    <row r="2016" spans="1:11">
      <c r="A2016" t="s">
        <v>214</v>
      </c>
      <c r="B2016" s="3">
        <v>2.9605693862641999E-6</v>
      </c>
      <c r="D2016" t="s">
        <v>243</v>
      </c>
      <c r="E2016" t="s">
        <v>7</v>
      </c>
      <c r="F2016" s="53" t="s">
        <v>27</v>
      </c>
      <c r="H2016" s="30">
        <v>0</v>
      </c>
    </row>
    <row r="2017" spans="1:10">
      <c r="A2017" t="s">
        <v>215</v>
      </c>
      <c r="B2017" s="3">
        <v>1.4636237937232238E-7</v>
      </c>
      <c r="D2017" t="s">
        <v>243</v>
      </c>
      <c r="E2017" t="s">
        <v>7</v>
      </c>
      <c r="F2017" s="53" t="s">
        <v>27</v>
      </c>
      <c r="H2017" s="30">
        <v>0</v>
      </c>
    </row>
    <row r="2018" spans="1:10">
      <c r="A2018" t="s">
        <v>221</v>
      </c>
      <c r="B2018" s="3">
        <v>5.6430000000000142E-7</v>
      </c>
      <c r="D2018" t="s">
        <v>243</v>
      </c>
      <c r="E2018" t="s">
        <v>7</v>
      </c>
      <c r="F2018" s="53" t="s">
        <v>27</v>
      </c>
      <c r="H2018" s="30">
        <v>0</v>
      </c>
    </row>
    <row r="2019" spans="1:10">
      <c r="A2019" t="s">
        <v>225</v>
      </c>
      <c r="B2019" s="3">
        <v>2.2336471011856279E-6</v>
      </c>
      <c r="D2019" t="s">
        <v>243</v>
      </c>
      <c r="E2019" t="s">
        <v>7</v>
      </c>
      <c r="F2019" s="53" t="s">
        <v>27</v>
      </c>
      <c r="H2019" s="30">
        <v>0</v>
      </c>
    </row>
    <row r="2022" spans="1:10" ht="15.75">
      <c r="A2022" s="1" t="s">
        <v>0</v>
      </c>
      <c r="B2022" s="1" t="s">
        <v>422</v>
      </c>
    </row>
    <row r="2023" spans="1:10">
      <c r="A2023" t="s">
        <v>9</v>
      </c>
      <c r="B2023" t="s">
        <v>416</v>
      </c>
    </row>
    <row r="2024" spans="1:10">
      <c r="A2024" t="s">
        <v>395</v>
      </c>
      <c r="B2024" t="s">
        <v>407</v>
      </c>
    </row>
    <row r="2025" spans="1:10">
      <c r="A2025" t="s">
        <v>1</v>
      </c>
      <c r="B2025" t="s">
        <v>104</v>
      </c>
    </row>
    <row r="2026" spans="1:10">
      <c r="A2026" t="s">
        <v>2</v>
      </c>
      <c r="B2026">
        <v>1</v>
      </c>
    </row>
    <row r="2027" spans="1:10">
      <c r="A2027" t="s">
        <v>3</v>
      </c>
      <c r="B2027" t="s">
        <v>286</v>
      </c>
    </row>
    <row r="2028" spans="1:10">
      <c r="A2028" t="s">
        <v>8</v>
      </c>
      <c r="B2028" t="s">
        <v>408</v>
      </c>
    </row>
    <row r="2029" spans="1:10">
      <c r="A2029" t="s">
        <v>4</v>
      </c>
      <c r="B2029" t="s">
        <v>5</v>
      </c>
    </row>
    <row r="2030" spans="1:10">
      <c r="A2030" t="s">
        <v>6</v>
      </c>
      <c r="B2030" s="3" t="s">
        <v>17</v>
      </c>
    </row>
    <row r="2031" spans="1:10" ht="15.75">
      <c r="A2031" s="1" t="s">
        <v>10</v>
      </c>
      <c r="B2031"/>
    </row>
    <row r="2032" spans="1:10">
      <c r="A2032" t="s">
        <v>11</v>
      </c>
      <c r="B2032" t="s">
        <v>12</v>
      </c>
      <c r="C2032" t="s">
        <v>1</v>
      </c>
      <c r="D2032" t="s">
        <v>6</v>
      </c>
      <c r="E2032" t="s">
        <v>4</v>
      </c>
      <c r="F2032" t="s">
        <v>3</v>
      </c>
      <c r="G2032" t="s">
        <v>479</v>
      </c>
      <c r="H2032" t="s">
        <v>497</v>
      </c>
      <c r="I2032" t="s">
        <v>480</v>
      </c>
      <c r="J2032" t="s">
        <v>481</v>
      </c>
    </row>
    <row r="2033" spans="1:10">
      <c r="A2033" t="s">
        <v>422</v>
      </c>
      <c r="B2033">
        <v>1</v>
      </c>
      <c r="C2033" t="s">
        <v>104</v>
      </c>
      <c r="D2033" t="s">
        <v>17</v>
      </c>
      <c r="E2033" t="s">
        <v>15</v>
      </c>
      <c r="F2033" t="s">
        <v>286</v>
      </c>
      <c r="G2033">
        <v>0</v>
      </c>
    </row>
    <row r="2034" spans="1:10">
      <c r="A2034" t="s">
        <v>287</v>
      </c>
      <c r="B2034">
        <f>1/3.6</f>
        <v>0.27777777777777779</v>
      </c>
      <c r="C2034" t="s">
        <v>104</v>
      </c>
      <c r="D2034" t="s">
        <v>125</v>
      </c>
      <c r="E2034" t="s">
        <v>18</v>
      </c>
      <c r="F2034" t="s">
        <v>286</v>
      </c>
      <c r="G2034">
        <v>0</v>
      </c>
    </row>
    <row r="2035" spans="1:10">
      <c r="A2035" t="s">
        <v>389</v>
      </c>
      <c r="B2035">
        <v>5.8548009367681507E-6</v>
      </c>
      <c r="C2035" t="s">
        <v>24</v>
      </c>
      <c r="D2035" t="s">
        <v>7</v>
      </c>
      <c r="E2035" t="s">
        <v>18</v>
      </c>
      <c r="F2035" t="s">
        <v>390</v>
      </c>
      <c r="G2035">
        <v>5</v>
      </c>
      <c r="H2035">
        <f t="shared" ref="H2035:H2040" si="1">B2035</f>
        <v>5.8548009367681507E-6</v>
      </c>
      <c r="I2035">
        <f>H2035*(700000/1000000)</f>
        <v>4.0983606557377053E-6</v>
      </c>
      <c r="J2035">
        <f>H2035*(700000/500000)</f>
        <v>8.1967213114754105E-6</v>
      </c>
    </row>
    <row r="2036" spans="1:10">
      <c r="A2036" t="s">
        <v>385</v>
      </c>
      <c r="B2036">
        <v>2.0319944081098179E-5</v>
      </c>
      <c r="C2036" t="s">
        <v>24</v>
      </c>
      <c r="D2036" t="s">
        <v>7</v>
      </c>
      <c r="E2036" t="s">
        <v>18</v>
      </c>
      <c r="F2036" t="s">
        <v>386</v>
      </c>
      <c r="G2036">
        <v>5</v>
      </c>
      <c r="H2036">
        <f t="shared" si="1"/>
        <v>2.0319944081098179E-5</v>
      </c>
      <c r="I2036">
        <f>H2036*(700000/1000000)</f>
        <v>1.4223960856768724E-5</v>
      </c>
      <c r="J2036">
        <f>H2036*(700000/500000)</f>
        <v>2.8447921713537448E-5</v>
      </c>
    </row>
    <row r="2037" spans="1:10">
      <c r="A2037" t="s">
        <v>391</v>
      </c>
      <c r="B2037">
        <v>2.9685693565181665E-6</v>
      </c>
      <c r="C2037" t="s">
        <v>24</v>
      </c>
      <c r="D2037" t="s">
        <v>7</v>
      </c>
      <c r="E2037" t="s">
        <v>18</v>
      </c>
      <c r="F2037" t="s">
        <v>392</v>
      </c>
      <c r="G2037">
        <v>5</v>
      </c>
      <c r="H2037">
        <f t="shared" si="1"/>
        <v>2.9685693565181665E-6</v>
      </c>
      <c r="I2037">
        <f>H2037*(700000/1000000)</f>
        <v>2.0779985495627166E-6</v>
      </c>
      <c r="J2037">
        <f>H2037*(700000/500000)</f>
        <v>4.1559970991254331E-6</v>
      </c>
    </row>
    <row r="2038" spans="1:10">
      <c r="A2038" t="s">
        <v>393</v>
      </c>
      <c r="B2038">
        <v>8.4309133489461356E-6</v>
      </c>
      <c r="C2038" t="s">
        <v>24</v>
      </c>
      <c r="D2038" t="s">
        <v>7</v>
      </c>
      <c r="E2038" t="s">
        <v>18</v>
      </c>
      <c r="F2038" t="s">
        <v>394</v>
      </c>
      <c r="G2038">
        <v>5</v>
      </c>
      <c r="H2038">
        <f t="shared" si="1"/>
        <v>8.4309133489461356E-6</v>
      </c>
      <c r="I2038">
        <f>H2038*(700000/1000000)</f>
        <v>5.9016393442622947E-6</v>
      </c>
      <c r="J2038">
        <f>H2038*(700000/500000)</f>
        <v>1.1803278688524589E-5</v>
      </c>
    </row>
    <row r="2039" spans="1:10">
      <c r="A2039" t="s">
        <v>495</v>
      </c>
      <c r="B2039">
        <f>399/700000/6.1</f>
        <v>9.3442622950819676E-5</v>
      </c>
      <c r="C2039" s="53" t="s">
        <v>24</v>
      </c>
      <c r="D2039" t="s">
        <v>125</v>
      </c>
      <c r="E2039" t="s">
        <v>18</v>
      </c>
      <c r="F2039" t="s">
        <v>498</v>
      </c>
      <c r="G2039">
        <v>5</v>
      </c>
      <c r="H2039">
        <f t="shared" si="1"/>
        <v>9.3442622950819676E-5</v>
      </c>
      <c r="I2039">
        <f>(266)/1000000/6.1</f>
        <v>4.3606557377049187E-5</v>
      </c>
      <c r="J2039">
        <f>533/500000/6.1</f>
        <v>1.7475409836065578E-4</v>
      </c>
    </row>
    <row r="2040" spans="1:10">
      <c r="A2040" t="s">
        <v>417</v>
      </c>
      <c r="B2040">
        <f>4.16666666666667E-08*10/6.1</f>
        <v>6.8306010928961812E-8</v>
      </c>
      <c r="C2040" t="s">
        <v>103</v>
      </c>
      <c r="D2040" t="s">
        <v>6</v>
      </c>
      <c r="E2040" t="s">
        <v>18</v>
      </c>
      <c r="F2040" t="s">
        <v>417</v>
      </c>
      <c r="G2040">
        <v>5</v>
      </c>
      <c r="H2040">
        <f t="shared" si="1"/>
        <v>6.8306010928961812E-8</v>
      </c>
      <c r="I2040">
        <f>B2040/2</f>
        <v>3.4153005464480906E-8</v>
      </c>
      <c r="J2040">
        <f>B2040*2</f>
        <v>1.3661202185792362E-7</v>
      </c>
    </row>
    <row r="2042" spans="1:10" ht="15.75">
      <c r="A2042" s="1" t="s">
        <v>0</v>
      </c>
      <c r="B2042" s="1" t="s">
        <v>417</v>
      </c>
    </row>
    <row r="2043" spans="1:10">
      <c r="A2043" t="s">
        <v>9</v>
      </c>
      <c r="B2043" t="s">
        <v>16</v>
      </c>
    </row>
    <row r="2044" spans="1:10">
      <c r="A2044" t="s">
        <v>395</v>
      </c>
      <c r="B2044" t="s">
        <v>465</v>
      </c>
    </row>
    <row r="2045" spans="1:10">
      <c r="A2045" t="s">
        <v>1</v>
      </c>
      <c r="B2045" t="s">
        <v>103</v>
      </c>
    </row>
    <row r="2046" spans="1:10">
      <c r="A2046" t="s">
        <v>2</v>
      </c>
      <c r="B2046">
        <v>1</v>
      </c>
    </row>
    <row r="2047" spans="1:10">
      <c r="A2047" t="s">
        <v>3</v>
      </c>
      <c r="B2047" t="s">
        <v>417</v>
      </c>
    </row>
    <row r="2048" spans="1:10">
      <c r="A2048" t="s">
        <v>8</v>
      </c>
      <c r="B2048" t="s">
        <v>466</v>
      </c>
    </row>
    <row r="2049" spans="1:8">
      <c r="A2049" t="s">
        <v>396</v>
      </c>
      <c r="B2049" t="s">
        <v>16</v>
      </c>
    </row>
    <row r="2050" spans="1:8">
      <c r="A2050" t="s">
        <v>4</v>
      </c>
      <c r="B2050" t="s">
        <v>5</v>
      </c>
    </row>
    <row r="2051" spans="1:8">
      <c r="A2051" t="s">
        <v>6</v>
      </c>
      <c r="B2051" t="s">
        <v>6</v>
      </c>
    </row>
    <row r="2052" spans="1:8" ht="15.75">
      <c r="A2052" s="1" t="s">
        <v>10</v>
      </c>
      <c r="B2052"/>
    </row>
    <row r="2053" spans="1:8">
      <c r="A2053" t="s">
        <v>11</v>
      </c>
      <c r="B2053" t="s">
        <v>12</v>
      </c>
      <c r="C2053" t="s">
        <v>116</v>
      </c>
      <c r="D2053" t="s">
        <v>1</v>
      </c>
      <c r="E2053" t="s">
        <v>6</v>
      </c>
      <c r="F2053" t="s">
        <v>4</v>
      </c>
      <c r="G2053" t="s">
        <v>3</v>
      </c>
      <c r="H2053" t="s">
        <v>409</v>
      </c>
    </row>
    <row r="2054" spans="1:8">
      <c r="A2054" t="s">
        <v>417</v>
      </c>
      <c r="B2054">
        <v>1</v>
      </c>
      <c r="C2054" t="s">
        <v>410</v>
      </c>
      <c r="D2054" t="s">
        <v>103</v>
      </c>
      <c r="E2054" t="s">
        <v>6</v>
      </c>
      <c r="F2054" t="s">
        <v>15</v>
      </c>
      <c r="G2054" t="s">
        <v>417</v>
      </c>
      <c r="H2054" t="s">
        <v>411</v>
      </c>
    </row>
    <row r="2055" spans="1:8">
      <c r="A2055" t="s">
        <v>464</v>
      </c>
      <c r="B2055">
        <v>4.3</v>
      </c>
      <c r="C2055" t="s">
        <v>410</v>
      </c>
      <c r="D2055" t="s">
        <v>103</v>
      </c>
      <c r="E2055" t="s">
        <v>6</v>
      </c>
      <c r="F2055" t="s">
        <v>18</v>
      </c>
      <c r="G2055" t="s">
        <v>464</v>
      </c>
      <c r="H2055" t="s">
        <v>411</v>
      </c>
    </row>
    <row r="2056" spans="1:8">
      <c r="A2056" t="s">
        <v>467</v>
      </c>
      <c r="B2056">
        <v>1</v>
      </c>
      <c r="C2056" t="s">
        <v>410</v>
      </c>
      <c r="D2056" t="s">
        <v>103</v>
      </c>
      <c r="E2056" t="s">
        <v>6</v>
      </c>
      <c r="F2056" t="s">
        <v>18</v>
      </c>
      <c r="G2056" t="s">
        <v>467</v>
      </c>
      <c r="H2056" t="s">
        <v>411</v>
      </c>
    </row>
    <row r="2057" spans="1:8">
      <c r="A2057" t="s">
        <v>468</v>
      </c>
      <c r="B2057">
        <v>1</v>
      </c>
      <c r="C2057" t="s">
        <v>410</v>
      </c>
      <c r="D2057" t="s">
        <v>103</v>
      </c>
      <c r="E2057" t="s">
        <v>6</v>
      </c>
      <c r="F2057" t="s">
        <v>18</v>
      </c>
      <c r="G2057" t="s">
        <v>468</v>
      </c>
      <c r="H2057" t="s">
        <v>411</v>
      </c>
    </row>
    <row r="2058" spans="1:8">
      <c r="B2058"/>
    </row>
    <row r="2059" spans="1:8" ht="15.75">
      <c r="A2059" s="1" t="s">
        <v>0</v>
      </c>
      <c r="B2059" s="1" t="s">
        <v>423</v>
      </c>
    </row>
    <row r="2060" spans="1:8">
      <c r="A2060" t="s">
        <v>9</v>
      </c>
      <c r="B2060" t="s">
        <v>419</v>
      </c>
    </row>
    <row r="2061" spans="1:8">
      <c r="A2061" t="s">
        <v>395</v>
      </c>
      <c r="B2061" t="s">
        <v>407</v>
      </c>
    </row>
    <row r="2062" spans="1:8">
      <c r="A2062" t="s">
        <v>1</v>
      </c>
      <c r="B2062" t="s">
        <v>104</v>
      </c>
    </row>
    <row r="2063" spans="1:8">
      <c r="A2063" t="s">
        <v>2</v>
      </c>
      <c r="B2063">
        <v>1</v>
      </c>
    </row>
    <row r="2064" spans="1:8">
      <c r="A2064" t="s">
        <v>3</v>
      </c>
      <c r="B2064" t="s">
        <v>284</v>
      </c>
    </row>
    <row r="2065" spans="1:10">
      <c r="A2065" t="s">
        <v>8</v>
      </c>
      <c r="B2065" t="s">
        <v>408</v>
      </c>
    </row>
    <row r="2066" spans="1:10">
      <c r="A2066" t="s">
        <v>4</v>
      </c>
      <c r="B2066" t="s">
        <v>5</v>
      </c>
    </row>
    <row r="2067" spans="1:10">
      <c r="A2067" t="s">
        <v>6</v>
      </c>
      <c r="B2067" t="s">
        <v>17</v>
      </c>
    </row>
    <row r="2068" spans="1:10" ht="15.75">
      <c r="A2068" s="1" t="s">
        <v>10</v>
      </c>
      <c r="B2068"/>
    </row>
    <row r="2069" spans="1:10">
      <c r="A2069" t="s">
        <v>11</v>
      </c>
      <c r="B2069" t="s">
        <v>12</v>
      </c>
      <c r="C2069" t="s">
        <v>1</v>
      </c>
      <c r="D2069" t="s">
        <v>6</v>
      </c>
      <c r="E2069" t="s">
        <v>4</v>
      </c>
      <c r="F2069" t="s">
        <v>3</v>
      </c>
      <c r="G2069" t="s">
        <v>479</v>
      </c>
      <c r="H2069" t="s">
        <v>497</v>
      </c>
      <c r="I2069" t="s">
        <v>480</v>
      </c>
      <c r="J2069" t="s">
        <v>481</v>
      </c>
    </row>
    <row r="2070" spans="1:10">
      <c r="A2070" t="s">
        <v>418</v>
      </c>
      <c r="B2070">
        <v>1</v>
      </c>
      <c r="C2070" t="s">
        <v>104</v>
      </c>
      <c r="D2070" t="s">
        <v>17</v>
      </c>
      <c r="E2070" t="s">
        <v>15</v>
      </c>
      <c r="F2070" t="s">
        <v>284</v>
      </c>
      <c r="G2070">
        <v>0</v>
      </c>
    </row>
    <row r="2071" spans="1:10" ht="15.75">
      <c r="A2071" s="53" t="s">
        <v>491</v>
      </c>
      <c r="B2071" s="59">
        <f>1/120</f>
        <v>8.3333333333333332E-3</v>
      </c>
      <c r="C2071" s="55" t="s">
        <v>103</v>
      </c>
      <c r="D2071" s="55" t="s">
        <v>7</v>
      </c>
      <c r="E2071" s="55" t="s">
        <v>18</v>
      </c>
      <c r="F2071" s="53" t="s">
        <v>492</v>
      </c>
      <c r="G2071" s="53">
        <v>0</v>
      </c>
    </row>
    <row r="2072" spans="1:10">
      <c r="A2072" t="s">
        <v>399</v>
      </c>
      <c r="B2072">
        <f>266/700000/6.3</f>
        <v>6.0317460317460322E-5</v>
      </c>
      <c r="C2072" t="s">
        <v>103</v>
      </c>
      <c r="D2072" t="s">
        <v>7</v>
      </c>
      <c r="E2072" t="s">
        <v>18</v>
      </c>
      <c r="F2072" t="s">
        <v>398</v>
      </c>
      <c r="G2072">
        <v>5</v>
      </c>
      <c r="H2072">
        <f>B2072</f>
        <v>6.0317460317460322E-5</v>
      </c>
      <c r="I2072">
        <f>205/700000/6.3</f>
        <v>4.6485260770975065E-5</v>
      </c>
      <c r="J2072">
        <f>288/700000/6.3</f>
        <v>6.53061224489796E-5</v>
      </c>
    </row>
    <row r="2073" spans="1:10">
      <c r="A2073" t="s">
        <v>387</v>
      </c>
      <c r="B2073">
        <f>164/700000/6.3</f>
        <v>3.7188208616780044E-5</v>
      </c>
      <c r="C2073" t="s">
        <v>24</v>
      </c>
      <c r="D2073" t="s">
        <v>6</v>
      </c>
      <c r="E2073" t="s">
        <v>18</v>
      </c>
      <c r="F2073" t="s">
        <v>388</v>
      </c>
      <c r="G2073">
        <v>5</v>
      </c>
      <c r="H2073">
        <f>B2073</f>
        <v>3.7188208616780044E-5</v>
      </c>
      <c r="I2073">
        <f>96/1000000/6.3</f>
        <v>1.5238095238095239E-5</v>
      </c>
      <c r="J2073">
        <f>232/500000/6.3</f>
        <v>7.3650793650793659E-5</v>
      </c>
    </row>
    <row r="2074" spans="1:10">
      <c r="A2074" t="s">
        <v>389</v>
      </c>
      <c r="B2074">
        <v>5.6689342403628128E-6</v>
      </c>
      <c r="C2074" t="s">
        <v>24</v>
      </c>
      <c r="D2074" t="s">
        <v>7</v>
      </c>
      <c r="E2074" t="s">
        <v>18</v>
      </c>
      <c r="F2074" t="s">
        <v>390</v>
      </c>
      <c r="G2074">
        <v>5</v>
      </c>
      <c r="H2074">
        <f t="shared" ref="H2074" si="2">B2074</f>
        <v>5.6689342403628128E-6</v>
      </c>
      <c r="I2074">
        <f>B2074*(700000/1000000)</f>
        <v>3.9682539682539689E-6</v>
      </c>
      <c r="J2074">
        <f>B2074*(700000/500000)</f>
        <v>7.9365079365079379E-6</v>
      </c>
    </row>
    <row r="2075" spans="1:10">
      <c r="A2075" t="s">
        <v>385</v>
      </c>
      <c r="B2075">
        <v>2.4040391954934648E-5</v>
      </c>
      <c r="C2075" t="s">
        <v>24</v>
      </c>
      <c r="D2075" t="s">
        <v>7</v>
      </c>
      <c r="E2075" t="s">
        <v>18</v>
      </c>
      <c r="F2075" t="s">
        <v>386</v>
      </c>
      <c r="G2075">
        <v>5</v>
      </c>
      <c r="H2075">
        <f t="shared" ref="H2075" si="3">B2075</f>
        <v>2.4040391954934648E-5</v>
      </c>
      <c r="I2075">
        <f>B2075*(700000/1000000)</f>
        <v>1.6828274368454252E-5</v>
      </c>
      <c r="J2075">
        <f>B2075*(700000/500000)</f>
        <v>3.3656548736908503E-5</v>
      </c>
    </row>
    <row r="2076" spans="1:10">
      <c r="A2076" t="s">
        <v>391</v>
      </c>
      <c r="B2076">
        <v>3.1830926606374987E-6</v>
      </c>
      <c r="C2076" t="s">
        <v>24</v>
      </c>
      <c r="D2076" t="s">
        <v>7</v>
      </c>
      <c r="E2076" t="s">
        <v>18</v>
      </c>
      <c r="F2076" t="s">
        <v>392</v>
      </c>
      <c r="G2076">
        <v>5</v>
      </c>
      <c r="H2076">
        <f t="shared" ref="H2076" si="4">B2076</f>
        <v>3.1830926606374987E-6</v>
      </c>
      <c r="I2076">
        <f>B2076*(700000/1000000)</f>
        <v>2.2281648624462491E-6</v>
      </c>
      <c r="J2076">
        <f>B2076*(700000/500000)</f>
        <v>4.4563297248924981E-6</v>
      </c>
    </row>
    <row r="2077" spans="1:10">
      <c r="A2077" t="s">
        <v>393</v>
      </c>
      <c r="B2077">
        <v>8.16326530612245E-6</v>
      </c>
      <c r="C2077" t="s">
        <v>24</v>
      </c>
      <c r="D2077" t="s">
        <v>7</v>
      </c>
      <c r="E2077" t="s">
        <v>18</v>
      </c>
      <c r="F2077" t="s">
        <v>394</v>
      </c>
      <c r="G2077">
        <v>5</v>
      </c>
      <c r="H2077">
        <f t="shared" ref="H2077" si="5">B2077</f>
        <v>8.16326530612245E-6</v>
      </c>
      <c r="I2077">
        <f>B2077*(700000/1000000)</f>
        <v>5.7142857142857145E-6</v>
      </c>
      <c r="J2077">
        <f>B2077*(700000/500000)</f>
        <v>1.1428571428571429E-5</v>
      </c>
    </row>
    <row r="2078" spans="1:10">
      <c r="A2078" t="s">
        <v>495</v>
      </c>
      <c r="B2078">
        <f>80/700000/6.3</f>
        <v>1.8140589569160997E-5</v>
      </c>
      <c r="C2078" s="53" t="s">
        <v>24</v>
      </c>
      <c r="D2078" t="s">
        <v>125</v>
      </c>
      <c r="E2078" t="s">
        <v>18</v>
      </c>
      <c r="F2078" t="s">
        <v>498</v>
      </c>
      <c r="G2078">
        <v>5</v>
      </c>
      <c r="H2078">
        <f>B2078</f>
        <v>1.8140589569160997E-5</v>
      </c>
      <c r="I2078">
        <f>47/1000000/6.3</f>
        <v>7.4603174603174601E-6</v>
      </c>
      <c r="J2078">
        <f>98/500000/6.3</f>
        <v>3.111111111111111E-5</v>
      </c>
    </row>
    <row r="2079" spans="1:10">
      <c r="B2079"/>
    </row>
    <row r="2080" spans="1:10" ht="15.75">
      <c r="A2080" s="1" t="s">
        <v>0</v>
      </c>
      <c r="B2080" s="1" t="s">
        <v>425</v>
      </c>
    </row>
    <row r="2081" spans="1:10">
      <c r="A2081" t="s">
        <v>9</v>
      </c>
      <c r="B2081" t="s">
        <v>424</v>
      </c>
    </row>
    <row r="2082" spans="1:10">
      <c r="A2082" t="s">
        <v>395</v>
      </c>
      <c r="B2082" t="s">
        <v>407</v>
      </c>
    </row>
    <row r="2083" spans="1:10">
      <c r="A2083" t="s">
        <v>1</v>
      </c>
      <c r="B2083" t="s">
        <v>104</v>
      </c>
    </row>
    <row r="2084" spans="1:10">
      <c r="A2084" t="s">
        <v>2</v>
      </c>
      <c r="B2084">
        <v>1</v>
      </c>
    </row>
    <row r="2085" spans="1:10">
      <c r="A2085" t="s">
        <v>3</v>
      </c>
      <c r="B2085" t="s">
        <v>286</v>
      </c>
    </row>
    <row r="2086" spans="1:10">
      <c r="A2086" t="s">
        <v>8</v>
      </c>
      <c r="B2086" t="s">
        <v>408</v>
      </c>
    </row>
    <row r="2087" spans="1:10">
      <c r="A2087" t="s">
        <v>4</v>
      </c>
      <c r="B2087" t="s">
        <v>5</v>
      </c>
    </row>
    <row r="2088" spans="1:10">
      <c r="A2088" t="s">
        <v>6</v>
      </c>
      <c r="B2088" t="s">
        <v>17</v>
      </c>
    </row>
    <row r="2089" spans="1:10" ht="15.75">
      <c r="A2089" s="1" t="s">
        <v>10</v>
      </c>
      <c r="B2089"/>
    </row>
    <row r="2090" spans="1:10">
      <c r="A2090" s="60" t="s">
        <v>11</v>
      </c>
      <c r="B2090" s="60" t="s">
        <v>12</v>
      </c>
      <c r="C2090" s="60" t="s">
        <v>1</v>
      </c>
      <c r="D2090" s="60" t="s">
        <v>6</v>
      </c>
      <c r="E2090" s="60" t="s">
        <v>4</v>
      </c>
      <c r="F2090" s="60" t="s">
        <v>3</v>
      </c>
      <c r="G2090" s="60" t="s">
        <v>479</v>
      </c>
      <c r="H2090" s="60" t="s">
        <v>497</v>
      </c>
      <c r="I2090" s="60" t="s">
        <v>480</v>
      </c>
      <c r="J2090" s="60" t="s">
        <v>481</v>
      </c>
    </row>
    <row r="2091" spans="1:10">
      <c r="A2091" t="s">
        <v>425</v>
      </c>
      <c r="B2091">
        <v>1</v>
      </c>
      <c r="C2091" t="s">
        <v>104</v>
      </c>
      <c r="D2091" t="s">
        <v>17</v>
      </c>
      <c r="E2091" t="s">
        <v>15</v>
      </c>
      <c r="F2091" t="s">
        <v>286</v>
      </c>
      <c r="G2091">
        <v>0</v>
      </c>
    </row>
    <row r="2092" spans="1:10">
      <c r="A2092" t="s">
        <v>287</v>
      </c>
      <c r="B2092">
        <f>1/3.6</f>
        <v>0.27777777777777779</v>
      </c>
      <c r="C2092" t="s">
        <v>104</v>
      </c>
      <c r="D2092" t="s">
        <v>125</v>
      </c>
      <c r="E2092" t="s">
        <v>18</v>
      </c>
      <c r="F2092" t="s">
        <v>286</v>
      </c>
      <c r="G2092">
        <v>0</v>
      </c>
    </row>
    <row r="2093" spans="1:10">
      <c r="A2093" t="s">
        <v>389</v>
      </c>
      <c r="B2093">
        <v>4.3859649122807014E-6</v>
      </c>
      <c r="C2093" t="s">
        <v>24</v>
      </c>
      <c r="D2093" t="s">
        <v>7</v>
      </c>
      <c r="E2093" t="s">
        <v>18</v>
      </c>
      <c r="F2093" t="s">
        <v>390</v>
      </c>
      <c r="G2093">
        <v>5</v>
      </c>
      <c r="H2093">
        <f t="shared" ref="H2093:H2095" si="6">B2093</f>
        <v>4.3859649122807014E-6</v>
      </c>
      <c r="I2093">
        <f t="shared" ref="I2093:I2095" si="7">B2093*(1000000/1250000)</f>
        <v>3.5087719298245615E-6</v>
      </c>
      <c r="J2093">
        <f t="shared" ref="J2093:J2095" si="8">B2093*(1000000/750000)</f>
        <v>5.8479532163742686E-6</v>
      </c>
    </row>
    <row r="2094" spans="1:10">
      <c r="A2094" t="s">
        <v>385</v>
      </c>
      <c r="B2094">
        <v>1.529271460518488E-5</v>
      </c>
      <c r="C2094" t="s">
        <v>24</v>
      </c>
      <c r="D2094" t="s">
        <v>7</v>
      </c>
      <c r="E2094" t="s">
        <v>18</v>
      </c>
      <c r="F2094" t="s">
        <v>386</v>
      </c>
      <c r="G2094">
        <v>5</v>
      </c>
      <c r="H2094">
        <f t="shared" si="6"/>
        <v>1.529271460518488E-5</v>
      </c>
      <c r="I2094">
        <f t="shared" si="7"/>
        <v>1.2234171684147905E-5</v>
      </c>
      <c r="J2094">
        <f t="shared" si="8"/>
        <v>2.0390286140246506E-5</v>
      </c>
    </row>
    <row r="2095" spans="1:10">
      <c r="A2095" t="s">
        <v>391</v>
      </c>
      <c r="B2095">
        <v>2.2293376104859981E-6</v>
      </c>
      <c r="C2095" t="s">
        <v>24</v>
      </c>
      <c r="D2095" t="s">
        <v>7</v>
      </c>
      <c r="E2095" t="s">
        <v>18</v>
      </c>
      <c r="F2095" t="s">
        <v>392</v>
      </c>
      <c r="G2095">
        <v>5</v>
      </c>
      <c r="H2095">
        <f t="shared" si="6"/>
        <v>2.2293376104859981E-6</v>
      </c>
      <c r="I2095">
        <f t="shared" si="7"/>
        <v>1.7834700883887986E-6</v>
      </c>
      <c r="J2095">
        <f t="shared" si="8"/>
        <v>2.9724501473146639E-6</v>
      </c>
    </row>
    <row r="2096" spans="1:10">
      <c r="A2096" t="s">
        <v>393</v>
      </c>
      <c r="B2096">
        <v>6.3157894736842103E-6</v>
      </c>
      <c r="C2096" t="s">
        <v>24</v>
      </c>
      <c r="D2096" t="s">
        <v>7</v>
      </c>
      <c r="E2096" t="s">
        <v>18</v>
      </c>
      <c r="F2096" t="s">
        <v>394</v>
      </c>
      <c r="G2096">
        <v>5</v>
      </c>
      <c r="H2096">
        <f>B2096</f>
        <v>6.3157894736842103E-6</v>
      </c>
      <c r="I2096">
        <f>B2096*(1000000/1250000)</f>
        <v>5.0526315789473688E-6</v>
      </c>
      <c r="J2096">
        <f>B2096*(1000000/750000)</f>
        <v>8.4210526315789465E-6</v>
      </c>
    </row>
    <row r="2097" spans="1:10">
      <c r="A2097" t="s">
        <v>496</v>
      </c>
      <c r="B2097">
        <f>66/1000000/5.7</f>
        <v>1.1578947368421053E-5</v>
      </c>
      <c r="C2097" s="53" t="s">
        <v>24</v>
      </c>
      <c r="D2097" t="s">
        <v>125</v>
      </c>
      <c r="E2097" t="s">
        <v>18</v>
      </c>
      <c r="F2097" t="s">
        <v>498</v>
      </c>
      <c r="G2097">
        <v>5</v>
      </c>
      <c r="H2097">
        <f>B2097</f>
        <v>1.1578947368421053E-5</v>
      </c>
      <c r="I2097">
        <f>33/1250000/5.7</f>
        <v>4.631578947368421E-6</v>
      </c>
      <c r="J2097">
        <f>88/750000/5.7</f>
        <v>2.0584795321637427E-5</v>
      </c>
    </row>
    <row r="2099" spans="1:10" ht="15.75">
      <c r="A2099" s="1" t="s">
        <v>0</v>
      </c>
      <c r="B2099" s="1" t="s">
        <v>426</v>
      </c>
    </row>
    <row r="2100" spans="1:10">
      <c r="A2100" t="s">
        <v>1</v>
      </c>
      <c r="B2100" t="s">
        <v>104</v>
      </c>
    </row>
    <row r="2101" spans="1:10">
      <c r="A2101" t="s">
        <v>3</v>
      </c>
      <c r="B2101" t="s">
        <v>286</v>
      </c>
    </row>
    <row r="2102" spans="1:10">
      <c r="A2102" t="s">
        <v>4</v>
      </c>
      <c r="B2102" t="s">
        <v>5</v>
      </c>
    </row>
    <row r="2103" spans="1:10">
      <c r="A2103" t="s">
        <v>6</v>
      </c>
      <c r="B2103" t="s">
        <v>17</v>
      </c>
    </row>
    <row r="2104" spans="1:10" ht="15.75">
      <c r="A2104" s="1" t="s">
        <v>10</v>
      </c>
      <c r="B2104"/>
    </row>
    <row r="2105" spans="1:10">
      <c r="A2105" t="s">
        <v>11</v>
      </c>
      <c r="B2105" t="s">
        <v>12</v>
      </c>
      <c r="C2105" t="s">
        <v>1</v>
      </c>
      <c r="D2105" t="s">
        <v>6</v>
      </c>
      <c r="E2105" t="s">
        <v>4</v>
      </c>
      <c r="F2105" t="s">
        <v>3</v>
      </c>
    </row>
    <row r="2106" spans="1:10">
      <c r="A2106" t="s">
        <v>425</v>
      </c>
      <c r="B2106">
        <v>1</v>
      </c>
      <c r="C2106" t="s">
        <v>104</v>
      </c>
      <c r="D2106" t="s">
        <v>17</v>
      </c>
      <c r="E2106" t="s">
        <v>15</v>
      </c>
      <c r="F2106" t="s">
        <v>286</v>
      </c>
    </row>
    <row r="2107" spans="1:10">
      <c r="A2107" t="s">
        <v>427</v>
      </c>
      <c r="B2107" s="2">
        <f>1/(0.089775*3.6)</f>
        <v>3.0941551409387671</v>
      </c>
      <c r="C2107" t="s">
        <v>104</v>
      </c>
      <c r="D2107" t="s">
        <v>428</v>
      </c>
      <c r="E2107" t="s">
        <v>18</v>
      </c>
      <c r="F2107" t="s">
        <v>427</v>
      </c>
    </row>
    <row r="2108" spans="1:10">
      <c r="B2108"/>
    </row>
    <row r="2109" spans="1:10">
      <c r="A2109" s="60" t="s">
        <v>0</v>
      </c>
      <c r="B2109" s="60" t="s">
        <v>434</v>
      </c>
    </row>
    <row r="2110" spans="1:10">
      <c r="A2110" t="s">
        <v>1</v>
      </c>
      <c r="B2110" t="s">
        <v>104</v>
      </c>
    </row>
    <row r="2111" spans="1:10">
      <c r="A2111" t="s">
        <v>3</v>
      </c>
      <c r="B2111" s="3" t="s">
        <v>286</v>
      </c>
    </row>
    <row r="2112" spans="1:10">
      <c r="A2112" t="s">
        <v>4</v>
      </c>
      <c r="B2112" s="3" t="s">
        <v>5</v>
      </c>
    </row>
    <row r="2113" spans="1:12">
      <c r="A2113" t="s">
        <v>6</v>
      </c>
      <c r="B2113" s="3" t="s">
        <v>17</v>
      </c>
    </row>
    <row r="2114" spans="1:12">
      <c r="A2114" t="s">
        <v>8</v>
      </c>
      <c r="B2114" s="3" t="s">
        <v>429</v>
      </c>
    </row>
    <row r="2115" spans="1:12">
      <c r="A2115" t="s">
        <v>9</v>
      </c>
      <c r="B2115" s="3" t="s">
        <v>430</v>
      </c>
    </row>
    <row r="2116" spans="1:12">
      <c r="A2116" t="s">
        <v>10</v>
      </c>
    </row>
    <row r="2117" spans="1:12">
      <c r="A2117" s="60" t="s">
        <v>11</v>
      </c>
      <c r="B2117" s="69" t="s">
        <v>12</v>
      </c>
      <c r="C2117" s="60" t="s">
        <v>1</v>
      </c>
      <c r="D2117" s="60" t="s">
        <v>6</v>
      </c>
      <c r="E2117" s="60" t="s">
        <v>13</v>
      </c>
      <c r="F2117" s="60" t="s">
        <v>4</v>
      </c>
      <c r="G2117" s="60" t="s">
        <v>9</v>
      </c>
      <c r="H2117" s="60" t="s">
        <v>3</v>
      </c>
      <c r="I2117" s="60" t="s">
        <v>479</v>
      </c>
      <c r="J2117" s="60" t="s">
        <v>497</v>
      </c>
      <c r="K2117" s="60" t="s">
        <v>480</v>
      </c>
      <c r="L2117" s="60" t="s">
        <v>481</v>
      </c>
    </row>
    <row r="2118" spans="1:12">
      <c r="A2118" t="s">
        <v>434</v>
      </c>
      <c r="B2118" s="3">
        <v>1</v>
      </c>
      <c r="C2118" t="s">
        <v>104</v>
      </c>
      <c r="D2118" t="s">
        <v>17</v>
      </c>
      <c r="F2118" t="s">
        <v>15</v>
      </c>
      <c r="G2118" t="s">
        <v>16</v>
      </c>
      <c r="H2118" t="s">
        <v>286</v>
      </c>
      <c r="I2118">
        <v>0</v>
      </c>
    </row>
    <row r="2119" spans="1:12">
      <c r="A2119" t="s">
        <v>287</v>
      </c>
      <c r="B2119">
        <f>1/3.6</f>
        <v>0.27777777777777779</v>
      </c>
      <c r="C2119" t="s">
        <v>104</v>
      </c>
      <c r="D2119" t="s">
        <v>125</v>
      </c>
      <c r="F2119" t="s">
        <v>18</v>
      </c>
      <c r="H2119" t="s">
        <v>286</v>
      </c>
      <c r="I2119">
        <v>0</v>
      </c>
    </row>
    <row r="2120" spans="1:12">
      <c r="A2120" t="s">
        <v>431</v>
      </c>
      <c r="B2120" s="3">
        <v>9.5816828884557961E-5</v>
      </c>
      <c r="C2120" t="s">
        <v>24</v>
      </c>
      <c r="D2120" t="s">
        <v>6</v>
      </c>
      <c r="F2120" t="s">
        <v>18</v>
      </c>
      <c r="G2120" t="s">
        <v>432</v>
      </c>
      <c r="H2120" t="s">
        <v>431</v>
      </c>
      <c r="I2120">
        <v>0</v>
      </c>
    </row>
    <row r="2121" spans="1:12">
      <c r="A2121" t="s">
        <v>495</v>
      </c>
      <c r="B2121">
        <f>8.1/38500/(0.0753*3.6)</f>
        <v>7.7611631396491947E-4</v>
      </c>
      <c r="C2121" s="53" t="s">
        <v>24</v>
      </c>
      <c r="D2121" t="s">
        <v>125</v>
      </c>
      <c r="F2121" t="s">
        <v>18</v>
      </c>
      <c r="H2121" t="s">
        <v>498</v>
      </c>
      <c r="I2121">
        <v>5</v>
      </c>
      <c r="J2121">
        <f>B2121</f>
        <v>7.7611631396491947E-4</v>
      </c>
      <c r="K2121">
        <f>2.4/42000/(0.0753*3.6)</f>
        <v>2.1079702354602749E-4</v>
      </c>
      <c r="L2121">
        <f>16.5/35000/(0.0753*3.6)</f>
        <v>1.7390754442547268E-3</v>
      </c>
    </row>
    <row r="2123" spans="1:12">
      <c r="A2123" s="60" t="s">
        <v>0</v>
      </c>
      <c r="B2123" s="60" t="s">
        <v>435</v>
      </c>
    </row>
    <row r="2124" spans="1:12">
      <c r="A2124" t="s">
        <v>1</v>
      </c>
      <c r="B2124" t="s">
        <v>104</v>
      </c>
    </row>
    <row r="2125" spans="1:12">
      <c r="A2125" t="s">
        <v>3</v>
      </c>
      <c r="B2125" s="3" t="s">
        <v>284</v>
      </c>
    </row>
    <row r="2126" spans="1:12">
      <c r="A2126" t="s">
        <v>4</v>
      </c>
      <c r="B2126" s="3" t="s">
        <v>5</v>
      </c>
    </row>
    <row r="2127" spans="1:12">
      <c r="A2127" t="s">
        <v>6</v>
      </c>
      <c r="B2127" s="3" t="s">
        <v>17</v>
      </c>
    </row>
    <row r="2128" spans="1:12">
      <c r="A2128" t="s">
        <v>8</v>
      </c>
      <c r="B2128" s="3" t="s">
        <v>429</v>
      </c>
    </row>
    <row r="2129" spans="1:15">
      <c r="A2129" t="s">
        <v>9</v>
      </c>
      <c r="B2129" s="3" t="s">
        <v>430</v>
      </c>
    </row>
    <row r="2130" spans="1:15">
      <c r="A2130" t="s">
        <v>10</v>
      </c>
    </row>
    <row r="2131" spans="1:15">
      <c r="A2131" s="60" t="s">
        <v>11</v>
      </c>
      <c r="B2131" s="69" t="s">
        <v>12</v>
      </c>
      <c r="C2131" s="60" t="s">
        <v>1</v>
      </c>
      <c r="D2131" s="60" t="s">
        <v>6</v>
      </c>
      <c r="E2131" s="60" t="s">
        <v>13</v>
      </c>
      <c r="F2131" s="60" t="s">
        <v>4</v>
      </c>
      <c r="G2131" s="60" t="s">
        <v>9</v>
      </c>
      <c r="H2131" s="60" t="s">
        <v>3</v>
      </c>
      <c r="I2131" s="60" t="s">
        <v>479</v>
      </c>
      <c r="J2131" s="60" t="s">
        <v>497</v>
      </c>
      <c r="K2131" s="60" t="s">
        <v>480</v>
      </c>
      <c r="L2131" s="60" t="s">
        <v>481</v>
      </c>
    </row>
    <row r="2132" spans="1:15">
      <c r="A2132" t="s">
        <v>435</v>
      </c>
      <c r="B2132" s="3">
        <v>1</v>
      </c>
      <c r="C2132" t="s">
        <v>104</v>
      </c>
      <c r="D2132" t="s">
        <v>17</v>
      </c>
      <c r="F2132" t="s">
        <v>15</v>
      </c>
      <c r="G2132" t="s">
        <v>16</v>
      </c>
      <c r="H2132" s="3" t="s">
        <v>284</v>
      </c>
      <c r="I2132">
        <v>0</v>
      </c>
    </row>
    <row r="2133" spans="1:15" s="55" customFormat="1" ht="15.75">
      <c r="A2133" s="55" t="s">
        <v>387</v>
      </c>
      <c r="B2133" s="62">
        <f>B1937/10</f>
        <v>1.2500000000000001E-5</v>
      </c>
      <c r="C2133" s="55" t="s">
        <v>24</v>
      </c>
      <c r="D2133" s="55" t="s">
        <v>6</v>
      </c>
      <c r="F2133" s="55" t="s">
        <v>18</v>
      </c>
      <c r="G2133" t="s">
        <v>436</v>
      </c>
      <c r="H2133" s="55" t="s">
        <v>388</v>
      </c>
      <c r="I2133" s="55">
        <v>5</v>
      </c>
      <c r="J2133" s="68">
        <f>B2133</f>
        <v>1.2500000000000001E-5</v>
      </c>
      <c r="K2133" s="57">
        <f>B1937/15</f>
        <v>8.3333333333333337E-6</v>
      </c>
      <c r="L2133" s="57">
        <f>B1937/5</f>
        <v>2.5000000000000001E-5</v>
      </c>
      <c r="O2133" s="56"/>
    </row>
    <row r="2134" spans="1:15" ht="15.75">
      <c r="A2134" t="s">
        <v>399</v>
      </c>
      <c r="B2134" s="63">
        <f>B1936/10</f>
        <v>2.8333333333333329E-5</v>
      </c>
      <c r="C2134" t="s">
        <v>103</v>
      </c>
      <c r="D2134" t="s">
        <v>7</v>
      </c>
      <c r="F2134" t="s">
        <v>18</v>
      </c>
      <c r="G2134" t="s">
        <v>436</v>
      </c>
      <c r="H2134" t="s">
        <v>398</v>
      </c>
      <c r="I2134">
        <v>5</v>
      </c>
      <c r="J2134" s="68">
        <f>B2134</f>
        <v>2.8333333333333329E-5</v>
      </c>
      <c r="K2134" s="3">
        <f>B1936/15</f>
        <v>1.8888888888888886E-5</v>
      </c>
      <c r="L2134" s="3">
        <f>B1936/5</f>
        <v>5.6666666666666657E-5</v>
      </c>
    </row>
    <row r="2135" spans="1:15" ht="15.75">
      <c r="A2135" s="53" t="s">
        <v>491</v>
      </c>
      <c r="B2135" s="62">
        <f>1/120</f>
        <v>8.3333333333333332E-3</v>
      </c>
      <c r="C2135" s="55" t="s">
        <v>103</v>
      </c>
      <c r="D2135" s="55" t="s">
        <v>7</v>
      </c>
      <c r="F2135" s="55" t="s">
        <v>18</v>
      </c>
      <c r="H2135" s="53" t="s">
        <v>492</v>
      </c>
      <c r="I2135">
        <v>0</v>
      </c>
    </row>
    <row r="2136" spans="1:15" ht="15.75">
      <c r="A2136" t="s">
        <v>495</v>
      </c>
      <c r="B2136">
        <f>(8.1/5)/38500/(0.0753*3.6)</f>
        <v>1.5522326279298387E-4</v>
      </c>
      <c r="C2136" s="53" t="s">
        <v>24</v>
      </c>
      <c r="D2136" t="s">
        <v>125</v>
      </c>
      <c r="F2136" t="s">
        <v>18</v>
      </c>
      <c r="H2136" t="s">
        <v>498</v>
      </c>
      <c r="I2136">
        <v>5</v>
      </c>
      <c r="J2136" s="68">
        <f>B2136</f>
        <v>1.5522326279298387E-4</v>
      </c>
      <c r="K2136">
        <f>(2.4/5)/42000/(0.0753*3.6)</f>
        <v>4.2159404709205494E-5</v>
      </c>
      <c r="L2136">
        <f>(16.5/5)/35000/(0.0753*3.6)</f>
        <v>3.4781508885094539E-4</v>
      </c>
    </row>
    <row r="2138" spans="1:15" ht="15.75">
      <c r="A2138" s="1" t="s">
        <v>0</v>
      </c>
      <c r="B2138" s="1" t="s">
        <v>437</v>
      </c>
      <c r="C2138" s="53"/>
      <c r="D2138" s="53"/>
      <c r="E2138" s="53"/>
      <c r="F2138" s="53"/>
      <c r="G2138" s="53"/>
      <c r="H2138" s="53"/>
    </row>
    <row r="2139" spans="1:15">
      <c r="A2139" s="53" t="s">
        <v>1</v>
      </c>
      <c r="B2139" s="53" t="s">
        <v>104</v>
      </c>
      <c r="C2139" s="53"/>
      <c r="D2139" s="53"/>
      <c r="E2139" s="53"/>
      <c r="F2139" s="53"/>
      <c r="G2139" s="53"/>
      <c r="H2139" s="53"/>
      <c r="I2139" s="53"/>
      <c r="J2139" s="53"/>
      <c r="K2139" s="53"/>
      <c r="L2139" s="53"/>
    </row>
    <row r="2140" spans="1:15">
      <c r="A2140" s="53" t="s">
        <v>2</v>
      </c>
      <c r="B2140" s="53">
        <v>1</v>
      </c>
      <c r="C2140" s="53"/>
      <c r="D2140" s="53"/>
      <c r="E2140" s="53"/>
      <c r="F2140" s="53"/>
      <c r="G2140" s="53"/>
      <c r="H2140" s="53"/>
      <c r="I2140" s="53"/>
      <c r="J2140" s="53"/>
      <c r="K2140" s="53"/>
      <c r="L2140" s="53"/>
    </row>
    <row r="2141" spans="1:15">
      <c r="A2141" s="53" t="s">
        <v>3</v>
      </c>
      <c r="B2141" s="53" t="s">
        <v>284</v>
      </c>
      <c r="C2141" s="53"/>
      <c r="D2141" s="53"/>
      <c r="E2141" s="53"/>
      <c r="F2141" s="53"/>
      <c r="G2141" s="53"/>
      <c r="H2141" s="53"/>
      <c r="I2141" s="53"/>
      <c r="J2141" s="53"/>
    </row>
    <row r="2142" spans="1:15">
      <c r="A2142" s="53" t="s">
        <v>4</v>
      </c>
      <c r="B2142" s="53" t="s">
        <v>5</v>
      </c>
      <c r="C2142" s="53"/>
      <c r="D2142" s="53"/>
      <c r="E2142" s="53"/>
      <c r="F2142" s="53"/>
      <c r="G2142" s="53"/>
      <c r="H2142" s="53"/>
      <c r="I2142" s="53"/>
      <c r="J2142" s="53"/>
      <c r="K2142" s="53"/>
      <c r="L2142" s="53"/>
    </row>
    <row r="2143" spans="1:15">
      <c r="A2143" s="53" t="s">
        <v>6</v>
      </c>
      <c r="B2143" s="53" t="s">
        <v>17</v>
      </c>
      <c r="C2143" s="53"/>
      <c r="D2143" s="53"/>
      <c r="E2143" s="53"/>
      <c r="F2143" s="53"/>
      <c r="G2143" s="53"/>
      <c r="H2143" s="53"/>
      <c r="I2143" s="53"/>
      <c r="J2143" s="53"/>
      <c r="K2143" s="53"/>
      <c r="L2143" s="53"/>
    </row>
    <row r="2144" spans="1:15" ht="15.75">
      <c r="A2144" s="1" t="s">
        <v>10</v>
      </c>
      <c r="B2144" s="53"/>
      <c r="C2144" s="53"/>
      <c r="D2144" s="53"/>
      <c r="E2144" s="53"/>
      <c r="F2144" s="53"/>
      <c r="G2144" s="53"/>
      <c r="H2144" s="53"/>
      <c r="I2144" s="53"/>
      <c r="J2144" s="53"/>
      <c r="K2144" s="53"/>
      <c r="L2144" s="53"/>
    </row>
    <row r="2145" spans="1:12">
      <c r="A2145" s="53" t="s">
        <v>11</v>
      </c>
      <c r="B2145" s="53" t="s">
        <v>12</v>
      </c>
      <c r="C2145" s="53" t="s">
        <v>1</v>
      </c>
      <c r="D2145" s="53" t="s">
        <v>6</v>
      </c>
      <c r="E2145" s="53" t="s">
        <v>13</v>
      </c>
      <c r="F2145" s="53" t="s">
        <v>4</v>
      </c>
      <c r="G2145" s="53" t="s">
        <v>3</v>
      </c>
      <c r="H2145" s="53"/>
      <c r="I2145" s="53"/>
      <c r="J2145" s="53"/>
      <c r="K2145" s="53"/>
    </row>
    <row r="2146" spans="1:12">
      <c r="A2146" s="53" t="str">
        <f>B2138</f>
        <v>petrol, burned in motorcycle</v>
      </c>
      <c r="B2146" s="53">
        <v>1</v>
      </c>
      <c r="C2146" s="53" t="str">
        <f>B2139</f>
        <v>CH</v>
      </c>
      <c r="D2146" s="53" t="str">
        <f>B2143</f>
        <v>megajoule</v>
      </c>
      <c r="E2146" s="53"/>
      <c r="F2146" s="53" t="s">
        <v>15</v>
      </c>
      <c r="G2146" s="53" t="str">
        <f>B2141</f>
        <v>heat</v>
      </c>
      <c r="H2146" s="53"/>
      <c r="I2146" s="53"/>
      <c r="J2146" s="53"/>
      <c r="K2146" s="53"/>
      <c r="L2146" s="53"/>
    </row>
    <row r="2147" spans="1:12">
      <c r="A2147" t="s">
        <v>382</v>
      </c>
      <c r="B2147">
        <f>1/42.6</f>
        <v>2.3474178403755867E-2</v>
      </c>
      <c r="C2147" t="s">
        <v>104</v>
      </c>
      <c r="D2147" t="s">
        <v>7</v>
      </c>
      <c r="F2147" t="s">
        <v>18</v>
      </c>
      <c r="G2147" t="s">
        <v>377</v>
      </c>
    </row>
    <row r="2148" spans="1:12">
      <c r="A2148" t="s">
        <v>143</v>
      </c>
      <c r="B2148" s="3">
        <v>7.2824413145539904E-2</v>
      </c>
      <c r="D2148" t="s">
        <v>7</v>
      </c>
      <c r="E2148" t="s">
        <v>243</v>
      </c>
      <c r="F2148" t="s">
        <v>27</v>
      </c>
      <c r="H2148" s="3"/>
      <c r="I2148" s="3"/>
    </row>
    <row r="2149" spans="1:12">
      <c r="A2149" t="s">
        <v>448</v>
      </c>
      <c r="B2149" s="3">
        <v>8.8450704225352119E-4</v>
      </c>
      <c r="D2149" t="s">
        <v>7</v>
      </c>
      <c r="E2149" t="s">
        <v>243</v>
      </c>
      <c r="F2149" t="s">
        <v>27</v>
      </c>
      <c r="H2149" s="3"/>
    </row>
    <row r="2150" spans="1:12">
      <c r="A2150" t="s">
        <v>221</v>
      </c>
      <c r="B2150" s="3">
        <v>3.7558685446009391E-7</v>
      </c>
      <c r="D2150" t="s">
        <v>7</v>
      </c>
      <c r="E2150" t="s">
        <v>243</v>
      </c>
      <c r="F2150" t="s">
        <v>27</v>
      </c>
      <c r="H2150" s="3"/>
    </row>
    <row r="2151" spans="1:12">
      <c r="A2151" t="s">
        <v>192</v>
      </c>
      <c r="B2151" s="3">
        <v>7.6234099132856199E-7</v>
      </c>
      <c r="D2151" t="s">
        <v>7</v>
      </c>
      <c r="E2151" t="s">
        <v>243</v>
      </c>
      <c r="F2151" t="s">
        <v>27</v>
      </c>
      <c r="H2151" s="3"/>
    </row>
    <row r="2152" spans="1:12">
      <c r="A2152" t="s">
        <v>211</v>
      </c>
      <c r="B2152" s="3">
        <v>1.8797075715851682E-5</v>
      </c>
      <c r="D2152" t="s">
        <v>7</v>
      </c>
      <c r="E2152" t="s">
        <v>243</v>
      </c>
      <c r="F2152" t="s">
        <v>27</v>
      </c>
      <c r="H2152" s="3"/>
    </row>
    <row r="2153" spans="1:12">
      <c r="A2153" t="s">
        <v>197</v>
      </c>
      <c r="B2153" s="3">
        <v>8.3455151885463482E-5</v>
      </c>
      <c r="D2153" t="s">
        <v>7</v>
      </c>
      <c r="E2153" t="s">
        <v>243</v>
      </c>
      <c r="F2153" t="s">
        <v>27</v>
      </c>
      <c r="H2153" s="3"/>
    </row>
    <row r="2154" spans="1:12">
      <c r="A2154" t="s">
        <v>202</v>
      </c>
      <c r="B2154" s="3">
        <v>5.6532558543914833E-7</v>
      </c>
      <c r="D2154" t="s">
        <v>7</v>
      </c>
      <c r="E2154" t="s">
        <v>243</v>
      </c>
      <c r="F2154" t="s">
        <v>27</v>
      </c>
      <c r="H2154" s="3"/>
    </row>
    <row r="2155" spans="1:12">
      <c r="A2155" t="s">
        <v>188</v>
      </c>
      <c r="B2155" s="3">
        <v>5.6532558543914833E-7</v>
      </c>
      <c r="D2155" t="s">
        <v>7</v>
      </c>
      <c r="E2155" t="s">
        <v>243</v>
      </c>
      <c r="F2155" t="s">
        <v>27</v>
      </c>
      <c r="H2155" s="3"/>
    </row>
    <row r="2156" spans="1:12">
      <c r="A2156" t="s">
        <v>214</v>
      </c>
      <c r="B2156" s="3">
        <v>6.1620141012972449E-6</v>
      </c>
      <c r="D2156" t="s">
        <v>7</v>
      </c>
      <c r="E2156" t="s">
        <v>243</v>
      </c>
      <c r="F2156" t="s">
        <v>27</v>
      </c>
      <c r="H2156" s="3"/>
    </row>
    <row r="2157" spans="1:12">
      <c r="A2157" t="s">
        <v>449</v>
      </c>
      <c r="B2157" s="3">
        <v>1.4133139635978708E-6</v>
      </c>
      <c r="D2157" t="s">
        <v>7</v>
      </c>
      <c r="E2157" t="s">
        <v>243</v>
      </c>
      <c r="F2157" t="s">
        <v>27</v>
      </c>
      <c r="H2157" s="3"/>
    </row>
    <row r="2158" spans="1:12">
      <c r="A2158" t="s">
        <v>450</v>
      </c>
      <c r="B2158" s="3">
        <v>6.1476482081469075E-6</v>
      </c>
      <c r="D2158" t="s">
        <v>7</v>
      </c>
      <c r="E2158" t="s">
        <v>243</v>
      </c>
      <c r="F2158" t="s">
        <v>27</v>
      </c>
      <c r="H2158" s="3"/>
    </row>
    <row r="2159" spans="1:12">
      <c r="A2159" t="s">
        <v>364</v>
      </c>
      <c r="B2159" s="3">
        <v>4.3348801467702544E-7</v>
      </c>
      <c r="D2159" t="s">
        <v>7</v>
      </c>
      <c r="E2159" t="s">
        <v>243</v>
      </c>
      <c r="F2159" t="s">
        <v>27</v>
      </c>
      <c r="H2159" s="3"/>
    </row>
    <row r="2160" spans="1:12">
      <c r="A2160" t="s">
        <v>371</v>
      </c>
      <c r="B2160" s="3">
        <v>8.8328278852685434E-8</v>
      </c>
      <c r="D2160" t="s">
        <v>7</v>
      </c>
      <c r="E2160" t="s">
        <v>243</v>
      </c>
      <c r="F2160" t="s">
        <v>27</v>
      </c>
      <c r="H2160" s="3"/>
    </row>
    <row r="2161" spans="1:8">
      <c r="A2161" t="s">
        <v>363</v>
      </c>
      <c r="B2161" s="3">
        <v>7.1206181721241788E-7</v>
      </c>
      <c r="D2161" t="s">
        <v>7</v>
      </c>
      <c r="E2161" t="s">
        <v>243</v>
      </c>
      <c r="F2161" t="s">
        <v>27</v>
      </c>
      <c r="H2161" s="3"/>
    </row>
    <row r="2162" spans="1:8">
      <c r="A2162" t="s">
        <v>370</v>
      </c>
      <c r="B2162" s="3">
        <v>2.9216276851272876E-7</v>
      </c>
      <c r="D2162" t="s">
        <v>7</v>
      </c>
      <c r="E2162" t="s">
        <v>243</v>
      </c>
      <c r="F2162" t="s">
        <v>27</v>
      </c>
      <c r="H2162" s="3"/>
    </row>
    <row r="2163" spans="1:8">
      <c r="A2163" t="s">
        <v>380</v>
      </c>
      <c r="B2163" s="3">
        <v>2.1878235223511317E-7</v>
      </c>
      <c r="D2163" t="s">
        <v>7</v>
      </c>
      <c r="E2163" t="s">
        <v>243</v>
      </c>
      <c r="F2163" t="s">
        <v>27</v>
      </c>
      <c r="H2163" s="3"/>
    </row>
    <row r="2164" spans="1:8">
      <c r="A2164" t="s">
        <v>438</v>
      </c>
      <c r="B2164" s="3">
        <v>1.5491421214163292E-7</v>
      </c>
      <c r="D2164" t="s">
        <v>7</v>
      </c>
      <c r="E2164" t="s">
        <v>243</v>
      </c>
      <c r="F2164" t="s">
        <v>27</v>
      </c>
      <c r="H2164" s="3"/>
    </row>
    <row r="2165" spans="1:8">
      <c r="A2165" t="s">
        <v>367</v>
      </c>
      <c r="B2165" s="3">
        <v>1.0055834823228804E-7</v>
      </c>
      <c r="D2165" t="s">
        <v>7</v>
      </c>
      <c r="E2165" t="s">
        <v>243</v>
      </c>
      <c r="F2165" t="s">
        <v>27</v>
      </c>
      <c r="H2165" s="3"/>
    </row>
    <row r="2166" spans="1:8">
      <c r="A2166" t="s">
        <v>439</v>
      </c>
      <c r="B2166" s="3">
        <v>9.9199451634554413E-7</v>
      </c>
      <c r="D2166" t="s">
        <v>7</v>
      </c>
      <c r="E2166" t="s">
        <v>243</v>
      </c>
      <c r="F2166" t="s">
        <v>27</v>
      </c>
      <c r="H2166" s="3"/>
    </row>
    <row r="2167" spans="1:8">
      <c r="A2167" t="s">
        <v>381</v>
      </c>
      <c r="B2167" s="3">
        <v>5.1909850033424364E-7</v>
      </c>
      <c r="D2167" t="s">
        <v>7</v>
      </c>
      <c r="E2167" t="s">
        <v>243</v>
      </c>
      <c r="F2167" t="s">
        <v>27</v>
      </c>
      <c r="H2167" s="3"/>
    </row>
    <row r="2168" spans="1:8">
      <c r="A2168" t="s">
        <v>378</v>
      </c>
      <c r="B2168" s="3">
        <v>1.4947862575069847E-8</v>
      </c>
      <c r="D2168" t="s">
        <v>7</v>
      </c>
      <c r="E2168" t="s">
        <v>243</v>
      </c>
      <c r="F2168" t="s">
        <v>27</v>
      </c>
      <c r="H2168" s="3"/>
    </row>
    <row r="2169" spans="1:8">
      <c r="A2169" t="s">
        <v>225</v>
      </c>
      <c r="B2169" s="3">
        <v>1.4920684643115172E-6</v>
      </c>
      <c r="D2169" t="s">
        <v>7</v>
      </c>
      <c r="E2169" t="s">
        <v>243</v>
      </c>
      <c r="F2169" t="s">
        <v>27</v>
      </c>
      <c r="H2169" s="3"/>
    </row>
    <row r="2170" spans="1:8">
      <c r="A2170" t="s">
        <v>374</v>
      </c>
      <c r="B2170" s="3">
        <v>7.3788085256935697E-7</v>
      </c>
      <c r="D2170" t="s">
        <v>7</v>
      </c>
      <c r="E2170" t="s">
        <v>243</v>
      </c>
      <c r="F2170" t="s">
        <v>27</v>
      </c>
      <c r="H2170" s="3"/>
    </row>
    <row r="2171" spans="1:8">
      <c r="A2171" t="s">
        <v>375</v>
      </c>
      <c r="B2171" s="3">
        <v>3.0711063108779858E-7</v>
      </c>
      <c r="D2171" t="s">
        <v>7</v>
      </c>
      <c r="E2171" t="s">
        <v>243</v>
      </c>
      <c r="F2171" t="s">
        <v>27</v>
      </c>
      <c r="H2171" s="3"/>
    </row>
    <row r="2172" spans="1:8">
      <c r="A2172" t="s">
        <v>366</v>
      </c>
      <c r="B2172" s="3">
        <v>2.3101242161471579E-7</v>
      </c>
      <c r="D2172" t="s">
        <v>7</v>
      </c>
      <c r="E2172" t="s">
        <v>243</v>
      </c>
      <c r="F2172" t="s">
        <v>27</v>
      </c>
      <c r="H2172" s="3"/>
    </row>
    <row r="2173" spans="1:8">
      <c r="A2173" t="s">
        <v>359</v>
      </c>
      <c r="B2173" s="3">
        <v>1.0191724483002165E-7</v>
      </c>
      <c r="D2173" t="s">
        <v>7</v>
      </c>
      <c r="E2173" t="s">
        <v>243</v>
      </c>
      <c r="F2173" t="s">
        <v>27</v>
      </c>
      <c r="H2173" s="3"/>
    </row>
    <row r="2174" spans="1:8">
      <c r="A2174" t="s">
        <v>362</v>
      </c>
      <c r="B2174" s="3">
        <v>2.9895725150139694E-8</v>
      </c>
      <c r="D2174" t="s">
        <v>7</v>
      </c>
      <c r="E2174" t="s">
        <v>243</v>
      </c>
      <c r="F2174" t="s">
        <v>27</v>
      </c>
      <c r="H2174" s="3"/>
    </row>
    <row r="2175" spans="1:8">
      <c r="A2175" t="s">
        <v>360</v>
      </c>
      <c r="B2175" s="3">
        <v>8.2892692461750966E-8</v>
      </c>
      <c r="D2175" t="s">
        <v>7</v>
      </c>
      <c r="E2175" t="s">
        <v>243</v>
      </c>
      <c r="F2175" t="s">
        <v>27</v>
      </c>
      <c r="H2175" s="3"/>
    </row>
    <row r="2176" spans="1:8">
      <c r="A2176" t="s">
        <v>368</v>
      </c>
      <c r="B2176" s="3">
        <v>0</v>
      </c>
      <c r="D2176" t="s">
        <v>7</v>
      </c>
      <c r="E2176" t="s">
        <v>243</v>
      </c>
      <c r="F2176" t="s">
        <v>27</v>
      </c>
      <c r="H2176" s="3"/>
    </row>
    <row r="2177" spans="1:8">
      <c r="A2177" t="s">
        <v>361</v>
      </c>
      <c r="B2177" s="3">
        <v>2.5819035356938819E-8</v>
      </c>
      <c r="D2177" t="s">
        <v>7</v>
      </c>
      <c r="E2177" t="s">
        <v>243</v>
      </c>
      <c r="F2177" t="s">
        <v>27</v>
      </c>
      <c r="H2177" s="3"/>
    </row>
    <row r="2178" spans="1:8">
      <c r="A2178" t="s">
        <v>373</v>
      </c>
      <c r="B2178" s="3">
        <v>1.3724855637109585E-7</v>
      </c>
      <c r="D2178" t="s">
        <v>7</v>
      </c>
      <c r="E2178" t="s">
        <v>243</v>
      </c>
      <c r="F2178" t="s">
        <v>27</v>
      </c>
      <c r="H2178" s="3"/>
    </row>
    <row r="2179" spans="1:8">
      <c r="A2179" t="s">
        <v>369</v>
      </c>
      <c r="B2179" s="3">
        <v>8.1882352941176476E-10</v>
      </c>
      <c r="D2179" t="s">
        <v>7</v>
      </c>
      <c r="E2179" t="s">
        <v>243</v>
      </c>
      <c r="F2179" t="s">
        <v>27</v>
      </c>
      <c r="H2179" s="3"/>
    </row>
    <row r="2180" spans="1:8">
      <c r="A2180" t="s">
        <v>440</v>
      </c>
      <c r="B2180" s="3">
        <v>7.0588235294117658E-12</v>
      </c>
      <c r="D2180" t="s">
        <v>7</v>
      </c>
      <c r="E2180" t="s">
        <v>243</v>
      </c>
      <c r="F2180" t="s">
        <v>27</v>
      </c>
      <c r="H2180" s="3"/>
    </row>
    <row r="2181" spans="1:8">
      <c r="A2181" t="s">
        <v>441</v>
      </c>
      <c r="B2181" s="3">
        <v>4.7058823529411767E-12</v>
      </c>
      <c r="D2181" t="s">
        <v>7</v>
      </c>
      <c r="E2181" t="s">
        <v>243</v>
      </c>
      <c r="F2181" t="s">
        <v>27</v>
      </c>
      <c r="H2181" s="3"/>
    </row>
    <row r="2182" spans="1:8">
      <c r="A2182" t="s">
        <v>442</v>
      </c>
      <c r="B2182" s="3">
        <v>5.082352941176471E-8</v>
      </c>
      <c r="D2182" t="s">
        <v>7</v>
      </c>
      <c r="E2182" t="s">
        <v>243</v>
      </c>
      <c r="F2182" t="s">
        <v>27</v>
      </c>
      <c r="H2182" s="3"/>
    </row>
    <row r="2183" spans="1:8">
      <c r="A2183" t="s">
        <v>443</v>
      </c>
      <c r="B2183" s="3">
        <v>9.8823529411764698E-10</v>
      </c>
      <c r="D2183" t="s">
        <v>7</v>
      </c>
      <c r="E2183" t="s">
        <v>243</v>
      </c>
      <c r="F2183" t="s">
        <v>27</v>
      </c>
      <c r="H2183" s="3"/>
    </row>
    <row r="2184" spans="1:8">
      <c r="A2184" t="s">
        <v>444</v>
      </c>
      <c r="B2184" s="3">
        <v>3.0588235294117649E-10</v>
      </c>
      <c r="D2184" t="s">
        <v>7</v>
      </c>
      <c r="E2184" t="s">
        <v>243</v>
      </c>
      <c r="F2184" t="s">
        <v>27</v>
      </c>
      <c r="H2184" s="3"/>
    </row>
    <row r="2185" spans="1:8">
      <c r="A2185" t="s">
        <v>445</v>
      </c>
      <c r="B2185" s="3">
        <v>3.7647058823529416E-10</v>
      </c>
      <c r="D2185" t="s">
        <v>7</v>
      </c>
      <c r="E2185" t="s">
        <v>243</v>
      </c>
      <c r="F2185" t="s">
        <v>27</v>
      </c>
      <c r="H2185" s="3"/>
    </row>
    <row r="2186" spans="1:8">
      <c r="A2186" t="s">
        <v>234</v>
      </c>
      <c r="B2186" s="3">
        <v>7.5294117647058818E-13</v>
      </c>
      <c r="D2186" t="s">
        <v>7</v>
      </c>
      <c r="E2186" t="s">
        <v>243</v>
      </c>
      <c r="F2186" t="s">
        <v>27</v>
      </c>
      <c r="H2186" s="3"/>
    </row>
    <row r="2187" spans="1:8">
      <c r="A2187" t="s">
        <v>446</v>
      </c>
      <c r="B2187" s="3">
        <v>2.0470588235294119E-10</v>
      </c>
      <c r="D2187" t="s">
        <v>7</v>
      </c>
      <c r="E2187" t="s">
        <v>243</v>
      </c>
      <c r="F2187" t="s">
        <v>27</v>
      </c>
      <c r="H2187" s="3"/>
    </row>
    <row r="2188" spans="1:8">
      <c r="A2188" t="s">
        <v>447</v>
      </c>
      <c r="B2188" s="3">
        <v>2.5411764705882359E-10</v>
      </c>
      <c r="D2188" t="s">
        <v>7</v>
      </c>
      <c r="E2188" t="s">
        <v>243</v>
      </c>
      <c r="F2188" t="s">
        <v>27</v>
      </c>
      <c r="H2188" s="3"/>
    </row>
    <row r="2190" spans="1:8" ht="15.75">
      <c r="A2190" s="1" t="s">
        <v>0</v>
      </c>
      <c r="B2190" s="1" t="s">
        <v>453</v>
      </c>
    </row>
    <row r="2191" spans="1:8">
      <c r="A2191" t="s">
        <v>1</v>
      </c>
      <c r="B2191" t="s">
        <v>104</v>
      </c>
    </row>
    <row r="2192" spans="1:8">
      <c r="A2192" t="s">
        <v>2</v>
      </c>
      <c r="B2192">
        <v>1</v>
      </c>
    </row>
    <row r="2193" spans="1:11">
      <c r="A2193" t="s">
        <v>3</v>
      </c>
      <c r="B2193" t="s">
        <v>284</v>
      </c>
    </row>
    <row r="2194" spans="1:11">
      <c r="A2194" t="s">
        <v>4</v>
      </c>
      <c r="B2194" t="s">
        <v>5</v>
      </c>
    </row>
    <row r="2195" spans="1:11">
      <c r="A2195" t="s">
        <v>6</v>
      </c>
      <c r="B2195" t="s">
        <v>17</v>
      </c>
    </row>
    <row r="2196" spans="1:11">
      <c r="A2196" t="s">
        <v>8</v>
      </c>
      <c r="B2196" t="s">
        <v>408</v>
      </c>
    </row>
    <row r="2197" spans="1:11">
      <c r="A2197" t="s">
        <v>395</v>
      </c>
      <c r="B2197" t="s">
        <v>451</v>
      </c>
    </row>
    <row r="2198" spans="1:11">
      <c r="A2198" t="s">
        <v>9</v>
      </c>
      <c r="B2198" t="s">
        <v>452</v>
      </c>
    </row>
    <row r="2199" spans="1:11" ht="15.75">
      <c r="A2199" s="1" t="s">
        <v>10</v>
      </c>
      <c r="B2199"/>
    </row>
    <row r="2200" spans="1:11">
      <c r="A2200" s="60" t="s">
        <v>11</v>
      </c>
      <c r="B2200" s="60" t="s">
        <v>12</v>
      </c>
      <c r="C2200" s="60" t="s">
        <v>1</v>
      </c>
      <c r="D2200" s="60" t="s">
        <v>6</v>
      </c>
      <c r="E2200" s="60" t="s">
        <v>13</v>
      </c>
      <c r="F2200" s="60" t="s">
        <v>4</v>
      </c>
      <c r="G2200" s="60" t="s">
        <v>3</v>
      </c>
      <c r="H2200" s="60" t="s">
        <v>479</v>
      </c>
      <c r="I2200" s="60" t="s">
        <v>497</v>
      </c>
      <c r="J2200" s="60" t="s">
        <v>480</v>
      </c>
      <c r="K2200" s="60" t="s">
        <v>481</v>
      </c>
    </row>
    <row r="2201" spans="1:11" ht="15.75">
      <c r="A2201" s="64" t="s">
        <v>453</v>
      </c>
      <c r="B2201">
        <v>1</v>
      </c>
      <c r="C2201" t="s">
        <v>104</v>
      </c>
      <c r="D2201" t="s">
        <v>17</v>
      </c>
      <c r="E2201" t="s">
        <v>16</v>
      </c>
      <c r="F2201" t="s">
        <v>15</v>
      </c>
      <c r="G2201" t="s">
        <v>284</v>
      </c>
    </row>
    <row r="2202" spans="1:11">
      <c r="A2202" t="s">
        <v>414</v>
      </c>
      <c r="B2202">
        <v>1.1278940455009136E-4</v>
      </c>
      <c r="C2202" t="s">
        <v>103</v>
      </c>
      <c r="D2202" t="s">
        <v>7</v>
      </c>
      <c r="E2202" t="s">
        <v>16</v>
      </c>
      <c r="F2202" t="s">
        <v>18</v>
      </c>
      <c r="G2202" t="s">
        <v>414</v>
      </c>
      <c r="H2202">
        <v>5</v>
      </c>
      <c r="I2202">
        <f>B2202</f>
        <v>1.1278940455009136E-4</v>
      </c>
      <c r="J2202">
        <f>(1000000/1250000)*B2202</f>
        <v>9.0231523640073099E-5</v>
      </c>
      <c r="K2202">
        <f>(1000000/750000)*B2202</f>
        <v>1.5038587273345514E-4</v>
      </c>
    </row>
    <row r="2203" spans="1:11">
      <c r="A2203" t="s">
        <v>412</v>
      </c>
      <c r="B2203">
        <v>3.8539996192328446E-6</v>
      </c>
      <c r="C2203" t="s">
        <v>103</v>
      </c>
      <c r="D2203" t="s">
        <v>7</v>
      </c>
      <c r="E2203" t="s">
        <v>16</v>
      </c>
      <c r="F2203" t="s">
        <v>18</v>
      </c>
      <c r="G2203" t="s">
        <v>413</v>
      </c>
    </row>
    <row r="2204" spans="1:11">
      <c r="A2204" t="s">
        <v>376</v>
      </c>
      <c r="B2204">
        <f>1/43</f>
        <v>2.3255813953488372E-2</v>
      </c>
      <c r="C2204" t="s">
        <v>104</v>
      </c>
      <c r="D2204" t="s">
        <v>7</v>
      </c>
      <c r="F2204" t="s">
        <v>18</v>
      </c>
      <c r="G2204" t="s">
        <v>356</v>
      </c>
    </row>
    <row r="2205" spans="1:11">
      <c r="A2205" t="s">
        <v>364</v>
      </c>
      <c r="B2205">
        <v>1.1906151495612746E-9</v>
      </c>
      <c r="D2205" t="s">
        <v>7</v>
      </c>
      <c r="E2205" t="s">
        <v>243</v>
      </c>
      <c r="F2205" t="s">
        <v>27</v>
      </c>
    </row>
    <row r="2206" spans="1:11">
      <c r="A2206" t="s">
        <v>454</v>
      </c>
      <c r="B2206">
        <v>8.8352086295850824E-8</v>
      </c>
      <c r="D2206" t="s">
        <v>7</v>
      </c>
      <c r="E2206" t="s">
        <v>135</v>
      </c>
      <c r="F2206" t="s">
        <v>27</v>
      </c>
    </row>
    <row r="2207" spans="1:11">
      <c r="A2207" t="s">
        <v>374</v>
      </c>
      <c r="B2207">
        <v>3.8893428219001639E-8</v>
      </c>
      <c r="D2207" t="s">
        <v>7</v>
      </c>
      <c r="E2207" t="s">
        <v>243</v>
      </c>
      <c r="F2207" t="s">
        <v>27</v>
      </c>
    </row>
    <row r="2208" spans="1:11">
      <c r="A2208" t="s">
        <v>362</v>
      </c>
      <c r="B2208">
        <v>5.4371425163298209E-8</v>
      </c>
      <c r="D2208" t="s">
        <v>7</v>
      </c>
      <c r="E2208" t="s">
        <v>243</v>
      </c>
      <c r="F2208" t="s">
        <v>27</v>
      </c>
    </row>
    <row r="2209" spans="1:6">
      <c r="A2209" t="s">
        <v>188</v>
      </c>
      <c r="B2209">
        <v>1.240062968043404E-6</v>
      </c>
      <c r="D2209" t="s">
        <v>7</v>
      </c>
      <c r="E2209" t="s">
        <v>243</v>
      </c>
      <c r="F2209" t="s">
        <v>27</v>
      </c>
    </row>
    <row r="2210" spans="1:6">
      <c r="A2210" t="s">
        <v>361</v>
      </c>
      <c r="B2210">
        <v>7.024629382411521E-8</v>
      </c>
      <c r="D2210" t="s">
        <v>7</v>
      </c>
      <c r="E2210" t="s">
        <v>243</v>
      </c>
      <c r="F2210" t="s">
        <v>27</v>
      </c>
    </row>
    <row r="2211" spans="1:6">
      <c r="A2211" t="s">
        <v>221</v>
      </c>
      <c r="B2211">
        <v>4.6511627906976743E-7</v>
      </c>
      <c r="D2211" t="s">
        <v>7</v>
      </c>
      <c r="E2211" t="s">
        <v>135</v>
      </c>
      <c r="F2211" t="s">
        <v>27</v>
      </c>
    </row>
    <row r="2212" spans="1:6">
      <c r="A2212" t="s">
        <v>211</v>
      </c>
      <c r="B2212">
        <v>7.9664689206792323E-8</v>
      </c>
      <c r="D2212" t="s">
        <v>7</v>
      </c>
      <c r="E2212" t="s">
        <v>243</v>
      </c>
      <c r="F2212" t="s">
        <v>27</v>
      </c>
    </row>
    <row r="2213" spans="1:6">
      <c r="A2213" t="s">
        <v>373</v>
      </c>
      <c r="B2213">
        <v>2.2224816125143791E-8</v>
      </c>
      <c r="D2213" t="s">
        <v>7</v>
      </c>
      <c r="E2213" t="s">
        <v>243</v>
      </c>
      <c r="F2213" t="s">
        <v>27</v>
      </c>
    </row>
    <row r="2214" spans="1:6">
      <c r="A2214" t="s">
        <v>202</v>
      </c>
      <c r="B2214">
        <v>3.9687171652042503E-6</v>
      </c>
      <c r="D2214" t="s">
        <v>7</v>
      </c>
      <c r="E2214" t="s">
        <v>243</v>
      </c>
      <c r="F2214" t="s">
        <v>27</v>
      </c>
    </row>
    <row r="2215" spans="1:6">
      <c r="A2215" t="s">
        <v>450</v>
      </c>
      <c r="B2215">
        <v>2.6338739709305827E-6</v>
      </c>
      <c r="D2215" t="s">
        <v>7</v>
      </c>
      <c r="E2215" t="s">
        <v>243</v>
      </c>
      <c r="F2215" t="s">
        <v>27</v>
      </c>
    </row>
    <row r="2216" spans="1:6">
      <c r="A2216" t="s">
        <v>366</v>
      </c>
      <c r="B2216">
        <v>3.3337224187715699E-7</v>
      </c>
      <c r="D2216" t="s">
        <v>7</v>
      </c>
      <c r="E2216" t="s">
        <v>243</v>
      </c>
      <c r="F2216" t="s">
        <v>27</v>
      </c>
    </row>
    <row r="2217" spans="1:6">
      <c r="A2217" t="s">
        <v>446</v>
      </c>
      <c r="B2217">
        <v>1.229967209887436E-10</v>
      </c>
      <c r="D2217" t="s">
        <v>7</v>
      </c>
      <c r="E2217" t="s">
        <v>243</v>
      </c>
      <c r="F2217" t="s">
        <v>27</v>
      </c>
    </row>
    <row r="2218" spans="1:6">
      <c r="A2218" t="s">
        <v>444</v>
      </c>
      <c r="B2218">
        <v>2.0499453498123931E-10</v>
      </c>
      <c r="D2218" t="s">
        <v>7</v>
      </c>
      <c r="E2218" t="s">
        <v>243</v>
      </c>
      <c r="F2218" t="s">
        <v>27</v>
      </c>
    </row>
    <row r="2219" spans="1:6">
      <c r="A2219" t="s">
        <v>449</v>
      </c>
      <c r="B2219">
        <v>1.9486966093412831E-6</v>
      </c>
      <c r="D2219" t="s">
        <v>7</v>
      </c>
      <c r="E2219" t="s">
        <v>243</v>
      </c>
      <c r="F2219" t="s">
        <v>27</v>
      </c>
    </row>
    <row r="2220" spans="1:6">
      <c r="A2220" t="s">
        <v>143</v>
      </c>
      <c r="B2220">
        <v>7.3255813953488347E-2</v>
      </c>
      <c r="D2220" t="s">
        <v>7</v>
      </c>
      <c r="E2220" t="s">
        <v>135</v>
      </c>
      <c r="F2220" t="s">
        <v>27</v>
      </c>
    </row>
    <row r="2221" spans="1:6">
      <c r="A2221" t="s">
        <v>440</v>
      </c>
      <c r="B2221">
        <v>2.3299378853965246E-12</v>
      </c>
      <c r="D2221" t="s">
        <v>7</v>
      </c>
      <c r="E2221" t="s">
        <v>243</v>
      </c>
      <c r="F2221" t="s">
        <v>27</v>
      </c>
    </row>
    <row r="2222" spans="1:6">
      <c r="A2222" t="s">
        <v>214</v>
      </c>
      <c r="B2222">
        <v>2.0473256420043789E-4</v>
      </c>
      <c r="D2222" t="s">
        <v>7</v>
      </c>
      <c r="E2222" t="s">
        <v>243</v>
      </c>
      <c r="F2222" t="s">
        <v>27</v>
      </c>
    </row>
    <row r="2223" spans="1:6">
      <c r="A2223" t="s">
        <v>447</v>
      </c>
      <c r="B2223">
        <v>2.0199461495712361E-10</v>
      </c>
      <c r="D2223" t="s">
        <v>7</v>
      </c>
      <c r="E2223" t="s">
        <v>243</v>
      </c>
      <c r="F2223" t="s">
        <v>27</v>
      </c>
    </row>
    <row r="2224" spans="1:6">
      <c r="A2224" t="s">
        <v>375</v>
      </c>
      <c r="B2224">
        <v>1.5874868660816998E-8</v>
      </c>
      <c r="D2224" t="s">
        <v>7</v>
      </c>
      <c r="E2224" t="s">
        <v>243</v>
      </c>
      <c r="F2224" t="s">
        <v>27</v>
      </c>
    </row>
    <row r="2225" spans="1:6">
      <c r="A2225" t="s">
        <v>234</v>
      </c>
      <c r="B2225">
        <v>1.3999626779206586E-12</v>
      </c>
      <c r="D2225" t="s">
        <v>7</v>
      </c>
      <c r="E2225" t="s">
        <v>243</v>
      </c>
      <c r="F2225" t="s">
        <v>27</v>
      </c>
    </row>
    <row r="2226" spans="1:6">
      <c r="A2226" t="s">
        <v>455</v>
      </c>
      <c r="B2226">
        <v>3.3193620217056908E-6</v>
      </c>
      <c r="D2226" t="s">
        <v>7</v>
      </c>
      <c r="E2226" t="s">
        <v>243</v>
      </c>
      <c r="F2226" t="s">
        <v>27</v>
      </c>
    </row>
    <row r="2227" spans="1:6">
      <c r="A2227" t="s">
        <v>370</v>
      </c>
      <c r="B2227">
        <v>2.3812302991225493E-9</v>
      </c>
      <c r="D2227" t="s">
        <v>7</v>
      </c>
      <c r="E2227" t="s">
        <v>243</v>
      </c>
      <c r="F2227" t="s">
        <v>27</v>
      </c>
    </row>
    <row r="2228" spans="1:6">
      <c r="A2228" t="s">
        <v>441</v>
      </c>
      <c r="B2228">
        <v>2.3299378853965246E-12</v>
      </c>
      <c r="D2228" t="s">
        <v>7</v>
      </c>
      <c r="E2228" t="s">
        <v>243</v>
      </c>
      <c r="F2228" t="s">
        <v>27</v>
      </c>
    </row>
    <row r="2229" spans="1:6">
      <c r="A2229" t="s">
        <v>225</v>
      </c>
      <c r="B2229">
        <v>3.968717165204249E-10</v>
      </c>
      <c r="D2229" t="s">
        <v>7</v>
      </c>
      <c r="E2229" t="s">
        <v>243</v>
      </c>
      <c r="F2229" t="s">
        <v>27</v>
      </c>
    </row>
    <row r="2230" spans="1:6">
      <c r="A2230" t="s">
        <v>367</v>
      </c>
      <c r="B2230">
        <v>1.1906151495612748E-8</v>
      </c>
      <c r="D2230" t="s">
        <v>7</v>
      </c>
      <c r="E2230" t="s">
        <v>243</v>
      </c>
      <c r="F2230" t="s">
        <v>27</v>
      </c>
    </row>
    <row r="2231" spans="1:6">
      <c r="A2231" t="s">
        <v>363</v>
      </c>
      <c r="B2231">
        <v>5.9530757478063763E-9</v>
      </c>
      <c r="D2231" t="s">
        <v>7</v>
      </c>
      <c r="E2231" t="s">
        <v>243</v>
      </c>
      <c r="F2231" t="s">
        <v>27</v>
      </c>
    </row>
    <row r="2232" spans="1:6">
      <c r="A2232" t="s">
        <v>197</v>
      </c>
      <c r="B2232">
        <v>2.879508180308284E-5</v>
      </c>
      <c r="D2232" t="s">
        <v>7</v>
      </c>
      <c r="E2232" t="s">
        <v>243</v>
      </c>
      <c r="F2232" t="s">
        <v>27</v>
      </c>
    </row>
    <row r="2233" spans="1:6">
      <c r="A2233" t="s">
        <v>442</v>
      </c>
      <c r="B2233">
        <v>4.0498920325561916E-8</v>
      </c>
      <c r="D2233" t="s">
        <v>7</v>
      </c>
      <c r="E2233" t="s">
        <v>243</v>
      </c>
      <c r="F2233" t="s">
        <v>27</v>
      </c>
    </row>
    <row r="2234" spans="1:6">
      <c r="A2234" t="s">
        <v>192</v>
      </c>
      <c r="B2234">
        <v>5.543334554775583E-8</v>
      </c>
      <c r="D2234" t="s">
        <v>7</v>
      </c>
      <c r="E2234" t="s">
        <v>243</v>
      </c>
      <c r="F2234" t="s">
        <v>27</v>
      </c>
    </row>
    <row r="2235" spans="1:6">
      <c r="A2235" t="s">
        <v>371</v>
      </c>
      <c r="B2235">
        <v>3.9687171652042487E-9</v>
      </c>
      <c r="D2235" t="s">
        <v>7</v>
      </c>
      <c r="E2235" t="s">
        <v>243</v>
      </c>
      <c r="F2235" t="s">
        <v>27</v>
      </c>
    </row>
    <row r="2236" spans="1:6">
      <c r="A2236" t="s">
        <v>445</v>
      </c>
      <c r="B2236">
        <v>6.9798139227758525E-10</v>
      </c>
      <c r="D2236" t="s">
        <v>7</v>
      </c>
      <c r="E2236" t="s">
        <v>243</v>
      </c>
      <c r="F2236" t="s">
        <v>27</v>
      </c>
    </row>
    <row r="2237" spans="1:6">
      <c r="A2237" t="s">
        <v>369</v>
      </c>
      <c r="B2237">
        <v>1.8199514812968563E-9</v>
      </c>
      <c r="D2237" t="s">
        <v>7</v>
      </c>
      <c r="E2237" t="s">
        <v>243</v>
      </c>
      <c r="F2237" t="s">
        <v>27</v>
      </c>
    </row>
    <row r="2238" spans="1:6">
      <c r="A2238" t="s">
        <v>443</v>
      </c>
      <c r="B2238">
        <v>4.9298685729634615E-10</v>
      </c>
      <c r="D2238" t="s">
        <v>7</v>
      </c>
      <c r="E2238" t="s">
        <v>243</v>
      </c>
      <c r="F2238" t="s">
        <v>27</v>
      </c>
    </row>
    <row r="2239" spans="1:6">
      <c r="A2239" t="s">
        <v>359</v>
      </c>
      <c r="B2239">
        <v>1.8137037444983413E-7</v>
      </c>
      <c r="D2239" t="s">
        <v>7</v>
      </c>
      <c r="E2239" t="s">
        <v>243</v>
      </c>
      <c r="F2239" t="s">
        <v>27</v>
      </c>
    </row>
    <row r="2242" spans="1:11" ht="15.75">
      <c r="A2242" s="1" t="s">
        <v>0</v>
      </c>
      <c r="B2242" s="1" t="s">
        <v>456</v>
      </c>
    </row>
    <row r="2243" spans="1:11">
      <c r="A2243" t="s">
        <v>1</v>
      </c>
      <c r="B2243" t="s">
        <v>104</v>
      </c>
    </row>
    <row r="2244" spans="1:11">
      <c r="A2244" t="s">
        <v>2</v>
      </c>
      <c r="B2244">
        <v>1</v>
      </c>
    </row>
    <row r="2245" spans="1:11">
      <c r="A2245" t="s">
        <v>3</v>
      </c>
      <c r="B2245" t="s">
        <v>286</v>
      </c>
    </row>
    <row r="2246" spans="1:11">
      <c r="A2246" t="s">
        <v>4</v>
      </c>
      <c r="B2246" t="s">
        <v>5</v>
      </c>
    </row>
    <row r="2247" spans="1:11">
      <c r="A2247" t="s">
        <v>6</v>
      </c>
      <c r="B2247" t="s">
        <v>17</v>
      </c>
    </row>
    <row r="2248" spans="1:11">
      <c r="A2248" t="s">
        <v>8</v>
      </c>
      <c r="B2248" t="s">
        <v>408</v>
      </c>
    </row>
    <row r="2249" spans="1:11">
      <c r="A2249" t="s">
        <v>395</v>
      </c>
      <c r="B2249" t="s">
        <v>451</v>
      </c>
    </row>
    <row r="2250" spans="1:11">
      <c r="A2250" t="s">
        <v>9</v>
      </c>
      <c r="B2250" t="s">
        <v>511</v>
      </c>
    </row>
    <row r="2251" spans="1:11" ht="15.75">
      <c r="A2251" s="1" t="s">
        <v>10</v>
      </c>
      <c r="B2251"/>
    </row>
    <row r="2252" spans="1:11">
      <c r="A2252" t="s">
        <v>11</v>
      </c>
      <c r="B2252" t="s">
        <v>12</v>
      </c>
      <c r="C2252" t="s">
        <v>1</v>
      </c>
      <c r="D2252" t="s">
        <v>6</v>
      </c>
      <c r="E2252" t="s">
        <v>13</v>
      </c>
      <c r="F2252" t="s">
        <v>4</v>
      </c>
      <c r="G2252" t="s">
        <v>3</v>
      </c>
      <c r="H2252" t="s">
        <v>479</v>
      </c>
      <c r="I2252" t="s">
        <v>497</v>
      </c>
      <c r="J2252" t="s">
        <v>480</v>
      </c>
      <c r="K2252" t="s">
        <v>481</v>
      </c>
    </row>
    <row r="2253" spans="1:11" ht="15.75">
      <c r="A2253" s="64" t="s">
        <v>456</v>
      </c>
      <c r="B2253">
        <v>1</v>
      </c>
      <c r="C2253" t="s">
        <v>104</v>
      </c>
      <c r="D2253" t="s">
        <v>17</v>
      </c>
      <c r="E2253" t="s">
        <v>16</v>
      </c>
      <c r="F2253" t="s">
        <v>15</v>
      </c>
      <c r="G2253" t="s">
        <v>286</v>
      </c>
      <c r="H2253">
        <v>0</v>
      </c>
    </row>
    <row r="2254" spans="1:11">
      <c r="A2254" t="s">
        <v>393</v>
      </c>
      <c r="B2254">
        <v>1.0342946239951181E-6</v>
      </c>
      <c r="C2254" t="s">
        <v>24</v>
      </c>
      <c r="D2254" t="s">
        <v>7</v>
      </c>
      <c r="E2254" t="s">
        <v>16</v>
      </c>
      <c r="F2254" t="s">
        <v>18</v>
      </c>
      <c r="G2254" t="s">
        <v>394</v>
      </c>
      <c r="H2254">
        <v>5</v>
      </c>
      <c r="I2254">
        <f>B2254</f>
        <v>1.0342946239951181E-6</v>
      </c>
      <c r="J2254">
        <f>(1000000/1250000)*B2254</f>
        <v>8.274356991960945E-7</v>
      </c>
      <c r="K2254">
        <f>(1000000/750000)*B2254</f>
        <v>1.3790594986601575E-6</v>
      </c>
    </row>
    <row r="2255" spans="1:11">
      <c r="A2255" t="s">
        <v>389</v>
      </c>
      <c r="B2255">
        <v>6.4643413999694885E-6</v>
      </c>
      <c r="C2255" t="s">
        <v>24</v>
      </c>
      <c r="D2255" t="s">
        <v>7</v>
      </c>
      <c r="E2255" t="s">
        <v>16</v>
      </c>
      <c r="F2255" t="s">
        <v>18</v>
      </c>
      <c r="G2255" t="s">
        <v>390</v>
      </c>
      <c r="H2255">
        <v>5</v>
      </c>
      <c r="I2255">
        <f>B2255</f>
        <v>6.4643413999694885E-6</v>
      </c>
      <c r="J2255">
        <f>(1000000/1250000)*B2255</f>
        <v>5.1714731199755913E-6</v>
      </c>
      <c r="K2255">
        <f>(1000000/750000)*B2255</f>
        <v>8.6191218666259841E-6</v>
      </c>
    </row>
    <row r="2256" spans="1:11">
      <c r="A2256" t="s">
        <v>391</v>
      </c>
      <c r="B2256">
        <v>7.7322091721143572E-6</v>
      </c>
      <c r="C2256" t="s">
        <v>24</v>
      </c>
      <c r="D2256" t="s">
        <v>7</v>
      </c>
      <c r="E2256" t="s">
        <v>16</v>
      </c>
      <c r="F2256" t="s">
        <v>18</v>
      </c>
      <c r="G2256" t="s">
        <v>392</v>
      </c>
      <c r="H2256">
        <v>5</v>
      </c>
      <c r="I2256">
        <f>B2256</f>
        <v>7.7322091721143572E-6</v>
      </c>
      <c r="J2256">
        <f>(1000000/1250000)*B2256</f>
        <v>6.1857673376914861E-6</v>
      </c>
      <c r="K2256">
        <f>(1000000/750000)*B2256</f>
        <v>1.030961222948581E-5</v>
      </c>
    </row>
    <row r="2257" spans="1:11">
      <c r="A2257" t="s">
        <v>385</v>
      </c>
      <c r="B2257">
        <v>1.5514419359926774E-4</v>
      </c>
      <c r="C2257" t="s">
        <v>24</v>
      </c>
      <c r="D2257" t="s">
        <v>7</v>
      </c>
      <c r="E2257" t="s">
        <v>16</v>
      </c>
      <c r="F2257" t="s">
        <v>18</v>
      </c>
      <c r="G2257" t="s">
        <v>386</v>
      </c>
      <c r="H2257">
        <v>5</v>
      </c>
      <c r="I2257">
        <f>B2257</f>
        <v>1.5514419359926774E-4</v>
      </c>
      <c r="J2257">
        <f>(1000000/1250000)*B2257</f>
        <v>1.2411535487941419E-4</v>
      </c>
      <c r="K2257">
        <f>(1000000/750000)*B2257</f>
        <v>2.0685892479902363E-4</v>
      </c>
    </row>
    <row r="2258" spans="1:11">
      <c r="A2258" t="s">
        <v>495</v>
      </c>
      <c r="B2258">
        <f>283/710000/5.45</f>
        <v>7.3136064090967829E-5</v>
      </c>
      <c r="C2258" s="53" t="s">
        <v>24</v>
      </c>
      <c r="D2258" t="s">
        <v>125</v>
      </c>
      <c r="F2258" t="s">
        <v>18</v>
      </c>
      <c r="G2258" t="s">
        <v>498</v>
      </c>
      <c r="H2258">
        <v>5</v>
      </c>
      <c r="I2258">
        <f>B2258</f>
        <v>7.3136064090967829E-5</v>
      </c>
      <c r="J2258">
        <f>160/710000/5.45</f>
        <v>4.1349011500193823E-5</v>
      </c>
      <c r="K2258">
        <f>450/710000/5.45</f>
        <v>1.1629409484429512E-4</v>
      </c>
    </row>
    <row r="2259" spans="1:11">
      <c r="B2259"/>
    </row>
    <row r="2260" spans="1:11" ht="15.75">
      <c r="A2260" s="1" t="s">
        <v>0</v>
      </c>
      <c r="B2260" s="1" t="s">
        <v>457</v>
      </c>
    </row>
    <row r="2261" spans="1:11">
      <c r="A2261" t="s">
        <v>1</v>
      </c>
      <c r="B2261" t="s">
        <v>104</v>
      </c>
    </row>
    <row r="2262" spans="1:11">
      <c r="A2262" t="s">
        <v>2</v>
      </c>
      <c r="B2262">
        <v>1</v>
      </c>
    </row>
    <row r="2263" spans="1:11">
      <c r="A2263" t="s">
        <v>3</v>
      </c>
      <c r="B2263" t="s">
        <v>284</v>
      </c>
    </row>
    <row r="2264" spans="1:11">
      <c r="A2264" t="s">
        <v>4</v>
      </c>
      <c r="B2264" t="s">
        <v>5</v>
      </c>
    </row>
    <row r="2265" spans="1:11">
      <c r="A2265" t="s">
        <v>6</v>
      </c>
      <c r="B2265" t="s">
        <v>17</v>
      </c>
    </row>
    <row r="2266" spans="1:11">
      <c r="A2266" t="s">
        <v>8</v>
      </c>
      <c r="B2266" t="s">
        <v>408</v>
      </c>
    </row>
    <row r="2267" spans="1:11">
      <c r="A2267" t="s">
        <v>395</v>
      </c>
      <c r="B2267" t="s">
        <v>451</v>
      </c>
    </row>
    <row r="2268" spans="1:11">
      <c r="A2268" t="s">
        <v>9</v>
      </c>
      <c r="B2268" t="s">
        <v>510</v>
      </c>
    </row>
    <row r="2269" spans="1:11" ht="15.75">
      <c r="A2269" s="1" t="s">
        <v>10</v>
      </c>
      <c r="B2269"/>
    </row>
    <row r="2270" spans="1:11">
      <c r="A2270" t="s">
        <v>11</v>
      </c>
      <c r="B2270" t="s">
        <v>12</v>
      </c>
      <c r="C2270" t="s">
        <v>1</v>
      </c>
      <c r="D2270" t="s">
        <v>6</v>
      </c>
      <c r="E2270" t="s">
        <v>13</v>
      </c>
      <c r="F2270" t="s">
        <v>4</v>
      </c>
      <c r="G2270" t="s">
        <v>3</v>
      </c>
      <c r="H2270" t="s">
        <v>479</v>
      </c>
      <c r="I2270" t="s">
        <v>497</v>
      </c>
      <c r="J2270" t="s">
        <v>480</v>
      </c>
      <c r="K2270" t="s">
        <v>481</v>
      </c>
    </row>
    <row r="2271" spans="1:11" ht="15.75">
      <c r="A2271" s="64" t="s">
        <v>457</v>
      </c>
      <c r="B2271">
        <v>1</v>
      </c>
      <c r="C2271" t="s">
        <v>104</v>
      </c>
      <c r="D2271" t="s">
        <v>17</v>
      </c>
      <c r="E2271" t="s">
        <v>16</v>
      </c>
      <c r="F2271" t="s">
        <v>15</v>
      </c>
      <c r="G2271" t="s">
        <v>284</v>
      </c>
      <c r="H2271">
        <v>0</v>
      </c>
    </row>
    <row r="2272" spans="1:11" ht="15.75">
      <c r="A2272" s="53" t="s">
        <v>491</v>
      </c>
      <c r="B2272" s="62">
        <f>1/120</f>
        <v>8.3333333333333332E-3</v>
      </c>
      <c r="C2272" s="55" t="s">
        <v>103</v>
      </c>
      <c r="D2272" s="55" t="s">
        <v>7</v>
      </c>
      <c r="F2272" s="55" t="s">
        <v>18</v>
      </c>
      <c r="G2272" s="53" t="s">
        <v>492</v>
      </c>
      <c r="H2272">
        <v>0</v>
      </c>
    </row>
    <row r="2273" spans="1:11">
      <c r="A2273" t="s">
        <v>393</v>
      </c>
      <c r="B2273">
        <v>5.1450254035629309E-7</v>
      </c>
      <c r="C2273" t="s">
        <v>24</v>
      </c>
      <c r="D2273" t="s">
        <v>7</v>
      </c>
      <c r="F2273" t="s">
        <v>18</v>
      </c>
      <c r="G2273" t="s">
        <v>394</v>
      </c>
      <c r="H2273">
        <v>5</v>
      </c>
      <c r="I2273">
        <f>B2273</f>
        <v>5.1450254035629309E-7</v>
      </c>
      <c r="J2273">
        <f>(1000000/1250000)*B2273</f>
        <v>4.1160203228503449E-7</v>
      </c>
      <c r="K2273">
        <f>(1000000/750000)*B2273</f>
        <v>6.8600338714172405E-7</v>
      </c>
    </row>
    <row r="2274" spans="1:11">
      <c r="A2274" t="s">
        <v>389</v>
      </c>
      <c r="B2274">
        <v>3.2156408772268317E-6</v>
      </c>
      <c r="C2274" t="s">
        <v>24</v>
      </c>
      <c r="D2274" t="s">
        <v>7</v>
      </c>
      <c r="F2274" t="s">
        <v>18</v>
      </c>
      <c r="G2274" t="s">
        <v>390</v>
      </c>
      <c r="H2274">
        <v>5</v>
      </c>
      <c r="I2274">
        <f>B2274</f>
        <v>3.2156408772268317E-6</v>
      </c>
      <c r="J2274">
        <f>(1000000/1250000)*B2274</f>
        <v>2.5725127017814656E-6</v>
      </c>
      <c r="K2274">
        <f>(1000000/750000)*B2274</f>
        <v>4.2875211696357754E-6</v>
      </c>
    </row>
    <row r="2275" spans="1:11">
      <c r="A2275" t="s">
        <v>391</v>
      </c>
      <c r="B2275">
        <v>2.4884703939932923E-6</v>
      </c>
      <c r="C2275" t="s">
        <v>24</v>
      </c>
      <c r="D2275" t="s">
        <v>7</v>
      </c>
      <c r="F2275" t="s">
        <v>18</v>
      </c>
      <c r="G2275" t="s">
        <v>392</v>
      </c>
      <c r="H2275">
        <v>5</v>
      </c>
      <c r="I2275">
        <f>B2275</f>
        <v>2.4884703939932923E-6</v>
      </c>
      <c r="J2275">
        <f>(1000000/1250000)*B2275</f>
        <v>1.990776315194634E-6</v>
      </c>
      <c r="K2275">
        <f>(1000000/750000)*B2275</f>
        <v>3.3179605253243896E-6</v>
      </c>
    </row>
    <row r="2276" spans="1:11">
      <c r="A2276" t="s">
        <v>399</v>
      </c>
      <c r="B2276">
        <f>802/1000000/10.95</f>
        <v>7.3242009132420095E-5</v>
      </c>
      <c r="C2276" t="s">
        <v>103</v>
      </c>
      <c r="D2276" t="s">
        <v>7</v>
      </c>
      <c r="F2276" t="s">
        <v>18</v>
      </c>
      <c r="G2276" t="s">
        <v>398</v>
      </c>
      <c r="H2276">
        <v>5</v>
      </c>
      <c r="I2276">
        <f>B2276</f>
        <v>7.3242009132420095E-5</v>
      </c>
      <c r="J2276">
        <f>362/1000000/10.95</f>
        <v>3.3059360730593613E-5</v>
      </c>
      <c r="K2276">
        <f>1268/1000000/10.95</f>
        <v>1.1579908675799088E-4</v>
      </c>
    </row>
    <row r="2277" spans="1:11">
      <c r="A2277" t="s">
        <v>385</v>
      </c>
      <c r="B2277">
        <v>2.9788164985196983E-5</v>
      </c>
      <c r="C2277" t="s">
        <v>24</v>
      </c>
      <c r="D2277" t="s">
        <v>7</v>
      </c>
      <c r="F2277" t="s">
        <v>18</v>
      </c>
      <c r="G2277" t="s">
        <v>386</v>
      </c>
      <c r="H2277">
        <v>5</v>
      </c>
      <c r="I2277">
        <f>B2277</f>
        <v>2.9788164985196983E-5</v>
      </c>
      <c r="J2277">
        <f>(1000000/1250000)*B2277</f>
        <v>2.3830531988157587E-5</v>
      </c>
      <c r="K2277">
        <f>(1000000/750000)*B2277</f>
        <v>3.9717553313595977E-5</v>
      </c>
    </row>
    <row r="2278" spans="1:11">
      <c r="A2278" t="s">
        <v>387</v>
      </c>
      <c r="B2278">
        <f>129/1000000/10.95</f>
        <v>1.178082191780822E-5</v>
      </c>
      <c r="C2278" t="s">
        <v>24</v>
      </c>
      <c r="D2278" t="s">
        <v>6</v>
      </c>
      <c r="F2278" t="s">
        <v>18</v>
      </c>
      <c r="G2278" t="s">
        <v>388</v>
      </c>
      <c r="H2278">
        <v>5</v>
      </c>
      <c r="I2278">
        <f t="shared" ref="I2278:I2279" si="9">B2278</f>
        <v>1.178082191780822E-5</v>
      </c>
      <c r="J2278">
        <f>26/1250000/10.95</f>
        <v>1.899543378995434E-6</v>
      </c>
      <c r="K2278">
        <f>235/750000/10.95</f>
        <v>2.8614916286149163E-5</v>
      </c>
    </row>
    <row r="2279" spans="1:11">
      <c r="A2279" t="s">
        <v>495</v>
      </c>
      <c r="B2279">
        <f>47/1000000/11</f>
        <v>4.2727272727272722E-6</v>
      </c>
      <c r="C2279" s="53" t="s">
        <v>24</v>
      </c>
      <c r="D2279" t="s">
        <v>125</v>
      </c>
      <c r="F2279" t="s">
        <v>18</v>
      </c>
      <c r="G2279" t="s">
        <v>498</v>
      </c>
      <c r="H2279">
        <v>5</v>
      </c>
      <c r="I2279">
        <f t="shared" si="9"/>
        <v>4.2727272727272722E-6</v>
      </c>
      <c r="J2279">
        <f>20.6/1250000/11</f>
        <v>1.4981818181818184E-6</v>
      </c>
      <c r="K2279">
        <f>80.4/750000/11</f>
        <v>9.7454545454545466E-6</v>
      </c>
    </row>
    <row r="2280" spans="1:11">
      <c r="B2280"/>
    </row>
    <row r="2282" spans="1:11" ht="15.75">
      <c r="A2282" s="1" t="s">
        <v>0</v>
      </c>
      <c r="B2282" s="1" t="s">
        <v>458</v>
      </c>
    </row>
    <row r="2283" spans="1:11">
      <c r="A2283" t="s">
        <v>9</v>
      </c>
      <c r="B2283" t="s">
        <v>509</v>
      </c>
    </row>
    <row r="2284" spans="1:11">
      <c r="A2284" t="s">
        <v>395</v>
      </c>
      <c r="B2284" t="s">
        <v>407</v>
      </c>
    </row>
    <row r="2285" spans="1:11">
      <c r="A2285" t="s">
        <v>1</v>
      </c>
      <c r="B2285" t="s">
        <v>104</v>
      </c>
    </row>
    <row r="2286" spans="1:11">
      <c r="A2286" t="s">
        <v>2</v>
      </c>
      <c r="B2286">
        <v>1</v>
      </c>
    </row>
    <row r="2287" spans="1:11">
      <c r="A2287" t="s">
        <v>3</v>
      </c>
      <c r="B2287" t="s">
        <v>284</v>
      </c>
    </row>
    <row r="2288" spans="1:11">
      <c r="A2288" t="s">
        <v>8</v>
      </c>
      <c r="B2288" t="s">
        <v>408</v>
      </c>
    </row>
    <row r="2289" spans="1:11">
      <c r="A2289" t="s">
        <v>4</v>
      </c>
      <c r="B2289" t="s">
        <v>5</v>
      </c>
    </row>
    <row r="2290" spans="1:11">
      <c r="A2290" t="s">
        <v>6</v>
      </c>
      <c r="B2290" t="s">
        <v>17</v>
      </c>
    </row>
    <row r="2291" spans="1:11" ht="15.75">
      <c r="A2291" s="1" t="s">
        <v>10</v>
      </c>
      <c r="B2291"/>
    </row>
    <row r="2292" spans="1:11">
      <c r="A2292" t="s">
        <v>11</v>
      </c>
      <c r="B2292" t="s">
        <v>12</v>
      </c>
      <c r="C2292" t="s">
        <v>1</v>
      </c>
      <c r="D2292" t="s">
        <v>13</v>
      </c>
      <c r="E2292" t="s">
        <v>6</v>
      </c>
      <c r="F2292" t="s">
        <v>4</v>
      </c>
      <c r="G2292" t="s">
        <v>3</v>
      </c>
      <c r="H2292" t="s">
        <v>479</v>
      </c>
      <c r="I2292" t="s">
        <v>497</v>
      </c>
      <c r="J2292" t="s">
        <v>480</v>
      </c>
      <c r="K2292" t="s">
        <v>481</v>
      </c>
    </row>
    <row r="2293" spans="1:11" ht="15.75">
      <c r="A2293" s="64" t="s">
        <v>458</v>
      </c>
      <c r="B2293">
        <v>1</v>
      </c>
      <c r="C2293" t="s">
        <v>104</v>
      </c>
      <c r="E2293" t="s">
        <v>17</v>
      </c>
      <c r="F2293" t="s">
        <v>15</v>
      </c>
      <c r="G2293" t="s">
        <v>284</v>
      </c>
      <c r="H2293">
        <v>0</v>
      </c>
    </row>
    <row r="2294" spans="1:11">
      <c r="A2294" t="s">
        <v>384</v>
      </c>
      <c r="B2294">
        <f>1/36</f>
        <v>2.7777777777777776E-2</v>
      </c>
      <c r="C2294" t="s">
        <v>104</v>
      </c>
      <c r="E2294" t="s">
        <v>37</v>
      </c>
      <c r="F2294" t="s">
        <v>18</v>
      </c>
      <c r="G2294" t="s">
        <v>383</v>
      </c>
      <c r="H2294">
        <v>0</v>
      </c>
    </row>
    <row r="2295" spans="1:11">
      <c r="A2295" t="s">
        <v>414</v>
      </c>
      <c r="B2295">
        <v>1.1510877524470435E-4</v>
      </c>
      <c r="C2295" t="s">
        <v>103</v>
      </c>
      <c r="E2295" t="s">
        <v>7</v>
      </c>
      <c r="F2295" t="s">
        <v>18</v>
      </c>
      <c r="G2295" t="s">
        <v>414</v>
      </c>
      <c r="H2295">
        <v>5</v>
      </c>
      <c r="I2295">
        <f>B2295</f>
        <v>1.1510877524470435E-4</v>
      </c>
      <c r="J2295">
        <f>(1000000/1250000)*B2295</f>
        <v>9.2087020195763493E-5</v>
      </c>
      <c r="K2295">
        <f>(1000000/750000)*B2295</f>
        <v>1.5347836699293913E-4</v>
      </c>
    </row>
    <row r="2296" spans="1:11">
      <c r="A2296" t="s">
        <v>400</v>
      </c>
      <c r="B2296">
        <f>271/1000000/16.7</f>
        <v>1.622754491017964E-5</v>
      </c>
      <c r="C2296" t="s">
        <v>103</v>
      </c>
      <c r="E2296" t="s">
        <v>7</v>
      </c>
      <c r="F2296" t="s">
        <v>18</v>
      </c>
      <c r="G2296" t="s">
        <v>401</v>
      </c>
      <c r="H2296">
        <v>5</v>
      </c>
      <c r="I2296">
        <f>B2296</f>
        <v>1.622754491017964E-5</v>
      </c>
      <c r="J2296">
        <f>77/1250000/16.7</f>
        <v>3.6886227544910185E-6</v>
      </c>
      <c r="K2296">
        <f>387/750000/16.7</f>
        <v>3.0898203592814368E-5</v>
      </c>
    </row>
    <row r="2297" spans="1:11">
      <c r="A2297" t="s">
        <v>364</v>
      </c>
      <c r="B2297">
        <v>8.6651209802368515E-11</v>
      </c>
      <c r="D2297" t="s">
        <v>243</v>
      </c>
      <c r="E2297" t="s">
        <v>7</v>
      </c>
      <c r="F2297" t="s">
        <v>27</v>
      </c>
      <c r="H2297">
        <v>0</v>
      </c>
    </row>
    <row r="2298" spans="1:11">
      <c r="A2298" t="s">
        <v>454</v>
      </c>
      <c r="B2298">
        <v>7.891795688303974E-8</v>
      </c>
      <c r="D2298" t="s">
        <v>135</v>
      </c>
      <c r="E2298" t="s">
        <v>7</v>
      </c>
      <c r="F2298" t="s">
        <v>27</v>
      </c>
      <c r="H2298">
        <v>0</v>
      </c>
    </row>
    <row r="2299" spans="1:11">
      <c r="A2299" t="s">
        <v>374</v>
      </c>
      <c r="B2299">
        <v>2.8306061868773727E-9</v>
      </c>
      <c r="D2299" t="s">
        <v>243</v>
      </c>
      <c r="E2299" t="s">
        <v>7</v>
      </c>
      <c r="F2299" t="s">
        <v>27</v>
      </c>
      <c r="H2299">
        <v>0</v>
      </c>
    </row>
    <row r="2300" spans="1:11">
      <c r="A2300" t="s">
        <v>362</v>
      </c>
      <c r="B2300">
        <v>3.9570719143081625E-9</v>
      </c>
      <c r="D2300" t="s">
        <v>243</v>
      </c>
      <c r="E2300" t="s">
        <v>7</v>
      </c>
      <c r="F2300" t="s">
        <v>27</v>
      </c>
      <c r="H2300">
        <v>0</v>
      </c>
    </row>
    <row r="2301" spans="1:11">
      <c r="A2301" t="s">
        <v>188</v>
      </c>
      <c r="B2301">
        <v>7.9273222551331606E-6</v>
      </c>
      <c r="D2301" t="s">
        <v>243</v>
      </c>
      <c r="E2301" t="s">
        <v>7</v>
      </c>
      <c r="F2301" t="s">
        <v>27</v>
      </c>
      <c r="H2301">
        <v>0</v>
      </c>
    </row>
    <row r="2302" spans="1:11">
      <c r="A2302" t="s">
        <v>361</v>
      </c>
      <c r="B2302">
        <v>5.1124213783397438E-9</v>
      </c>
      <c r="D2302" t="s">
        <v>243</v>
      </c>
      <c r="E2302" t="s">
        <v>7</v>
      </c>
      <c r="F2302" t="s">
        <v>27</v>
      </c>
      <c r="H2302">
        <v>0</v>
      </c>
    </row>
    <row r="2303" spans="1:11">
      <c r="A2303" t="s">
        <v>211</v>
      </c>
      <c r="B2303">
        <v>8.3875030178923751E-5</v>
      </c>
      <c r="D2303" t="s">
        <v>135</v>
      </c>
      <c r="E2303" t="s">
        <v>7</v>
      </c>
      <c r="F2303" t="s">
        <v>27</v>
      </c>
      <c r="H2303">
        <v>0</v>
      </c>
    </row>
    <row r="2304" spans="1:11">
      <c r="A2304" t="s">
        <v>211</v>
      </c>
      <c r="B2304">
        <v>1.0801510989610235E-5</v>
      </c>
      <c r="D2304" t="s">
        <v>243</v>
      </c>
      <c r="E2304" t="s">
        <v>7</v>
      </c>
      <c r="F2304" t="s">
        <v>27</v>
      </c>
      <c r="H2304">
        <v>0</v>
      </c>
    </row>
    <row r="2305" spans="1:8">
      <c r="A2305" t="s">
        <v>373</v>
      </c>
      <c r="B2305">
        <v>1.6174892496442126E-9</v>
      </c>
      <c r="D2305" t="s">
        <v>243</v>
      </c>
      <c r="E2305" t="s">
        <v>7</v>
      </c>
      <c r="F2305" t="s">
        <v>27</v>
      </c>
      <c r="H2305">
        <v>0</v>
      </c>
    </row>
    <row r="2306" spans="1:8">
      <c r="A2306" t="s">
        <v>202</v>
      </c>
      <c r="B2306">
        <v>2.888373660078951E-7</v>
      </c>
      <c r="D2306" t="s">
        <v>243</v>
      </c>
      <c r="E2306" t="s">
        <v>7</v>
      </c>
      <c r="F2306" t="s">
        <v>27</v>
      </c>
      <c r="H2306">
        <v>0</v>
      </c>
    </row>
    <row r="2307" spans="1:8">
      <c r="A2307" t="s">
        <v>450</v>
      </c>
      <c r="B2307">
        <v>7.63619826432997E-7</v>
      </c>
      <c r="D2307" t="s">
        <v>243</v>
      </c>
      <c r="E2307" t="s">
        <v>7</v>
      </c>
      <c r="F2307" t="s">
        <v>27</v>
      </c>
      <c r="H2307">
        <v>0</v>
      </c>
    </row>
    <row r="2308" spans="1:8">
      <c r="A2308" t="s">
        <v>366</v>
      </c>
      <c r="B2308">
        <v>2.4262338744663193E-8</v>
      </c>
      <c r="D2308" t="s">
        <v>243</v>
      </c>
      <c r="E2308" t="s">
        <v>7</v>
      </c>
      <c r="F2308" t="s">
        <v>27</v>
      </c>
      <c r="H2308">
        <v>0</v>
      </c>
    </row>
    <row r="2309" spans="1:8">
      <c r="A2309" t="s">
        <v>449</v>
      </c>
      <c r="B2309">
        <v>3.9657281817228329E-7</v>
      </c>
      <c r="D2309" t="s">
        <v>243</v>
      </c>
      <c r="E2309" t="s">
        <v>7</v>
      </c>
      <c r="F2309" t="s">
        <v>27</v>
      </c>
      <c r="H2309">
        <v>0</v>
      </c>
    </row>
    <row r="2310" spans="1:8">
      <c r="A2310" t="s">
        <v>143</v>
      </c>
      <c r="B2310">
        <v>5.6196267550699446E-2</v>
      </c>
      <c r="D2310" t="s">
        <v>135</v>
      </c>
      <c r="E2310" t="s">
        <v>7</v>
      </c>
      <c r="F2310" t="s">
        <v>27</v>
      </c>
      <c r="H2310">
        <v>0</v>
      </c>
    </row>
    <row r="2311" spans="1:8">
      <c r="A2311" t="s">
        <v>214</v>
      </c>
      <c r="B2311">
        <v>2.9407627408218493E-5</v>
      </c>
      <c r="D2311" t="s">
        <v>243</v>
      </c>
      <c r="E2311" t="s">
        <v>7</v>
      </c>
      <c r="F2311" t="s">
        <v>27</v>
      </c>
      <c r="H2311">
        <v>0</v>
      </c>
    </row>
    <row r="2312" spans="1:8">
      <c r="A2312" t="s">
        <v>375</v>
      </c>
      <c r="B2312">
        <v>1.1553494640315805E-9</v>
      </c>
      <c r="D2312" t="s">
        <v>243</v>
      </c>
      <c r="E2312" t="s">
        <v>7</v>
      </c>
      <c r="F2312" t="s">
        <v>27</v>
      </c>
      <c r="H2312">
        <v>0</v>
      </c>
    </row>
    <row r="2313" spans="1:8">
      <c r="A2313" t="s">
        <v>455</v>
      </c>
      <c r="B2313">
        <v>1.1740772587352886E-5</v>
      </c>
      <c r="D2313" t="s">
        <v>243</v>
      </c>
      <c r="E2313" t="s">
        <v>7</v>
      </c>
      <c r="F2313" t="s">
        <v>27</v>
      </c>
      <c r="H2313">
        <v>0</v>
      </c>
    </row>
    <row r="2314" spans="1:8">
      <c r="A2314" t="s">
        <v>370</v>
      </c>
      <c r="B2314">
        <v>1.7330241960473703E-10</v>
      </c>
      <c r="D2314" t="s">
        <v>243</v>
      </c>
      <c r="E2314" t="s">
        <v>7</v>
      </c>
      <c r="F2314" t="s">
        <v>27</v>
      </c>
      <c r="H2314">
        <v>0</v>
      </c>
    </row>
    <row r="2315" spans="1:8">
      <c r="A2315" t="s">
        <v>225</v>
      </c>
      <c r="B2315">
        <v>2.8883736600789512E-11</v>
      </c>
      <c r="D2315" t="s">
        <v>243</v>
      </c>
      <c r="E2315" t="s">
        <v>7</v>
      </c>
      <c r="F2315" t="s">
        <v>27</v>
      </c>
      <c r="H2315">
        <v>0</v>
      </c>
    </row>
    <row r="2316" spans="1:8">
      <c r="A2316" t="s">
        <v>367</v>
      </c>
      <c r="B2316">
        <v>8.6651209802368528E-10</v>
      </c>
      <c r="D2316" t="s">
        <v>243</v>
      </c>
      <c r="E2316" t="s">
        <v>7</v>
      </c>
      <c r="F2316" t="s">
        <v>27</v>
      </c>
      <c r="H2316">
        <v>0</v>
      </c>
    </row>
    <row r="2317" spans="1:8">
      <c r="A2317" t="s">
        <v>363</v>
      </c>
      <c r="B2317">
        <v>4.3325604901184269E-10</v>
      </c>
      <c r="D2317" t="s">
        <v>243</v>
      </c>
      <c r="E2317" t="s">
        <v>7</v>
      </c>
      <c r="F2317" t="s">
        <v>27</v>
      </c>
      <c r="H2317">
        <v>0</v>
      </c>
    </row>
    <row r="2318" spans="1:8">
      <c r="A2318" t="s">
        <v>197</v>
      </c>
      <c r="B2318">
        <v>4.4309095397735818E-5</v>
      </c>
      <c r="D2318" t="s">
        <v>243</v>
      </c>
      <c r="E2318" t="s">
        <v>7</v>
      </c>
      <c r="F2318" t="s">
        <v>27</v>
      </c>
      <c r="H2318">
        <v>0</v>
      </c>
    </row>
    <row r="2319" spans="1:8">
      <c r="A2319" t="s">
        <v>371</v>
      </c>
      <c r="B2319">
        <v>2.8883736600789513E-10</v>
      </c>
      <c r="D2319" t="s">
        <v>243</v>
      </c>
      <c r="E2319" t="s">
        <v>7</v>
      </c>
      <c r="F2319" t="s">
        <v>27</v>
      </c>
      <c r="H2319">
        <v>0</v>
      </c>
    </row>
    <row r="2320" spans="1:8">
      <c r="A2320" t="s">
        <v>359</v>
      </c>
      <c r="B2320">
        <v>1.3199867626560807E-8</v>
      </c>
      <c r="D2320" t="s">
        <v>243</v>
      </c>
      <c r="E2320" t="s">
        <v>7</v>
      </c>
      <c r="F2320" t="s">
        <v>27</v>
      </c>
      <c r="H2320">
        <v>0</v>
      </c>
    </row>
    <row r="2322" spans="1:11" ht="15.75">
      <c r="A2322" s="1" t="s">
        <v>0</v>
      </c>
      <c r="B2322" s="1" t="s">
        <v>508</v>
      </c>
    </row>
    <row r="2323" spans="1:11">
      <c r="A2323" t="s">
        <v>9</v>
      </c>
      <c r="B2323" t="s">
        <v>499</v>
      </c>
    </row>
    <row r="2324" spans="1:11">
      <c r="A2324" t="s">
        <v>1</v>
      </c>
      <c r="B2324" t="s">
        <v>104</v>
      </c>
    </row>
    <row r="2325" spans="1:11">
      <c r="A2325" t="s">
        <v>2</v>
      </c>
      <c r="B2325">
        <v>1</v>
      </c>
    </row>
    <row r="2326" spans="1:11">
      <c r="A2326" t="s">
        <v>3</v>
      </c>
      <c r="B2326" t="s">
        <v>286</v>
      </c>
    </row>
    <row r="2327" spans="1:11">
      <c r="A2327" t="s">
        <v>4</v>
      </c>
      <c r="B2327" t="s">
        <v>5</v>
      </c>
    </row>
    <row r="2328" spans="1:11">
      <c r="A2328" t="s">
        <v>6</v>
      </c>
      <c r="B2328" t="s">
        <v>125</v>
      </c>
    </row>
    <row r="2329" spans="1:11" ht="15.75">
      <c r="A2329" s="1" t="s">
        <v>10</v>
      </c>
      <c r="B2329"/>
    </row>
    <row r="2330" spans="1:11">
      <c r="A2330" t="s">
        <v>11</v>
      </c>
      <c r="B2330" t="s">
        <v>12</v>
      </c>
      <c r="C2330" t="s">
        <v>1</v>
      </c>
      <c r="D2330" t="s">
        <v>13</v>
      </c>
      <c r="E2330" t="s">
        <v>6</v>
      </c>
      <c r="F2330" t="s">
        <v>4</v>
      </c>
      <c r="G2330" t="s">
        <v>3</v>
      </c>
      <c r="H2330" t="s">
        <v>479</v>
      </c>
      <c r="I2330" t="s">
        <v>497</v>
      </c>
      <c r="J2330" t="s">
        <v>480</v>
      </c>
      <c r="K2330" t="s">
        <v>481</v>
      </c>
    </row>
    <row r="2331" spans="1:11" ht="15.75">
      <c r="A2331" s="64" t="str">
        <f>B2322</f>
        <v>electricity production, from photovoltaic panels</v>
      </c>
      <c r="B2331">
        <v>1</v>
      </c>
      <c r="C2331" t="s">
        <v>104</v>
      </c>
      <c r="E2331" t="str">
        <f>B2328</f>
        <v>kilowatt hour</v>
      </c>
      <c r="F2331" t="s">
        <v>15</v>
      </c>
      <c r="G2331" t="str">
        <f>B2326</f>
        <v>electricity, low voltage</v>
      </c>
      <c r="H2331">
        <v>0</v>
      </c>
    </row>
    <row r="2332" spans="1:11">
      <c r="A2332" t="s">
        <v>500</v>
      </c>
      <c r="B2332" s="3">
        <v>1</v>
      </c>
      <c r="C2332" t="s">
        <v>104</v>
      </c>
      <c r="E2332" t="s">
        <v>125</v>
      </c>
      <c r="F2332" t="s">
        <v>18</v>
      </c>
      <c r="G2332" t="s">
        <v>286</v>
      </c>
      <c r="H2332">
        <v>0</v>
      </c>
    </row>
    <row r="2334" spans="1:11" ht="15.75">
      <c r="A2334" s="1" t="s">
        <v>0</v>
      </c>
      <c r="B2334" s="1" t="s">
        <v>501</v>
      </c>
    </row>
    <row r="2335" spans="1:11">
      <c r="A2335" t="s">
        <v>9</v>
      </c>
      <c r="B2335" t="s">
        <v>504</v>
      </c>
    </row>
    <row r="2336" spans="1:11">
      <c r="A2336" t="s">
        <v>1</v>
      </c>
      <c r="B2336" t="s">
        <v>104</v>
      </c>
    </row>
    <row r="2337" spans="1:11">
      <c r="A2337" t="s">
        <v>2</v>
      </c>
      <c r="B2337">
        <v>1</v>
      </c>
    </row>
    <row r="2338" spans="1:11">
      <c r="A2338" t="s">
        <v>3</v>
      </c>
      <c r="B2338" t="s">
        <v>145</v>
      </c>
    </row>
    <row r="2339" spans="1:11">
      <c r="A2339" t="s">
        <v>4</v>
      </c>
      <c r="B2339" t="s">
        <v>5</v>
      </c>
    </row>
    <row r="2340" spans="1:11">
      <c r="A2340" t="s">
        <v>6</v>
      </c>
      <c r="B2340" t="s">
        <v>125</v>
      </c>
    </row>
    <row r="2341" spans="1:11" ht="15.75">
      <c r="A2341" s="1" t="s">
        <v>10</v>
      </c>
      <c r="B2341"/>
    </row>
    <row r="2342" spans="1:11">
      <c r="A2342" t="s">
        <v>11</v>
      </c>
      <c r="B2342" t="s">
        <v>12</v>
      </c>
      <c r="C2342" t="s">
        <v>1</v>
      </c>
      <c r="D2342" t="s">
        <v>13</v>
      </c>
      <c r="E2342" t="s">
        <v>6</v>
      </c>
      <c r="F2342" t="s">
        <v>4</v>
      </c>
      <c r="G2342" t="s">
        <v>3</v>
      </c>
      <c r="H2342" t="s">
        <v>479</v>
      </c>
      <c r="I2342" t="s">
        <v>497</v>
      </c>
      <c r="J2342" t="s">
        <v>480</v>
      </c>
      <c r="K2342" t="s">
        <v>481</v>
      </c>
    </row>
    <row r="2343" spans="1:11" ht="15.75">
      <c r="A2343" s="64" t="str">
        <f>B2334</f>
        <v>electricity production, wind</v>
      </c>
      <c r="B2343">
        <v>1</v>
      </c>
      <c r="C2343" t="s">
        <v>104</v>
      </c>
      <c r="E2343" t="str">
        <f>B2340</f>
        <v>kilowatt hour</v>
      </c>
      <c r="F2343" t="s">
        <v>15</v>
      </c>
      <c r="G2343" t="str">
        <f>B2338</f>
        <v>electricity, high voltage</v>
      </c>
      <c r="H2343">
        <v>0</v>
      </c>
    </row>
    <row r="2344" spans="1:11">
      <c r="A2344" t="s">
        <v>502</v>
      </c>
      <c r="B2344" s="3">
        <v>1</v>
      </c>
      <c r="C2344" t="s">
        <v>104</v>
      </c>
      <c r="E2344" t="s">
        <v>125</v>
      </c>
      <c r="F2344" t="s">
        <v>18</v>
      </c>
      <c r="G2344" t="s">
        <v>145</v>
      </c>
      <c r="H2344">
        <v>0</v>
      </c>
    </row>
    <row r="2346" spans="1:11" ht="15.75">
      <c r="A2346" s="1" t="s">
        <v>0</v>
      </c>
      <c r="B2346" s="1" t="s">
        <v>503</v>
      </c>
    </row>
    <row r="2347" spans="1:11">
      <c r="A2347" t="s">
        <v>9</v>
      </c>
      <c r="B2347" t="s">
        <v>505</v>
      </c>
    </row>
    <row r="2348" spans="1:11">
      <c r="A2348" t="s">
        <v>1</v>
      </c>
      <c r="B2348" t="s">
        <v>104</v>
      </c>
    </row>
    <row r="2349" spans="1:11">
      <c r="A2349" t="s">
        <v>2</v>
      </c>
      <c r="B2349">
        <v>1</v>
      </c>
    </row>
    <row r="2350" spans="1:11">
      <c r="A2350" t="s">
        <v>3</v>
      </c>
      <c r="B2350" t="s">
        <v>286</v>
      </c>
    </row>
    <row r="2351" spans="1:11">
      <c r="A2351" t="s">
        <v>4</v>
      </c>
      <c r="B2351" t="s">
        <v>5</v>
      </c>
    </row>
    <row r="2352" spans="1:11">
      <c r="A2352" t="s">
        <v>6</v>
      </c>
      <c r="B2352" t="s">
        <v>125</v>
      </c>
    </row>
    <row r="2353" spans="1:11" ht="15.75">
      <c r="A2353" s="1" t="s">
        <v>10</v>
      </c>
      <c r="B2353"/>
    </row>
    <row r="2354" spans="1:11">
      <c r="A2354" t="s">
        <v>11</v>
      </c>
      <c r="B2354" t="s">
        <v>12</v>
      </c>
      <c r="C2354" t="s">
        <v>1</v>
      </c>
      <c r="D2354" t="s">
        <v>13</v>
      </c>
      <c r="E2354" t="s">
        <v>6</v>
      </c>
      <c r="F2354" t="s">
        <v>4</v>
      </c>
      <c r="G2354" t="s">
        <v>3</v>
      </c>
      <c r="H2354" t="s">
        <v>479</v>
      </c>
      <c r="I2354" t="s">
        <v>497</v>
      </c>
      <c r="J2354" t="s">
        <v>480</v>
      </c>
      <c r="K2354" t="s">
        <v>481</v>
      </c>
    </row>
    <row r="2355" spans="1:11" ht="15.75">
      <c r="A2355" s="64" t="str">
        <f>B2346</f>
        <v>electricity production, from hydrogen fuel cell</v>
      </c>
      <c r="B2355">
        <v>1</v>
      </c>
      <c r="C2355" t="s">
        <v>104</v>
      </c>
      <c r="E2355" t="str">
        <f>B2352</f>
        <v>kilowatt hour</v>
      </c>
      <c r="F2355" t="s">
        <v>15</v>
      </c>
      <c r="G2355" t="str">
        <f>B2350</f>
        <v>electricity, low voltage</v>
      </c>
      <c r="H2355">
        <v>0</v>
      </c>
    </row>
    <row r="2356" spans="1:11">
      <c r="A2356" t="s">
        <v>506</v>
      </c>
      <c r="B2356" s="3">
        <v>1</v>
      </c>
      <c r="C2356" t="s">
        <v>104</v>
      </c>
      <c r="E2356" t="s">
        <v>125</v>
      </c>
      <c r="F2356" t="s">
        <v>18</v>
      </c>
      <c r="G2356" t="s">
        <v>507</v>
      </c>
      <c r="H2356">
        <v>0</v>
      </c>
    </row>
    <row r="2359" spans="1:11">
      <c r="A2359" s="70" t="s">
        <v>0</v>
      </c>
      <c r="B2359" s="71" t="s">
        <v>513</v>
      </c>
      <c r="C2359" s="70"/>
      <c r="D2359" s="70"/>
      <c r="E2359" s="70"/>
      <c r="F2359" s="70"/>
      <c r="G2359" s="70"/>
      <c r="H2359" s="70"/>
      <c r="I2359" s="70"/>
      <c r="J2359" s="70"/>
    </row>
    <row r="2360" spans="1:11">
      <c r="A2360" t="s">
        <v>2</v>
      </c>
      <c r="B2360" s="3">
        <v>1</v>
      </c>
    </row>
    <row r="2361" spans="1:11">
      <c r="A2361" t="s">
        <v>3</v>
      </c>
      <c r="B2361" s="3" t="s">
        <v>514</v>
      </c>
    </row>
    <row r="2362" spans="1:11">
      <c r="A2362" t="s">
        <v>6</v>
      </c>
      <c r="B2362" s="3" t="s">
        <v>7</v>
      </c>
    </row>
    <row r="2363" spans="1:11">
      <c r="A2363" t="s">
        <v>1</v>
      </c>
      <c r="B2363" s="3" t="s">
        <v>103</v>
      </c>
    </row>
    <row r="2364" spans="1:11">
      <c r="A2364" t="s">
        <v>9</v>
      </c>
      <c r="B2364" s="3" t="s">
        <v>515</v>
      </c>
    </row>
    <row r="2366" spans="1:11">
      <c r="A2366" t="s">
        <v>10</v>
      </c>
    </row>
    <row r="2367" spans="1:11">
      <c r="A2367" t="s">
        <v>11</v>
      </c>
      <c r="B2367" s="3" t="s">
        <v>3</v>
      </c>
      <c r="C2367" t="s">
        <v>12</v>
      </c>
      <c r="D2367" t="s">
        <v>1</v>
      </c>
      <c r="E2367" t="s">
        <v>6</v>
      </c>
      <c r="F2367" t="s">
        <v>13</v>
      </c>
      <c r="G2367" t="s">
        <v>4</v>
      </c>
      <c r="H2367" t="s">
        <v>116</v>
      </c>
      <c r="I2367" t="s">
        <v>9</v>
      </c>
    </row>
    <row r="2368" spans="1:11">
      <c r="A2368" t="s">
        <v>513</v>
      </c>
      <c r="B2368" s="3" t="s">
        <v>514</v>
      </c>
      <c r="C2368">
        <v>1</v>
      </c>
      <c r="D2368" t="s">
        <v>103</v>
      </c>
      <c r="E2368" t="s">
        <v>7</v>
      </c>
      <c r="G2368" t="s">
        <v>15</v>
      </c>
      <c r="H2368" t="s">
        <v>512</v>
      </c>
    </row>
    <row r="2369" spans="1:9">
      <c r="A2369" t="s">
        <v>516</v>
      </c>
      <c r="B2369" s="3" t="s">
        <v>517</v>
      </c>
      <c r="C2369">
        <v>7.7</v>
      </c>
      <c r="D2369" t="s">
        <v>103</v>
      </c>
      <c r="E2369" t="s">
        <v>17</v>
      </c>
      <c r="G2369" t="s">
        <v>18</v>
      </c>
      <c r="H2369" t="s">
        <v>518</v>
      </c>
    </row>
    <row r="2370" spans="1:9">
      <c r="A2370" t="s">
        <v>519</v>
      </c>
      <c r="B2370" s="3" t="s">
        <v>520</v>
      </c>
      <c r="C2370">
        <v>0.16667000000000001</v>
      </c>
      <c r="D2370" t="s">
        <v>103</v>
      </c>
      <c r="E2370" t="s">
        <v>125</v>
      </c>
      <c r="G2370" t="s">
        <v>18</v>
      </c>
      <c r="H2370" t="s">
        <v>518</v>
      </c>
    </row>
    <row r="2371" spans="1:9">
      <c r="A2371" t="s">
        <v>521</v>
      </c>
      <c r="B2371" s="3" t="s">
        <v>522</v>
      </c>
      <c r="C2371">
        <v>0.37</v>
      </c>
      <c r="D2371" t="s">
        <v>103</v>
      </c>
      <c r="E2371" t="s">
        <v>7</v>
      </c>
      <c r="G2371" t="s">
        <v>18</v>
      </c>
      <c r="H2371" t="s">
        <v>518</v>
      </c>
    </row>
    <row r="2372" spans="1:9">
      <c r="A2372" t="s">
        <v>523</v>
      </c>
      <c r="B2372" s="3" t="s">
        <v>524</v>
      </c>
      <c r="C2372">
        <v>7.0999999999999994E-2</v>
      </c>
      <c r="D2372" t="s">
        <v>103</v>
      </c>
      <c r="E2372" t="s">
        <v>7</v>
      </c>
      <c r="G2372" t="s">
        <v>18</v>
      </c>
      <c r="H2372" t="s">
        <v>518</v>
      </c>
    </row>
    <row r="2373" spans="1:9">
      <c r="A2373" t="s">
        <v>525</v>
      </c>
      <c r="B2373" s="3" t="s">
        <v>526</v>
      </c>
      <c r="C2373">
        <v>24</v>
      </c>
      <c r="D2373" t="s">
        <v>270</v>
      </c>
      <c r="E2373" t="s">
        <v>7</v>
      </c>
      <c r="G2373" t="s">
        <v>18</v>
      </c>
      <c r="H2373" t="s">
        <v>518</v>
      </c>
    </row>
    <row r="2374" spans="1:9">
      <c r="A2374" t="s">
        <v>527</v>
      </c>
      <c r="B2374" s="3" t="s">
        <v>528</v>
      </c>
      <c r="C2374">
        <v>3.66</v>
      </c>
      <c r="D2374" t="s">
        <v>103</v>
      </c>
      <c r="E2374" t="s">
        <v>7</v>
      </c>
      <c r="G2374" t="s">
        <v>18</v>
      </c>
      <c r="H2374" t="s">
        <v>518</v>
      </c>
    </row>
    <row r="2375" spans="1:9">
      <c r="A2375" t="s">
        <v>529</v>
      </c>
      <c r="B2375" s="3" t="s">
        <v>530</v>
      </c>
      <c r="C2375">
        <v>1</v>
      </c>
      <c r="D2375" t="s">
        <v>24</v>
      </c>
      <c r="E2375" t="s">
        <v>7</v>
      </c>
      <c r="G2375" t="s">
        <v>18</v>
      </c>
      <c r="H2375" t="s">
        <v>518</v>
      </c>
      <c r="I2375" t="s">
        <v>531</v>
      </c>
    </row>
    <row r="2376" spans="1:9">
      <c r="A2376" t="s">
        <v>532</v>
      </c>
      <c r="B2376" s="3" t="s">
        <v>533</v>
      </c>
      <c r="C2376">
        <v>0.73333333333333339</v>
      </c>
      <c r="D2376" t="s">
        <v>534</v>
      </c>
      <c r="E2376" t="s">
        <v>7</v>
      </c>
      <c r="G2376" t="s">
        <v>18</v>
      </c>
      <c r="H2376" t="s">
        <v>518</v>
      </c>
      <c r="I2376" t="s">
        <v>531</v>
      </c>
    </row>
    <row r="2377" spans="1:9">
      <c r="A2377" t="s">
        <v>535</v>
      </c>
      <c r="B2377" s="3" t="s">
        <v>517</v>
      </c>
      <c r="C2377">
        <v>0.3666666666666667</v>
      </c>
      <c r="D2377" t="s">
        <v>103</v>
      </c>
      <c r="E2377" t="s">
        <v>17</v>
      </c>
      <c r="G2377" t="s">
        <v>18</v>
      </c>
      <c r="H2377" t="s">
        <v>518</v>
      </c>
      <c r="I2377" t="s">
        <v>531</v>
      </c>
    </row>
    <row r="2378" spans="1:9">
      <c r="A2378" t="s">
        <v>536</v>
      </c>
      <c r="C2378">
        <v>3.6000000000000002E-4</v>
      </c>
      <c r="E2378" t="s">
        <v>7</v>
      </c>
      <c r="F2378" t="s">
        <v>135</v>
      </c>
      <c r="G2378" t="s">
        <v>27</v>
      </c>
      <c r="H2378" t="s">
        <v>537</v>
      </c>
    </row>
    <row r="2379" spans="1:9">
      <c r="A2379" t="s">
        <v>522</v>
      </c>
      <c r="C2379">
        <v>1.8699999999999999E-3</v>
      </c>
      <c r="E2379" t="s">
        <v>7</v>
      </c>
      <c r="F2379" t="s">
        <v>135</v>
      </c>
      <c r="G2379" t="s">
        <v>27</v>
      </c>
      <c r="H2379" t="s">
        <v>537</v>
      </c>
    </row>
    <row r="2382" spans="1:9">
      <c r="A2382" t="s">
        <v>0</v>
      </c>
      <c r="B2382" s="3" t="s">
        <v>538</v>
      </c>
    </row>
    <row r="2383" spans="1:9">
      <c r="A2383" t="s">
        <v>2</v>
      </c>
      <c r="B2383" s="3">
        <v>1</v>
      </c>
    </row>
    <row r="2384" spans="1:9">
      <c r="A2384" t="s">
        <v>3</v>
      </c>
      <c r="B2384" s="3" t="s">
        <v>539</v>
      </c>
    </row>
    <row r="2385" spans="1:9">
      <c r="A2385" t="s">
        <v>6</v>
      </c>
      <c r="B2385" s="3" t="s">
        <v>17</v>
      </c>
    </row>
    <row r="2386" spans="1:9">
      <c r="A2386" t="s">
        <v>1</v>
      </c>
      <c r="B2386" s="3" t="s">
        <v>104</v>
      </c>
    </row>
    <row r="2387" spans="1:9">
      <c r="A2387" t="s">
        <v>9</v>
      </c>
      <c r="B2387" s="3" t="s">
        <v>540</v>
      </c>
    </row>
    <row r="2389" spans="1:9">
      <c r="A2389" t="s">
        <v>10</v>
      </c>
    </row>
    <row r="2390" spans="1:9">
      <c r="A2390" t="s">
        <v>11</v>
      </c>
      <c r="B2390" s="3" t="s">
        <v>3</v>
      </c>
      <c r="C2390" t="s">
        <v>12</v>
      </c>
      <c r="D2390" t="s">
        <v>1</v>
      </c>
      <c r="E2390" t="s">
        <v>6</v>
      </c>
      <c r="F2390" t="s">
        <v>13</v>
      </c>
      <c r="G2390" t="s">
        <v>4</v>
      </c>
      <c r="H2390" t="s">
        <v>116</v>
      </c>
      <c r="I2390" t="s">
        <v>9</v>
      </c>
    </row>
    <row r="2391" spans="1:9">
      <c r="A2391" t="s">
        <v>538</v>
      </c>
      <c r="B2391" s="3" t="s">
        <v>539</v>
      </c>
      <c r="C2391">
        <v>1</v>
      </c>
      <c r="D2391" t="s">
        <v>104</v>
      </c>
      <c r="E2391" t="s">
        <v>17</v>
      </c>
      <c r="G2391" t="s">
        <v>15</v>
      </c>
      <c r="H2391" t="s">
        <v>512</v>
      </c>
    </row>
    <row r="2392" spans="1:9">
      <c r="A2392" t="s">
        <v>541</v>
      </c>
      <c r="B2392" s="3" t="s">
        <v>542</v>
      </c>
      <c r="C2392">
        <v>0.159</v>
      </c>
      <c r="D2392" t="s">
        <v>270</v>
      </c>
      <c r="E2392" t="s">
        <v>7</v>
      </c>
      <c r="G2392" t="s">
        <v>18</v>
      </c>
      <c r="H2392" t="s">
        <v>518</v>
      </c>
    </row>
    <row r="2393" spans="1:9">
      <c r="A2393" t="s">
        <v>543</v>
      </c>
      <c r="B2393" s="3" t="s">
        <v>544</v>
      </c>
      <c r="C2393">
        <v>1.1800000000000001E-5</v>
      </c>
      <c r="D2393" t="s">
        <v>103</v>
      </c>
      <c r="E2393" t="s">
        <v>7</v>
      </c>
      <c r="G2393" t="s">
        <v>18</v>
      </c>
      <c r="H2393" t="s">
        <v>518</v>
      </c>
    </row>
    <row r="2394" spans="1:9">
      <c r="A2394" t="s">
        <v>545</v>
      </c>
      <c r="B2394" s="3" t="s">
        <v>546</v>
      </c>
      <c r="C2394">
        <v>1.8E-7</v>
      </c>
      <c r="D2394" t="s">
        <v>24</v>
      </c>
      <c r="E2394" t="s">
        <v>6</v>
      </c>
      <c r="G2394" t="s">
        <v>18</v>
      </c>
      <c r="H2394" t="s">
        <v>518</v>
      </c>
    </row>
    <row r="2395" spans="1:9">
      <c r="A2395" t="s">
        <v>547</v>
      </c>
      <c r="B2395" s="3" t="s">
        <v>548</v>
      </c>
      <c r="C2395">
        <v>6.3899999999999998E-3</v>
      </c>
      <c r="D2395" t="s">
        <v>104</v>
      </c>
      <c r="E2395" t="s">
        <v>125</v>
      </c>
      <c r="G2395" t="s">
        <v>18</v>
      </c>
      <c r="H2395" t="s">
        <v>518</v>
      </c>
      <c r="I2395" t="s">
        <v>549</v>
      </c>
    </row>
    <row r="2396" spans="1:9">
      <c r="A2396" t="s">
        <v>550</v>
      </c>
      <c r="B2396" s="3" t="s">
        <v>551</v>
      </c>
      <c r="C2396">
        <v>-1.1800000000000001E-5</v>
      </c>
      <c r="D2396" t="s">
        <v>104</v>
      </c>
      <c r="E2396" t="s">
        <v>7</v>
      </c>
      <c r="G2396" t="s">
        <v>18</v>
      </c>
      <c r="H2396" t="s">
        <v>518</v>
      </c>
    </row>
    <row r="2399" spans="1:9">
      <c r="A2399" t="s">
        <v>0</v>
      </c>
      <c r="B2399" s="3" t="s">
        <v>552</v>
      </c>
    </row>
    <row r="2400" spans="1:9">
      <c r="A2400" t="s">
        <v>2</v>
      </c>
      <c r="B2400" s="3">
        <v>1</v>
      </c>
    </row>
    <row r="2401" spans="1:9">
      <c r="A2401" t="s">
        <v>3</v>
      </c>
      <c r="B2401" s="3" t="s">
        <v>552</v>
      </c>
    </row>
    <row r="2402" spans="1:9">
      <c r="A2402" t="s">
        <v>6</v>
      </c>
      <c r="B2402" s="3" t="s">
        <v>17</v>
      </c>
    </row>
    <row r="2403" spans="1:9">
      <c r="A2403" t="s">
        <v>1</v>
      </c>
      <c r="B2403" s="3" t="s">
        <v>104</v>
      </c>
    </row>
    <row r="2404" spans="1:9">
      <c r="A2404" t="s">
        <v>9</v>
      </c>
      <c r="B2404" s="3" t="s">
        <v>553</v>
      </c>
    </row>
    <row r="2406" spans="1:9">
      <c r="A2406" t="s">
        <v>10</v>
      </c>
    </row>
    <row r="2407" spans="1:9">
      <c r="A2407" t="s">
        <v>11</v>
      </c>
      <c r="B2407" s="3" t="s">
        <v>3</v>
      </c>
      <c r="C2407" t="s">
        <v>12</v>
      </c>
      <c r="D2407" t="s">
        <v>1</v>
      </c>
      <c r="E2407" t="s">
        <v>6</v>
      </c>
      <c r="F2407" t="s">
        <v>13</v>
      </c>
      <c r="G2407" t="s">
        <v>4</v>
      </c>
      <c r="H2407" t="s">
        <v>116</v>
      </c>
      <c r="I2407" t="s">
        <v>9</v>
      </c>
    </row>
    <row r="2408" spans="1:9">
      <c r="A2408" t="s">
        <v>552</v>
      </c>
      <c r="B2408" s="3" t="s">
        <v>552</v>
      </c>
      <c r="C2408">
        <v>1</v>
      </c>
      <c r="D2408" t="s">
        <v>104</v>
      </c>
      <c r="E2408" t="s">
        <v>17</v>
      </c>
      <c r="G2408" t="s">
        <v>15</v>
      </c>
      <c r="H2408" t="s">
        <v>512</v>
      </c>
    </row>
    <row r="2409" spans="1:9">
      <c r="A2409" t="s">
        <v>547</v>
      </c>
      <c r="B2409" s="3" t="s">
        <v>548</v>
      </c>
      <c r="C2409">
        <v>0.27777777777777801</v>
      </c>
      <c r="D2409" t="s">
        <v>104</v>
      </c>
      <c r="E2409" t="s">
        <v>125</v>
      </c>
      <c r="G2409" t="s">
        <v>18</v>
      </c>
      <c r="H2409" t="s">
        <v>518</v>
      </c>
    </row>
    <row r="2410" spans="1:9">
      <c r="A2410" t="s">
        <v>543</v>
      </c>
      <c r="B2410" s="3" t="s">
        <v>544</v>
      </c>
      <c r="C2410">
        <v>5.14019E-4</v>
      </c>
      <c r="D2410" t="s">
        <v>103</v>
      </c>
      <c r="E2410" t="s">
        <v>7</v>
      </c>
      <c r="G2410" t="s">
        <v>18</v>
      </c>
      <c r="H2410" t="s">
        <v>518</v>
      </c>
    </row>
    <row r="2411" spans="1:9">
      <c r="A2411" t="s">
        <v>550</v>
      </c>
      <c r="B2411" s="3" t="s">
        <v>551</v>
      </c>
      <c r="C2411">
        <v>-5.14019E-4</v>
      </c>
      <c r="D2411" t="s">
        <v>104</v>
      </c>
      <c r="E2411" t="s">
        <v>7</v>
      </c>
      <c r="G2411" t="s">
        <v>18</v>
      </c>
      <c r="H2411" t="s">
        <v>518</v>
      </c>
    </row>
    <row r="2412" spans="1:9">
      <c r="A2412" t="s">
        <v>545</v>
      </c>
      <c r="B2412" s="3" t="s">
        <v>546</v>
      </c>
      <c r="C2412">
        <v>7.8218452026545605E-6</v>
      </c>
      <c r="D2412" t="s">
        <v>24</v>
      </c>
      <c r="E2412" t="s">
        <v>6</v>
      </c>
      <c r="G2412" t="s">
        <v>18</v>
      </c>
      <c r="H2412" t="s">
        <v>518</v>
      </c>
    </row>
    <row r="2415" spans="1:9">
      <c r="A2415" t="s">
        <v>0</v>
      </c>
      <c r="B2415" s="3" t="s">
        <v>554</v>
      </c>
    </row>
    <row r="2416" spans="1:9">
      <c r="A2416" t="s">
        <v>2</v>
      </c>
      <c r="B2416" s="3">
        <v>1</v>
      </c>
    </row>
    <row r="2417" spans="1:9">
      <c r="A2417" t="s">
        <v>3</v>
      </c>
      <c r="B2417" s="3" t="s">
        <v>554</v>
      </c>
    </row>
    <row r="2418" spans="1:9">
      <c r="A2418" t="s">
        <v>6</v>
      </c>
      <c r="B2418" s="3" t="s">
        <v>555</v>
      </c>
    </row>
    <row r="2419" spans="1:9">
      <c r="A2419" t="s">
        <v>1</v>
      </c>
      <c r="B2419" s="3" t="s">
        <v>104</v>
      </c>
    </row>
    <row r="2420" spans="1:9">
      <c r="A2420" t="s">
        <v>9</v>
      </c>
      <c r="B2420" s="3" t="s">
        <v>556</v>
      </c>
    </row>
    <row r="2422" spans="1:9">
      <c r="A2422" t="s">
        <v>10</v>
      </c>
    </row>
    <row r="2423" spans="1:9">
      <c r="A2423" t="s">
        <v>11</v>
      </c>
      <c r="B2423" s="3" t="s">
        <v>3</v>
      </c>
      <c r="C2423" t="s">
        <v>12</v>
      </c>
      <c r="D2423" t="s">
        <v>1</v>
      </c>
      <c r="E2423" t="s">
        <v>6</v>
      </c>
      <c r="F2423" t="s">
        <v>13</v>
      </c>
      <c r="G2423" t="s">
        <v>4</v>
      </c>
      <c r="H2423" t="s">
        <v>116</v>
      </c>
      <c r="I2423" t="s">
        <v>9</v>
      </c>
    </row>
    <row r="2424" spans="1:9">
      <c r="A2424" t="s">
        <v>554</v>
      </c>
      <c r="B2424" s="3" t="s">
        <v>554</v>
      </c>
      <c r="C2424">
        <v>1</v>
      </c>
      <c r="D2424" t="s">
        <v>104</v>
      </c>
      <c r="E2424" t="s">
        <v>555</v>
      </c>
      <c r="G2424" t="s">
        <v>15</v>
      </c>
      <c r="H2424" t="s">
        <v>512</v>
      </c>
    </row>
    <row r="2425" spans="1:9">
      <c r="A2425" t="s">
        <v>513</v>
      </c>
      <c r="B2425" s="3" t="s">
        <v>514</v>
      </c>
      <c r="C2425">
        <v>19.829999999999998</v>
      </c>
      <c r="D2425" t="s">
        <v>103</v>
      </c>
      <c r="E2425" t="s">
        <v>7</v>
      </c>
      <c r="G2425" t="s">
        <v>18</v>
      </c>
      <c r="H2425" t="s">
        <v>512</v>
      </c>
    </row>
    <row r="2426" spans="1:9">
      <c r="A2426" t="s">
        <v>557</v>
      </c>
      <c r="B2426" s="3" t="s">
        <v>294</v>
      </c>
      <c r="C2426">
        <v>48616.57</v>
      </c>
      <c r="D2426" t="s">
        <v>104</v>
      </c>
      <c r="E2426" t="s">
        <v>17</v>
      </c>
      <c r="G2426" t="s">
        <v>18</v>
      </c>
      <c r="H2426" t="s">
        <v>518</v>
      </c>
    </row>
    <row r="2427" spans="1:9">
      <c r="A2427" t="s">
        <v>547</v>
      </c>
      <c r="B2427" s="3" t="s">
        <v>548</v>
      </c>
      <c r="C2427">
        <v>169.23</v>
      </c>
      <c r="D2427" t="s">
        <v>104</v>
      </c>
      <c r="E2427" t="s">
        <v>125</v>
      </c>
      <c r="G2427" t="s">
        <v>18</v>
      </c>
      <c r="H2427" t="s">
        <v>518</v>
      </c>
    </row>
    <row r="2428" spans="1:9">
      <c r="A2428" t="s">
        <v>558</v>
      </c>
      <c r="B2428" s="3" t="s">
        <v>559</v>
      </c>
      <c r="C2428">
        <v>3.165</v>
      </c>
      <c r="D2428" t="s">
        <v>103</v>
      </c>
      <c r="E2428" t="s">
        <v>7</v>
      </c>
      <c r="G2428" t="s">
        <v>18</v>
      </c>
      <c r="H2428" t="s">
        <v>518</v>
      </c>
      <c r="I2428" t="s">
        <v>560</v>
      </c>
    </row>
    <row r="2429" spans="1:9">
      <c r="A2429" t="s">
        <v>561</v>
      </c>
      <c r="B2429" s="3" t="s">
        <v>562</v>
      </c>
      <c r="C2429">
        <v>3.165</v>
      </c>
      <c r="D2429" t="s">
        <v>103</v>
      </c>
      <c r="E2429" t="s">
        <v>7</v>
      </c>
      <c r="G2429" t="s">
        <v>18</v>
      </c>
      <c r="H2429" t="s">
        <v>518</v>
      </c>
      <c r="I2429" t="s">
        <v>560</v>
      </c>
    </row>
    <row r="2430" spans="1:9">
      <c r="A2430" t="s">
        <v>538</v>
      </c>
      <c r="B2430" s="3" t="s">
        <v>539</v>
      </c>
      <c r="C2430">
        <v>51969.43</v>
      </c>
      <c r="D2430" t="s">
        <v>104</v>
      </c>
      <c r="E2430" t="s">
        <v>17</v>
      </c>
      <c r="G2430" t="s">
        <v>18</v>
      </c>
      <c r="H2430" t="s">
        <v>512</v>
      </c>
    </row>
    <row r="2431" spans="1:9">
      <c r="A2431" t="s">
        <v>563</v>
      </c>
      <c r="B2431" s="3" t="s">
        <v>564</v>
      </c>
      <c r="C2431">
        <v>-0.61399999999999999</v>
      </c>
      <c r="D2431" t="s">
        <v>104</v>
      </c>
      <c r="E2431" t="s">
        <v>7</v>
      </c>
      <c r="G2431" t="s">
        <v>18</v>
      </c>
      <c r="H2431" t="s">
        <v>518</v>
      </c>
    </row>
    <row r="2432" spans="1:9">
      <c r="A2432" t="s">
        <v>565</v>
      </c>
      <c r="B2432" s="3" t="s">
        <v>566</v>
      </c>
      <c r="C2432">
        <v>-0.54900000000000004</v>
      </c>
      <c r="D2432" t="s">
        <v>104</v>
      </c>
      <c r="E2432" t="s">
        <v>37</v>
      </c>
      <c r="G2432" t="s">
        <v>18</v>
      </c>
      <c r="H2432" t="s">
        <v>518</v>
      </c>
    </row>
    <row r="2433" spans="1:9">
      <c r="A2433" t="s">
        <v>567</v>
      </c>
      <c r="C2433">
        <v>1.0900000000000001</v>
      </c>
      <c r="E2433" t="s">
        <v>7</v>
      </c>
      <c r="F2433" t="s">
        <v>135</v>
      </c>
      <c r="G2433" t="s">
        <v>27</v>
      </c>
      <c r="H2433" t="s">
        <v>537</v>
      </c>
    </row>
    <row r="2434" spans="1:9">
      <c r="A2434" t="s">
        <v>188</v>
      </c>
      <c r="C2434">
        <v>0.20499999999999999</v>
      </c>
      <c r="E2434" t="s">
        <v>7</v>
      </c>
      <c r="F2434" t="s">
        <v>135</v>
      </c>
      <c r="G2434" t="s">
        <v>27</v>
      </c>
      <c r="H2434" t="s">
        <v>537</v>
      </c>
    </row>
    <row r="2435" spans="1:9">
      <c r="A2435" t="s">
        <v>366</v>
      </c>
      <c r="C2435">
        <v>4.2999999999999997E-2</v>
      </c>
      <c r="E2435" t="s">
        <v>7</v>
      </c>
      <c r="F2435" t="s">
        <v>135</v>
      </c>
      <c r="G2435" t="s">
        <v>27</v>
      </c>
      <c r="H2435" t="s">
        <v>537</v>
      </c>
    </row>
    <row r="2436" spans="1:9">
      <c r="A2436" t="s">
        <v>359</v>
      </c>
      <c r="C2436">
        <v>6.4000000000000001E-2</v>
      </c>
      <c r="E2436" t="s">
        <v>7</v>
      </c>
      <c r="F2436" t="s">
        <v>135</v>
      </c>
      <c r="G2436" t="s">
        <v>27</v>
      </c>
      <c r="H2436" t="s">
        <v>537</v>
      </c>
    </row>
    <row r="2437" spans="1:9">
      <c r="A2437" t="s">
        <v>360</v>
      </c>
      <c r="C2437">
        <v>1.95</v>
      </c>
      <c r="E2437" t="s">
        <v>7</v>
      </c>
      <c r="F2437" t="s">
        <v>135</v>
      </c>
      <c r="G2437" t="s">
        <v>27</v>
      </c>
      <c r="H2437" t="s">
        <v>537</v>
      </c>
    </row>
    <row r="2440" spans="1:9">
      <c r="A2440" t="s">
        <v>0</v>
      </c>
      <c r="B2440" s="3" t="s">
        <v>568</v>
      </c>
    </row>
    <row r="2441" spans="1:9">
      <c r="A2441" t="s">
        <v>2</v>
      </c>
      <c r="B2441" s="3">
        <v>1</v>
      </c>
    </row>
    <row r="2442" spans="1:9">
      <c r="A2442" t="s">
        <v>3</v>
      </c>
      <c r="B2442" s="3" t="s">
        <v>568</v>
      </c>
    </row>
    <row r="2443" spans="1:9">
      <c r="A2443" t="s">
        <v>6</v>
      </c>
      <c r="B2443" s="3" t="s">
        <v>7</v>
      </c>
    </row>
    <row r="2444" spans="1:9">
      <c r="A2444" t="s">
        <v>1</v>
      </c>
      <c r="B2444" s="3" t="s">
        <v>104</v>
      </c>
    </row>
    <row r="2445" spans="1:9">
      <c r="A2445" t="s">
        <v>9</v>
      </c>
      <c r="B2445" s="3" t="s">
        <v>569</v>
      </c>
    </row>
    <row r="2447" spans="1:9">
      <c r="A2447" t="s">
        <v>10</v>
      </c>
    </row>
    <row r="2448" spans="1:9">
      <c r="A2448" t="s">
        <v>11</v>
      </c>
      <c r="B2448" s="3" t="s">
        <v>3</v>
      </c>
      <c r="C2448" t="s">
        <v>12</v>
      </c>
      <c r="D2448" t="s">
        <v>1</v>
      </c>
      <c r="E2448" t="s">
        <v>6</v>
      </c>
      <c r="F2448" t="s">
        <v>13</v>
      </c>
      <c r="G2448" t="s">
        <v>4</v>
      </c>
      <c r="H2448" t="s">
        <v>116</v>
      </c>
      <c r="I2448" t="s">
        <v>9</v>
      </c>
    </row>
    <row r="2449" spans="1:9">
      <c r="A2449" t="s">
        <v>568</v>
      </c>
      <c r="B2449" s="3" t="s">
        <v>568</v>
      </c>
      <c r="C2449">
        <v>1</v>
      </c>
      <c r="D2449" t="s">
        <v>104</v>
      </c>
      <c r="E2449" t="s">
        <v>7</v>
      </c>
      <c r="G2449" t="s">
        <v>15</v>
      </c>
      <c r="H2449" t="s">
        <v>512</v>
      </c>
    </row>
    <row r="2450" spans="1:9">
      <c r="A2450" t="s">
        <v>554</v>
      </c>
      <c r="B2450" s="3" t="s">
        <v>554</v>
      </c>
      <c r="C2450">
        <v>5.9700000000000001E-5</v>
      </c>
      <c r="D2450" t="s">
        <v>104</v>
      </c>
      <c r="E2450" t="s">
        <v>555</v>
      </c>
      <c r="G2450" t="s">
        <v>18</v>
      </c>
      <c r="H2450" t="s">
        <v>512</v>
      </c>
    </row>
    <row r="2451" spans="1:9">
      <c r="A2451" t="s">
        <v>513</v>
      </c>
      <c r="B2451" s="3" t="s">
        <v>514</v>
      </c>
      <c r="C2451">
        <v>1.4999999999999999E-5</v>
      </c>
      <c r="D2451" t="s">
        <v>103</v>
      </c>
      <c r="E2451" t="s">
        <v>7</v>
      </c>
      <c r="G2451" t="s">
        <v>18</v>
      </c>
      <c r="H2451" t="s">
        <v>512</v>
      </c>
    </row>
    <row r="2452" spans="1:9">
      <c r="A2452" t="s">
        <v>570</v>
      </c>
      <c r="B2452" s="3" t="s">
        <v>526</v>
      </c>
      <c r="C2452">
        <v>2.51E-5</v>
      </c>
      <c r="D2452" t="s">
        <v>104</v>
      </c>
      <c r="E2452" t="s">
        <v>7</v>
      </c>
      <c r="G2452" t="s">
        <v>18</v>
      </c>
      <c r="H2452" t="s">
        <v>518</v>
      </c>
    </row>
    <row r="2453" spans="1:9">
      <c r="A2453" t="s">
        <v>558</v>
      </c>
      <c r="B2453" s="3" t="s">
        <v>559</v>
      </c>
      <c r="C2453">
        <v>2.735E-3</v>
      </c>
      <c r="D2453" t="s">
        <v>103</v>
      </c>
      <c r="E2453" t="s">
        <v>7</v>
      </c>
      <c r="G2453" t="s">
        <v>18</v>
      </c>
      <c r="H2453" t="s">
        <v>518</v>
      </c>
      <c r="I2453" t="s">
        <v>560</v>
      </c>
    </row>
    <row r="2454" spans="1:9">
      <c r="A2454" t="s">
        <v>561</v>
      </c>
      <c r="B2454" s="3" t="s">
        <v>562</v>
      </c>
      <c r="C2454">
        <v>2.735E-3</v>
      </c>
      <c r="D2454" t="s">
        <v>103</v>
      </c>
      <c r="E2454" t="s">
        <v>7</v>
      </c>
      <c r="G2454" t="s">
        <v>18</v>
      </c>
      <c r="H2454" t="s">
        <v>518</v>
      </c>
      <c r="I2454" t="s">
        <v>560</v>
      </c>
    </row>
    <row r="2455" spans="1:9">
      <c r="A2455" t="s">
        <v>571</v>
      </c>
      <c r="B2455" s="3" t="s">
        <v>572</v>
      </c>
      <c r="C2455">
        <v>2.7800000000000001E-8</v>
      </c>
      <c r="D2455" t="s">
        <v>104</v>
      </c>
      <c r="E2455" t="s">
        <v>37</v>
      </c>
      <c r="G2455" t="s">
        <v>18</v>
      </c>
      <c r="H2455" t="s">
        <v>518</v>
      </c>
    </row>
    <row r="2456" spans="1:9">
      <c r="A2456" t="s">
        <v>573</v>
      </c>
      <c r="B2456" s="3" t="s">
        <v>574</v>
      </c>
      <c r="C2456">
        <v>1.1899999999999999E-4</v>
      </c>
      <c r="D2456" t="s">
        <v>24</v>
      </c>
      <c r="E2456" t="s">
        <v>7</v>
      </c>
      <c r="G2456" t="s">
        <v>18</v>
      </c>
      <c r="H2456" t="s">
        <v>518</v>
      </c>
    </row>
    <row r="2457" spans="1:9">
      <c r="A2457" t="s">
        <v>575</v>
      </c>
      <c r="B2457" s="3" t="s">
        <v>575</v>
      </c>
      <c r="C2457">
        <v>1.1899999999999999E-4</v>
      </c>
      <c r="D2457" t="s">
        <v>103</v>
      </c>
      <c r="E2457" t="s">
        <v>7</v>
      </c>
      <c r="G2457" t="s">
        <v>18</v>
      </c>
      <c r="H2457" t="s">
        <v>518</v>
      </c>
    </row>
    <row r="2458" spans="1:9">
      <c r="A2458" t="s">
        <v>576</v>
      </c>
      <c r="B2458" s="3" t="s">
        <v>577</v>
      </c>
      <c r="C2458">
        <v>-1.1899999999999999E-4</v>
      </c>
      <c r="D2458" t="s">
        <v>104</v>
      </c>
      <c r="E2458" t="s">
        <v>7</v>
      </c>
      <c r="G2458" t="s">
        <v>18</v>
      </c>
      <c r="H2458" t="s">
        <v>518</v>
      </c>
    </row>
    <row r="2459" spans="1:9">
      <c r="A2459" t="s">
        <v>578</v>
      </c>
      <c r="B2459" s="3" t="s">
        <v>579</v>
      </c>
      <c r="C2459">
        <v>-4.5600000000000004E-5</v>
      </c>
      <c r="D2459" t="s">
        <v>104</v>
      </c>
      <c r="E2459" t="s">
        <v>7</v>
      </c>
      <c r="G2459" t="s">
        <v>18</v>
      </c>
      <c r="H2459" t="s">
        <v>518</v>
      </c>
    </row>
    <row r="2460" spans="1:9">
      <c r="A2460" t="s">
        <v>580</v>
      </c>
      <c r="B2460" s="3" t="s">
        <v>581</v>
      </c>
      <c r="C2460">
        <v>-6.6699999999999995E-5</v>
      </c>
      <c r="D2460" t="s">
        <v>104</v>
      </c>
      <c r="E2460" t="s">
        <v>7</v>
      </c>
      <c r="G2460" t="s">
        <v>18</v>
      </c>
      <c r="H2460" t="s">
        <v>518</v>
      </c>
    </row>
    <row r="2461" spans="1:9">
      <c r="A2461" t="s">
        <v>582</v>
      </c>
      <c r="C2461">
        <v>1.0200000000000001E-5</v>
      </c>
      <c r="E2461" t="s">
        <v>583</v>
      </c>
      <c r="F2461" t="s">
        <v>584</v>
      </c>
      <c r="G2461" t="s">
        <v>27</v>
      </c>
      <c r="H2461" t="s">
        <v>537</v>
      </c>
    </row>
    <row r="2462" spans="1:9">
      <c r="A2462" t="s">
        <v>585</v>
      </c>
      <c r="C2462">
        <v>5.0999999999999999E-7</v>
      </c>
      <c r="E2462" t="s">
        <v>586</v>
      </c>
      <c r="F2462" t="s">
        <v>584</v>
      </c>
      <c r="G2462" t="s">
        <v>27</v>
      </c>
      <c r="H2462" t="s">
        <v>537</v>
      </c>
    </row>
    <row r="2463" spans="1:9">
      <c r="A2463" t="s">
        <v>587</v>
      </c>
      <c r="C2463">
        <v>5.0999999999999999E-7</v>
      </c>
      <c r="E2463" t="s">
        <v>586</v>
      </c>
      <c r="F2463" t="s">
        <v>584</v>
      </c>
      <c r="G2463" t="s">
        <v>27</v>
      </c>
      <c r="H2463" t="s">
        <v>537</v>
      </c>
    </row>
    <row r="2464" spans="1:9">
      <c r="A2464" t="s">
        <v>448</v>
      </c>
      <c r="C2464">
        <v>0</v>
      </c>
      <c r="E2464" t="s">
        <v>7</v>
      </c>
      <c r="F2464" t="s">
        <v>135</v>
      </c>
      <c r="G2464" t="s">
        <v>27</v>
      </c>
      <c r="H2464" t="s">
        <v>537</v>
      </c>
      <c r="I2464" t="s">
        <v>588</v>
      </c>
    </row>
    <row r="2467" spans="1:9">
      <c r="A2467" t="s">
        <v>0</v>
      </c>
      <c r="B2467" s="3" t="s">
        <v>589</v>
      </c>
    </row>
    <row r="2468" spans="1:9">
      <c r="A2468" t="s">
        <v>2</v>
      </c>
      <c r="B2468" s="3">
        <v>1</v>
      </c>
    </row>
    <row r="2469" spans="1:9">
      <c r="A2469" t="s">
        <v>3</v>
      </c>
      <c r="B2469" s="3" t="s">
        <v>590</v>
      </c>
    </row>
    <row r="2470" spans="1:9">
      <c r="A2470" t="s">
        <v>6</v>
      </c>
      <c r="B2470" s="3" t="s">
        <v>7</v>
      </c>
    </row>
    <row r="2471" spans="1:9">
      <c r="A2471" t="s">
        <v>1</v>
      </c>
      <c r="B2471" s="3" t="s">
        <v>104</v>
      </c>
    </row>
    <row r="2472" spans="1:9">
      <c r="A2472" t="s">
        <v>9</v>
      </c>
      <c r="B2472" s="3" t="s">
        <v>591</v>
      </c>
    </row>
    <row r="2474" spans="1:9">
      <c r="A2474" t="s">
        <v>10</v>
      </c>
    </row>
    <row r="2475" spans="1:9">
      <c r="A2475" t="s">
        <v>11</v>
      </c>
      <c r="B2475" s="3" t="s">
        <v>3</v>
      </c>
      <c r="C2475" t="s">
        <v>12</v>
      </c>
      <c r="D2475" t="s">
        <v>1</v>
      </c>
      <c r="E2475" t="s">
        <v>6</v>
      </c>
      <c r="F2475" t="s">
        <v>13</v>
      </c>
      <c r="G2475" t="s">
        <v>4</v>
      </c>
      <c r="H2475" t="s">
        <v>116</v>
      </c>
      <c r="I2475" t="s">
        <v>9</v>
      </c>
    </row>
    <row r="2476" spans="1:9">
      <c r="A2476" t="s">
        <v>589</v>
      </c>
      <c r="B2476" s="3" t="s">
        <v>590</v>
      </c>
      <c r="C2476">
        <v>1</v>
      </c>
      <c r="D2476" t="s">
        <v>104</v>
      </c>
      <c r="E2476" t="s">
        <v>7</v>
      </c>
      <c r="G2476" t="s">
        <v>15</v>
      </c>
      <c r="H2476" t="s">
        <v>512</v>
      </c>
    </row>
    <row r="2477" spans="1:9">
      <c r="A2477" t="s">
        <v>568</v>
      </c>
      <c r="B2477" s="3" t="s">
        <v>568</v>
      </c>
      <c r="C2477">
        <v>1</v>
      </c>
      <c r="D2477" t="s">
        <v>104</v>
      </c>
      <c r="E2477" t="s">
        <v>7</v>
      </c>
      <c r="G2477" t="s">
        <v>18</v>
      </c>
      <c r="H2477" t="s">
        <v>512</v>
      </c>
      <c r="I2477" t="s">
        <v>592</v>
      </c>
    </row>
    <row r="2478" spans="1:9">
      <c r="A2478" t="s">
        <v>287</v>
      </c>
      <c r="B2478" s="3" t="s">
        <v>286</v>
      </c>
      <c r="C2478">
        <v>9.5150000000000012E-2</v>
      </c>
      <c r="D2478" t="s">
        <v>104</v>
      </c>
      <c r="E2478" t="s">
        <v>125</v>
      </c>
      <c r="G2478" t="s">
        <v>18</v>
      </c>
      <c r="H2478" t="s">
        <v>518</v>
      </c>
    </row>
    <row r="2479" spans="1:9">
      <c r="A2479" t="s">
        <v>593</v>
      </c>
      <c r="B2479" s="3" t="s">
        <v>594</v>
      </c>
      <c r="C2479">
        <v>1.08E-9</v>
      </c>
      <c r="D2479" t="s">
        <v>103</v>
      </c>
      <c r="E2479" t="s">
        <v>6</v>
      </c>
      <c r="G2479" t="s">
        <v>18</v>
      </c>
      <c r="H2479" t="s">
        <v>518</v>
      </c>
    </row>
    <row r="2480" spans="1:9">
      <c r="A2480" t="s">
        <v>595</v>
      </c>
      <c r="B2480" s="3" t="s">
        <v>596</v>
      </c>
      <c r="C2480">
        <v>3.0800000000000004E-8</v>
      </c>
      <c r="D2480" t="s">
        <v>24</v>
      </c>
      <c r="E2480" t="s">
        <v>6</v>
      </c>
      <c r="G2480" t="s">
        <v>18</v>
      </c>
      <c r="H2480" t="s">
        <v>518</v>
      </c>
    </row>
    <row r="2481" spans="1:8">
      <c r="A2481" t="s">
        <v>597</v>
      </c>
      <c r="B2481" s="3" t="s">
        <v>598</v>
      </c>
      <c r="C2481">
        <v>1.4700000000000001E-7</v>
      </c>
      <c r="D2481" t="s">
        <v>24</v>
      </c>
      <c r="E2481" t="s">
        <v>7</v>
      </c>
      <c r="G2481" t="s">
        <v>18</v>
      </c>
      <c r="H2481" t="s">
        <v>518</v>
      </c>
    </row>
    <row r="2482" spans="1:8">
      <c r="A2482" t="s">
        <v>571</v>
      </c>
      <c r="B2482" s="3" t="s">
        <v>572</v>
      </c>
      <c r="C2482">
        <v>1.2E-8</v>
      </c>
      <c r="D2482" t="s">
        <v>104</v>
      </c>
      <c r="E2482" t="s">
        <v>37</v>
      </c>
      <c r="G2482" t="s">
        <v>18</v>
      </c>
      <c r="H2482" t="s">
        <v>518</v>
      </c>
    </row>
    <row r="2483" spans="1:8">
      <c r="A2483" t="s">
        <v>573</v>
      </c>
      <c r="B2483" s="3" t="s">
        <v>574</v>
      </c>
      <c r="C2483">
        <v>3.7299999999999999E-5</v>
      </c>
      <c r="D2483" t="s">
        <v>24</v>
      </c>
      <c r="E2483" t="s">
        <v>7</v>
      </c>
      <c r="G2483" t="s">
        <v>18</v>
      </c>
      <c r="H2483" t="s">
        <v>518</v>
      </c>
    </row>
    <row r="2484" spans="1:8">
      <c r="A2484" t="s">
        <v>148</v>
      </c>
      <c r="B2484" s="3" t="s">
        <v>169</v>
      </c>
      <c r="C2484">
        <v>9.9799999999999994E-8</v>
      </c>
      <c r="D2484" t="s">
        <v>103</v>
      </c>
      <c r="E2484" t="s">
        <v>7</v>
      </c>
      <c r="G2484" t="s">
        <v>18</v>
      </c>
      <c r="H2484" t="s">
        <v>518</v>
      </c>
    </row>
    <row r="2485" spans="1:8">
      <c r="A2485" t="s">
        <v>538</v>
      </c>
      <c r="B2485" s="3" t="s">
        <v>599</v>
      </c>
      <c r="C2485">
        <v>0.7641</v>
      </c>
      <c r="D2485" t="s">
        <v>104</v>
      </c>
      <c r="E2485" t="s">
        <v>17</v>
      </c>
      <c r="G2485" t="s">
        <v>18</v>
      </c>
      <c r="H2485" t="s">
        <v>518</v>
      </c>
    </row>
    <row r="2486" spans="1:8">
      <c r="A2486" t="s">
        <v>600</v>
      </c>
      <c r="B2486" s="3" t="s">
        <v>581</v>
      </c>
      <c r="C2486">
        <v>-2.87E-5</v>
      </c>
      <c r="D2486" t="s">
        <v>104</v>
      </c>
      <c r="E2486" t="s">
        <v>7</v>
      </c>
      <c r="G2486" t="s">
        <v>18</v>
      </c>
      <c r="H2486" t="s">
        <v>518</v>
      </c>
    </row>
    <row r="2487" spans="1:8">
      <c r="A2487" t="s">
        <v>601</v>
      </c>
      <c r="B2487" s="3" t="s">
        <v>602</v>
      </c>
      <c r="C2487">
        <v>-1.3899999999999999E-7</v>
      </c>
      <c r="D2487" t="s">
        <v>104</v>
      </c>
      <c r="E2487" t="s">
        <v>7</v>
      </c>
      <c r="G2487" t="s">
        <v>18</v>
      </c>
      <c r="H2487" t="s">
        <v>518</v>
      </c>
    </row>
    <row r="2488" spans="1:8">
      <c r="A2488" t="s">
        <v>603</v>
      </c>
      <c r="B2488" s="3" t="s">
        <v>604</v>
      </c>
      <c r="C2488">
        <v>-1.4700000000000001E-7</v>
      </c>
      <c r="D2488" t="s">
        <v>104</v>
      </c>
      <c r="E2488" t="s">
        <v>7</v>
      </c>
      <c r="G2488" t="s">
        <v>18</v>
      </c>
      <c r="H2488" t="s">
        <v>518</v>
      </c>
    </row>
    <row r="2489" spans="1:8">
      <c r="A2489" t="s">
        <v>576</v>
      </c>
      <c r="B2489" s="3" t="s">
        <v>577</v>
      </c>
      <c r="C2489">
        <v>-3.7299999999999999E-5</v>
      </c>
      <c r="D2489" t="s">
        <v>104</v>
      </c>
      <c r="E2489" t="s">
        <v>7</v>
      </c>
      <c r="G2489" t="s">
        <v>18</v>
      </c>
      <c r="H2489" t="s">
        <v>518</v>
      </c>
    </row>
    <row r="2490" spans="1:8">
      <c r="A2490" t="s">
        <v>565</v>
      </c>
      <c r="B2490" s="3" t="s">
        <v>566</v>
      </c>
      <c r="C2490">
        <v>-8.2799999999999987E-6</v>
      </c>
      <c r="D2490" t="s">
        <v>104</v>
      </c>
      <c r="E2490" t="s">
        <v>37</v>
      </c>
      <c r="G2490" t="s">
        <v>18</v>
      </c>
      <c r="H2490" t="s">
        <v>518</v>
      </c>
    </row>
    <row r="2491" spans="1:8">
      <c r="A2491" t="s">
        <v>582</v>
      </c>
      <c r="C2491">
        <v>5.1100000000000002E-6</v>
      </c>
      <c r="E2491" t="s">
        <v>583</v>
      </c>
      <c r="F2491" t="s">
        <v>584</v>
      </c>
      <c r="G2491" t="s">
        <v>27</v>
      </c>
      <c r="H2491" t="s">
        <v>537</v>
      </c>
    </row>
    <row r="2492" spans="1:8">
      <c r="A2492" t="s">
        <v>585</v>
      </c>
      <c r="C2492">
        <v>2.5599999999999996E-7</v>
      </c>
      <c r="E2492" t="s">
        <v>586</v>
      </c>
      <c r="F2492" t="s">
        <v>584</v>
      </c>
      <c r="G2492" t="s">
        <v>27</v>
      </c>
      <c r="H2492" t="s">
        <v>537</v>
      </c>
    </row>
    <row r="2493" spans="1:8">
      <c r="A2493" t="s">
        <v>587</v>
      </c>
      <c r="C2493">
        <v>2.5599999999999996E-7</v>
      </c>
      <c r="E2493" t="s">
        <v>586</v>
      </c>
      <c r="F2493" t="s">
        <v>584</v>
      </c>
      <c r="G2493" t="s">
        <v>27</v>
      </c>
      <c r="H2493" t="s">
        <v>537</v>
      </c>
    </row>
    <row r="2494" spans="1:8">
      <c r="A2494" t="s">
        <v>143</v>
      </c>
      <c r="C2494">
        <v>3.2699999999999999E-3</v>
      </c>
      <c r="E2494" t="s">
        <v>7</v>
      </c>
      <c r="F2494" t="s">
        <v>135</v>
      </c>
      <c r="G2494" t="s">
        <v>27</v>
      </c>
      <c r="H2494" t="s">
        <v>537</v>
      </c>
    </row>
    <row r="2495" spans="1:8">
      <c r="A2495" t="s">
        <v>188</v>
      </c>
      <c r="C2495">
        <v>9.9799999999999994E-8</v>
      </c>
      <c r="E2495" t="s">
        <v>7</v>
      </c>
      <c r="F2495" t="s">
        <v>135</v>
      </c>
      <c r="G2495" t="s">
        <v>27</v>
      </c>
      <c r="H2495" t="s">
        <v>537</v>
      </c>
    </row>
    <row r="2498" spans="1:9">
      <c r="A2498" t="s">
        <v>0</v>
      </c>
      <c r="B2498" s="3" t="s">
        <v>605</v>
      </c>
    </row>
    <row r="2499" spans="1:9">
      <c r="A2499" t="s">
        <v>2</v>
      </c>
      <c r="B2499" s="3">
        <v>1</v>
      </c>
    </row>
    <row r="2500" spans="1:9">
      <c r="A2500" t="s">
        <v>3</v>
      </c>
      <c r="B2500" s="3" t="s">
        <v>606</v>
      </c>
    </row>
    <row r="2501" spans="1:9">
      <c r="A2501" t="s">
        <v>6</v>
      </c>
      <c r="B2501" s="3" t="s">
        <v>7</v>
      </c>
    </row>
    <row r="2502" spans="1:9">
      <c r="A2502" t="s">
        <v>1</v>
      </c>
      <c r="B2502" s="3" t="s">
        <v>104</v>
      </c>
    </row>
    <row r="2503" spans="1:9">
      <c r="A2503" t="s">
        <v>9</v>
      </c>
      <c r="B2503" s="3" t="s">
        <v>607</v>
      </c>
    </row>
    <row r="2505" spans="1:9">
      <c r="A2505" t="s">
        <v>10</v>
      </c>
    </row>
    <row r="2506" spans="1:9">
      <c r="A2506" t="s">
        <v>11</v>
      </c>
      <c r="B2506" s="3" t="s">
        <v>3</v>
      </c>
      <c r="C2506" t="s">
        <v>12</v>
      </c>
      <c r="D2506" t="s">
        <v>1</v>
      </c>
      <c r="E2506" t="s">
        <v>6</v>
      </c>
      <c r="F2506" t="s">
        <v>13</v>
      </c>
      <c r="G2506" t="s">
        <v>4</v>
      </c>
      <c r="H2506" t="s">
        <v>116</v>
      </c>
      <c r="I2506" t="s">
        <v>9</v>
      </c>
    </row>
    <row r="2507" spans="1:9">
      <c r="A2507" t="s">
        <v>605</v>
      </c>
      <c r="B2507" s="3" t="s">
        <v>606</v>
      </c>
      <c r="C2507">
        <v>1</v>
      </c>
      <c r="D2507" t="s">
        <v>104</v>
      </c>
      <c r="E2507" t="s">
        <v>7</v>
      </c>
      <c r="G2507" t="s">
        <v>15</v>
      </c>
      <c r="H2507" t="s">
        <v>512</v>
      </c>
    </row>
    <row r="2508" spans="1:9">
      <c r="A2508" t="s">
        <v>589</v>
      </c>
      <c r="B2508" s="3" t="s">
        <v>590</v>
      </c>
      <c r="C2508">
        <v>1</v>
      </c>
      <c r="D2508" t="s">
        <v>104</v>
      </c>
      <c r="E2508" t="s">
        <v>7</v>
      </c>
      <c r="G2508" t="s">
        <v>18</v>
      </c>
      <c r="H2508" t="s">
        <v>512</v>
      </c>
      <c r="I2508" t="s">
        <v>592</v>
      </c>
    </row>
    <row r="2509" spans="1:9">
      <c r="A2509" t="s">
        <v>552</v>
      </c>
      <c r="B2509" s="3" t="s">
        <v>552</v>
      </c>
      <c r="C2509">
        <v>7.1999999999999994E-4</v>
      </c>
      <c r="D2509" t="s">
        <v>104</v>
      </c>
      <c r="E2509" t="s">
        <v>17</v>
      </c>
      <c r="G2509" t="s">
        <v>18</v>
      </c>
      <c r="H2509" t="s">
        <v>518</v>
      </c>
    </row>
    <row r="2510" spans="1:9">
      <c r="A2510" t="s">
        <v>575</v>
      </c>
      <c r="B2510" s="3" t="s">
        <v>575</v>
      </c>
      <c r="C2510">
        <v>8.8500000000000004E-4</v>
      </c>
      <c r="D2510" t="s">
        <v>103</v>
      </c>
      <c r="E2510" t="s">
        <v>7</v>
      </c>
      <c r="G2510" t="s">
        <v>18</v>
      </c>
      <c r="H2510" t="s">
        <v>518</v>
      </c>
    </row>
    <row r="2511" spans="1:9">
      <c r="A2511" t="s">
        <v>608</v>
      </c>
      <c r="B2511" s="3" t="s">
        <v>574</v>
      </c>
      <c r="C2511">
        <v>8.8500000000000004E-4</v>
      </c>
      <c r="D2511" t="s">
        <v>103</v>
      </c>
      <c r="E2511" t="s">
        <v>7</v>
      </c>
      <c r="G2511" t="s">
        <v>18</v>
      </c>
      <c r="H2511" t="s">
        <v>518</v>
      </c>
    </row>
    <row r="2512" spans="1:9">
      <c r="A2512" t="s">
        <v>571</v>
      </c>
      <c r="B2512" s="3" t="s">
        <v>572</v>
      </c>
      <c r="C2512">
        <v>2.1200000000000001E-8</v>
      </c>
      <c r="D2512" t="s">
        <v>104</v>
      </c>
      <c r="E2512" t="s">
        <v>37</v>
      </c>
      <c r="G2512" t="s">
        <v>18</v>
      </c>
      <c r="H2512" t="s">
        <v>518</v>
      </c>
    </row>
    <row r="2513" spans="1:9">
      <c r="A2513" t="s">
        <v>600</v>
      </c>
      <c r="B2513" s="3" t="s">
        <v>581</v>
      </c>
      <c r="C2513">
        <v>-5.1E-5</v>
      </c>
      <c r="D2513" t="s">
        <v>104</v>
      </c>
      <c r="E2513" t="s">
        <v>7</v>
      </c>
      <c r="G2513" t="s">
        <v>18</v>
      </c>
      <c r="H2513" t="s">
        <v>518</v>
      </c>
    </row>
    <row r="2514" spans="1:9">
      <c r="A2514" t="s">
        <v>576</v>
      </c>
      <c r="B2514" s="3" t="s">
        <v>577</v>
      </c>
      <c r="C2514">
        <v>-8.8500000000000004E-4</v>
      </c>
      <c r="D2514" t="s">
        <v>104</v>
      </c>
      <c r="E2514" t="s">
        <v>7</v>
      </c>
      <c r="G2514" t="s">
        <v>18</v>
      </c>
      <c r="H2514" t="s">
        <v>518</v>
      </c>
    </row>
    <row r="2517" spans="1:9">
      <c r="A2517" t="s">
        <v>0</v>
      </c>
      <c r="B2517" s="3" t="s">
        <v>609</v>
      </c>
    </row>
    <row r="2518" spans="1:9">
      <c r="A2518" t="s">
        <v>2</v>
      </c>
      <c r="B2518" s="3">
        <v>1</v>
      </c>
    </row>
    <row r="2519" spans="1:9">
      <c r="A2519" t="s">
        <v>3</v>
      </c>
      <c r="B2519" s="3" t="s">
        <v>610</v>
      </c>
    </row>
    <row r="2520" spans="1:9">
      <c r="A2520" t="s">
        <v>6</v>
      </c>
      <c r="B2520" s="3" t="s">
        <v>7</v>
      </c>
    </row>
    <row r="2521" spans="1:9">
      <c r="A2521" t="s">
        <v>1</v>
      </c>
      <c r="B2521" s="3" t="s">
        <v>104</v>
      </c>
    </row>
    <row r="2522" spans="1:9">
      <c r="A2522" t="s">
        <v>9</v>
      </c>
      <c r="B2522" s="3" t="s">
        <v>611</v>
      </c>
    </row>
    <row r="2524" spans="1:9">
      <c r="A2524" t="s">
        <v>10</v>
      </c>
    </row>
    <row r="2525" spans="1:9">
      <c r="A2525" t="s">
        <v>11</v>
      </c>
      <c r="B2525" s="3" t="s">
        <v>3</v>
      </c>
      <c r="C2525" t="s">
        <v>12</v>
      </c>
      <c r="D2525" t="s">
        <v>1</v>
      </c>
      <c r="E2525" t="s">
        <v>6</v>
      </c>
      <c r="F2525" t="s">
        <v>13</v>
      </c>
      <c r="G2525" t="s">
        <v>4</v>
      </c>
      <c r="H2525" t="s">
        <v>116</v>
      </c>
      <c r="I2525" t="s">
        <v>9</v>
      </c>
    </row>
    <row r="2526" spans="1:9">
      <c r="A2526" t="s">
        <v>609</v>
      </c>
      <c r="B2526" s="3" t="s">
        <v>610</v>
      </c>
      <c r="C2526">
        <v>1</v>
      </c>
      <c r="D2526" t="s">
        <v>104</v>
      </c>
      <c r="E2526" t="s">
        <v>7</v>
      </c>
      <c r="G2526" t="s">
        <v>15</v>
      </c>
      <c r="H2526" t="s">
        <v>512</v>
      </c>
    </row>
    <row r="2527" spans="1:9">
      <c r="A2527" t="s">
        <v>605</v>
      </c>
      <c r="B2527" s="3" t="s">
        <v>606</v>
      </c>
      <c r="C2527">
        <v>1.0416666666666698</v>
      </c>
      <c r="D2527" t="s">
        <v>104</v>
      </c>
      <c r="E2527" t="s">
        <v>7</v>
      </c>
      <c r="G2527" t="s">
        <v>18</v>
      </c>
      <c r="H2527" t="s">
        <v>512</v>
      </c>
    </row>
    <row r="2528" spans="1:9">
      <c r="A2528" t="s">
        <v>612</v>
      </c>
      <c r="B2528" s="3" t="s">
        <v>612</v>
      </c>
      <c r="C2528">
        <v>0.12533119999999998</v>
      </c>
      <c r="D2528" t="s">
        <v>103</v>
      </c>
      <c r="E2528" t="s">
        <v>28</v>
      </c>
      <c r="G2528" t="s">
        <v>18</v>
      </c>
      <c r="H2528" t="s">
        <v>518</v>
      </c>
      <c r="I2528" t="s">
        <v>613</v>
      </c>
    </row>
    <row r="2529" spans="1:9">
      <c r="A2529" t="s">
        <v>573</v>
      </c>
      <c r="B2529" s="3" t="s">
        <v>574</v>
      </c>
      <c r="C2529">
        <v>1.3799999999999999E-3</v>
      </c>
      <c r="D2529" t="s">
        <v>24</v>
      </c>
      <c r="E2529" t="s">
        <v>7</v>
      </c>
      <c r="G2529" t="s">
        <v>18</v>
      </c>
      <c r="H2529" t="s">
        <v>518</v>
      </c>
    </row>
    <row r="2530" spans="1:9">
      <c r="A2530" t="s">
        <v>614</v>
      </c>
      <c r="B2530" s="3" t="s">
        <v>575</v>
      </c>
      <c r="C2530">
        <v>1.3799999999999999E-3</v>
      </c>
      <c r="D2530" t="s">
        <v>24</v>
      </c>
      <c r="E2530" t="s">
        <v>7</v>
      </c>
      <c r="G2530" t="s">
        <v>18</v>
      </c>
      <c r="H2530" t="s">
        <v>518</v>
      </c>
    </row>
    <row r="2533" spans="1:9">
      <c r="A2533" t="s">
        <v>0</v>
      </c>
      <c r="B2533" s="3" t="s">
        <v>615</v>
      </c>
    </row>
    <row r="2534" spans="1:9">
      <c r="A2534" t="s">
        <v>2</v>
      </c>
      <c r="B2534" s="3">
        <v>1</v>
      </c>
    </row>
    <row r="2535" spans="1:9">
      <c r="A2535" t="s">
        <v>3</v>
      </c>
      <c r="B2535" s="3" t="s">
        <v>616</v>
      </c>
    </row>
    <row r="2536" spans="1:9">
      <c r="A2536" t="s">
        <v>6</v>
      </c>
      <c r="B2536" s="3" t="s">
        <v>7</v>
      </c>
    </row>
    <row r="2537" spans="1:9">
      <c r="A2537" t="s">
        <v>1</v>
      </c>
      <c r="B2537" s="3" t="s">
        <v>104</v>
      </c>
    </row>
    <row r="2538" spans="1:9">
      <c r="A2538" t="s">
        <v>9</v>
      </c>
      <c r="B2538" s="3" t="s">
        <v>617</v>
      </c>
    </row>
    <row r="2540" spans="1:9">
      <c r="A2540" t="s">
        <v>10</v>
      </c>
    </row>
    <row r="2541" spans="1:9">
      <c r="A2541" t="s">
        <v>11</v>
      </c>
      <c r="B2541" s="3" t="s">
        <v>3</v>
      </c>
      <c r="C2541" t="s">
        <v>12</v>
      </c>
      <c r="D2541" t="s">
        <v>1</v>
      </c>
      <c r="E2541" t="s">
        <v>6</v>
      </c>
      <c r="F2541" t="s">
        <v>13</v>
      </c>
      <c r="G2541" t="s">
        <v>4</v>
      </c>
      <c r="H2541" t="s">
        <v>116</v>
      </c>
      <c r="I2541" t="s">
        <v>9</v>
      </c>
    </row>
    <row r="2542" spans="1:9">
      <c r="A2542" t="s">
        <v>615</v>
      </c>
      <c r="B2542" s="3" t="s">
        <v>616</v>
      </c>
      <c r="C2542">
        <v>1</v>
      </c>
      <c r="D2542" t="s">
        <v>104</v>
      </c>
      <c r="E2542" t="s">
        <v>7</v>
      </c>
      <c r="G2542" t="s">
        <v>15</v>
      </c>
      <c r="H2542" t="s">
        <v>512</v>
      </c>
    </row>
    <row r="2543" spans="1:9">
      <c r="A2543" t="s">
        <v>609</v>
      </c>
      <c r="B2543" s="3" t="s">
        <v>610</v>
      </c>
      <c r="C2543">
        <v>1</v>
      </c>
      <c r="D2543" t="s">
        <v>104</v>
      </c>
      <c r="E2543" t="s">
        <v>7</v>
      </c>
      <c r="G2543" t="s">
        <v>18</v>
      </c>
      <c r="H2543" t="s">
        <v>512</v>
      </c>
      <c r="I2543" t="s">
        <v>618</v>
      </c>
    </row>
    <row r="2544" spans="1:9">
      <c r="A2544" t="s">
        <v>287</v>
      </c>
      <c r="B2544" s="3" t="s">
        <v>286</v>
      </c>
      <c r="C2544">
        <v>0.1</v>
      </c>
      <c r="D2544" t="s">
        <v>104</v>
      </c>
      <c r="E2544" t="s">
        <v>125</v>
      </c>
      <c r="G2544" t="s">
        <v>18</v>
      </c>
      <c r="H2544" t="s">
        <v>518</v>
      </c>
      <c r="I2544" t="s">
        <v>619</v>
      </c>
    </row>
    <row r="2547" spans="1:9">
      <c r="A2547" t="s">
        <v>0</v>
      </c>
      <c r="B2547" s="3" t="s">
        <v>620</v>
      </c>
    </row>
    <row r="2548" spans="1:9">
      <c r="A2548" t="s">
        <v>2</v>
      </c>
      <c r="B2548" s="3">
        <v>1</v>
      </c>
    </row>
    <row r="2549" spans="1:9">
      <c r="A2549" t="s">
        <v>3</v>
      </c>
      <c r="B2549" s="3" t="s">
        <v>621</v>
      </c>
    </row>
    <row r="2550" spans="1:9">
      <c r="A2550" t="s">
        <v>6</v>
      </c>
      <c r="B2550" s="3" t="s">
        <v>7</v>
      </c>
    </row>
    <row r="2551" spans="1:9">
      <c r="A2551" t="s">
        <v>1</v>
      </c>
      <c r="B2551" s="3" t="s">
        <v>104</v>
      </c>
    </row>
    <row r="2552" spans="1:9">
      <c r="A2552" t="s">
        <v>9</v>
      </c>
      <c r="B2552" s="3" t="s">
        <v>622</v>
      </c>
    </row>
    <row r="2554" spans="1:9">
      <c r="A2554" t="s">
        <v>10</v>
      </c>
    </row>
    <row r="2555" spans="1:9">
      <c r="A2555" t="s">
        <v>11</v>
      </c>
      <c r="B2555" s="3" t="s">
        <v>3</v>
      </c>
      <c r="C2555" t="s">
        <v>12</v>
      </c>
      <c r="D2555" t="s">
        <v>1</v>
      </c>
      <c r="E2555" t="s">
        <v>6</v>
      </c>
      <c r="F2555" t="s">
        <v>13</v>
      </c>
      <c r="G2555" t="s">
        <v>4</v>
      </c>
      <c r="H2555" t="s">
        <v>116</v>
      </c>
      <c r="I2555" t="s">
        <v>9</v>
      </c>
    </row>
    <row r="2556" spans="1:9">
      <c r="A2556" t="s">
        <v>620</v>
      </c>
      <c r="B2556" s="3" t="s">
        <v>621</v>
      </c>
      <c r="C2556">
        <v>1</v>
      </c>
      <c r="D2556" t="s">
        <v>104</v>
      </c>
      <c r="E2556" t="s">
        <v>7</v>
      </c>
      <c r="G2556" t="s">
        <v>15</v>
      </c>
      <c r="H2556" t="s">
        <v>512</v>
      </c>
    </row>
    <row r="2557" spans="1:9">
      <c r="A2557" t="s">
        <v>615</v>
      </c>
      <c r="B2557" s="3" t="s">
        <v>616</v>
      </c>
      <c r="C2557">
        <v>1</v>
      </c>
      <c r="D2557" t="s">
        <v>104</v>
      </c>
      <c r="E2557" t="s">
        <v>7</v>
      </c>
      <c r="G2557" t="s">
        <v>18</v>
      </c>
      <c r="H2557" t="s">
        <v>512</v>
      </c>
      <c r="I2557" t="s">
        <v>618</v>
      </c>
    </row>
    <row r="2558" spans="1:9">
      <c r="A2558" t="s">
        <v>287</v>
      </c>
      <c r="B2558" s="3" t="s">
        <v>286</v>
      </c>
      <c r="C2558">
        <v>0.1</v>
      </c>
      <c r="D2558" t="s">
        <v>104</v>
      </c>
      <c r="E2558" t="s">
        <v>125</v>
      </c>
      <c r="G2558" t="s">
        <v>18</v>
      </c>
      <c r="H2558" t="s">
        <v>518</v>
      </c>
      <c r="I2558" t="s">
        <v>623</v>
      </c>
    </row>
    <row r="2561" spans="1:9">
      <c r="A2561" t="s">
        <v>0</v>
      </c>
      <c r="B2561" s="3" t="s">
        <v>624</v>
      </c>
    </row>
    <row r="2562" spans="1:9">
      <c r="A2562" t="s">
        <v>2</v>
      </c>
      <c r="B2562" s="3">
        <v>1</v>
      </c>
    </row>
    <row r="2563" spans="1:9">
      <c r="A2563" t="s">
        <v>3</v>
      </c>
      <c r="B2563" s="3" t="s">
        <v>624</v>
      </c>
    </row>
    <row r="2564" spans="1:9">
      <c r="A2564" t="s">
        <v>6</v>
      </c>
      <c r="B2564" s="3" t="s">
        <v>7</v>
      </c>
    </row>
    <row r="2565" spans="1:9">
      <c r="A2565" t="s">
        <v>1</v>
      </c>
      <c r="B2565" s="3" t="s">
        <v>104</v>
      </c>
    </row>
    <row r="2566" spans="1:9">
      <c r="A2566" t="s">
        <v>9</v>
      </c>
      <c r="B2566" s="3" t="s">
        <v>569</v>
      </c>
    </row>
    <row r="2568" spans="1:9">
      <c r="A2568" t="s">
        <v>10</v>
      </c>
    </row>
    <row r="2569" spans="1:9">
      <c r="A2569" t="s">
        <v>11</v>
      </c>
      <c r="B2569" s="3" t="s">
        <v>3</v>
      </c>
      <c r="C2569" t="s">
        <v>12</v>
      </c>
      <c r="D2569" t="s">
        <v>1</v>
      </c>
      <c r="E2569" t="s">
        <v>6</v>
      </c>
      <c r="F2569" t="s">
        <v>13</v>
      </c>
      <c r="G2569" t="s">
        <v>4</v>
      </c>
      <c r="H2569" t="s">
        <v>116</v>
      </c>
      <c r="I2569" t="s">
        <v>9</v>
      </c>
    </row>
    <row r="2570" spans="1:9">
      <c r="A2570" t="s">
        <v>624</v>
      </c>
      <c r="B2570" s="3" t="s">
        <v>624</v>
      </c>
      <c r="C2570">
        <v>1</v>
      </c>
      <c r="D2570" t="s">
        <v>104</v>
      </c>
      <c r="E2570" t="s">
        <v>7</v>
      </c>
      <c r="G2570" t="s">
        <v>15</v>
      </c>
      <c r="H2570" t="s">
        <v>512</v>
      </c>
    </row>
    <row r="2571" spans="1:9">
      <c r="A2571" t="s">
        <v>513</v>
      </c>
      <c r="B2571" s="3" t="s">
        <v>514</v>
      </c>
      <c r="C2571">
        <v>1.4999999999999999E-5</v>
      </c>
      <c r="D2571" t="s">
        <v>103</v>
      </c>
      <c r="E2571" t="s">
        <v>7</v>
      </c>
      <c r="G2571" t="s">
        <v>18</v>
      </c>
      <c r="H2571" t="s">
        <v>512</v>
      </c>
    </row>
    <row r="2572" spans="1:9">
      <c r="A2572" t="s">
        <v>570</v>
      </c>
      <c r="B2572" s="3" t="s">
        <v>526</v>
      </c>
      <c r="C2572">
        <v>2.51E-5</v>
      </c>
      <c r="D2572" t="s">
        <v>104</v>
      </c>
      <c r="E2572" t="s">
        <v>7</v>
      </c>
      <c r="G2572" t="s">
        <v>18</v>
      </c>
      <c r="H2572" t="s">
        <v>518</v>
      </c>
    </row>
    <row r="2573" spans="1:9">
      <c r="A2573" t="s">
        <v>558</v>
      </c>
      <c r="B2573" s="3" t="s">
        <v>559</v>
      </c>
      <c r="C2573">
        <v>2.735E-3</v>
      </c>
      <c r="D2573" t="s">
        <v>103</v>
      </c>
      <c r="E2573" t="s">
        <v>7</v>
      </c>
      <c r="G2573" t="s">
        <v>18</v>
      </c>
      <c r="H2573" t="s">
        <v>518</v>
      </c>
      <c r="I2573" t="s">
        <v>560</v>
      </c>
    </row>
    <row r="2574" spans="1:9">
      <c r="A2574" t="s">
        <v>561</v>
      </c>
      <c r="B2574" s="3" t="s">
        <v>562</v>
      </c>
      <c r="C2574">
        <v>2.735E-3</v>
      </c>
      <c r="D2574" t="s">
        <v>103</v>
      </c>
      <c r="E2574" t="s">
        <v>7</v>
      </c>
      <c r="G2574" t="s">
        <v>18</v>
      </c>
      <c r="H2574" t="s">
        <v>518</v>
      </c>
      <c r="I2574" t="s">
        <v>560</v>
      </c>
    </row>
    <row r="2575" spans="1:9">
      <c r="A2575" t="s">
        <v>571</v>
      </c>
      <c r="B2575" s="3" t="s">
        <v>572</v>
      </c>
      <c r="C2575">
        <v>2.7800000000000001E-8</v>
      </c>
      <c r="D2575" t="s">
        <v>104</v>
      </c>
      <c r="E2575" t="s">
        <v>37</v>
      </c>
      <c r="G2575" t="s">
        <v>18</v>
      </c>
      <c r="H2575" t="s">
        <v>518</v>
      </c>
    </row>
    <row r="2576" spans="1:9">
      <c r="A2576" t="s">
        <v>573</v>
      </c>
      <c r="B2576" s="3" t="s">
        <v>574</v>
      </c>
      <c r="C2576">
        <v>1.1899999999999999E-4</v>
      </c>
      <c r="D2576" t="s">
        <v>24</v>
      </c>
      <c r="E2576" t="s">
        <v>7</v>
      </c>
      <c r="G2576" t="s">
        <v>18</v>
      </c>
      <c r="H2576" t="s">
        <v>518</v>
      </c>
    </row>
    <row r="2577" spans="1:8">
      <c r="A2577" t="s">
        <v>575</v>
      </c>
      <c r="B2577" s="3" t="s">
        <v>575</v>
      </c>
      <c r="C2577">
        <v>1.1899999999999999E-4</v>
      </c>
      <c r="D2577" t="s">
        <v>103</v>
      </c>
      <c r="E2577" t="s">
        <v>7</v>
      </c>
      <c r="G2577" t="s">
        <v>18</v>
      </c>
      <c r="H2577" t="s">
        <v>518</v>
      </c>
    </row>
    <row r="2578" spans="1:8">
      <c r="A2578" t="s">
        <v>576</v>
      </c>
      <c r="B2578" s="3" t="s">
        <v>577</v>
      </c>
      <c r="C2578">
        <v>-1.1899999999999999E-4</v>
      </c>
      <c r="D2578" t="s">
        <v>104</v>
      </c>
      <c r="E2578" t="s">
        <v>7</v>
      </c>
      <c r="G2578" t="s">
        <v>18</v>
      </c>
      <c r="H2578" t="s">
        <v>518</v>
      </c>
    </row>
    <row r="2579" spans="1:8">
      <c r="A2579" t="s">
        <v>578</v>
      </c>
      <c r="B2579" s="3" t="s">
        <v>579</v>
      </c>
      <c r="C2579">
        <v>-4.5600000000000004E-5</v>
      </c>
      <c r="D2579" t="s">
        <v>104</v>
      </c>
      <c r="E2579" t="s">
        <v>7</v>
      </c>
      <c r="G2579" t="s">
        <v>18</v>
      </c>
      <c r="H2579" t="s">
        <v>518</v>
      </c>
    </row>
    <row r="2580" spans="1:8">
      <c r="A2580" t="s">
        <v>580</v>
      </c>
      <c r="B2580" s="3" t="s">
        <v>581</v>
      </c>
      <c r="C2580">
        <v>-6.6699999999999995E-5</v>
      </c>
      <c r="D2580" t="s">
        <v>104</v>
      </c>
      <c r="E2580" t="s">
        <v>7</v>
      </c>
      <c r="G2580" t="s">
        <v>18</v>
      </c>
      <c r="H2580" t="s">
        <v>518</v>
      </c>
    </row>
    <row r="2581" spans="1:8">
      <c r="A2581" t="s">
        <v>582</v>
      </c>
      <c r="C2581">
        <v>1.0200000000000001E-5</v>
      </c>
      <c r="E2581" t="s">
        <v>583</v>
      </c>
      <c r="F2581" t="s">
        <v>584</v>
      </c>
      <c r="G2581" t="s">
        <v>27</v>
      </c>
      <c r="H2581" t="s">
        <v>537</v>
      </c>
    </row>
    <row r="2582" spans="1:8">
      <c r="A2582" t="s">
        <v>585</v>
      </c>
      <c r="C2582">
        <v>5.0999999999999999E-7</v>
      </c>
      <c r="E2582" t="s">
        <v>586</v>
      </c>
      <c r="F2582" t="s">
        <v>584</v>
      </c>
      <c r="G2582" t="s">
        <v>27</v>
      </c>
      <c r="H2582" t="s">
        <v>537</v>
      </c>
    </row>
    <row r="2583" spans="1:8">
      <c r="A2583" t="s">
        <v>587</v>
      </c>
      <c r="C2583">
        <v>5.0999999999999999E-7</v>
      </c>
      <c r="E2583" t="s">
        <v>586</v>
      </c>
      <c r="F2583" t="s">
        <v>584</v>
      </c>
      <c r="G2583" t="s">
        <v>27</v>
      </c>
      <c r="H2583" t="s">
        <v>537</v>
      </c>
    </row>
    <row r="2584" spans="1:8">
      <c r="A2584" t="s">
        <v>143</v>
      </c>
      <c r="C2584">
        <v>0.11111</v>
      </c>
      <c r="E2584" t="s">
        <v>7</v>
      </c>
      <c r="F2584" t="s">
        <v>135</v>
      </c>
      <c r="G2584" t="s">
        <v>27</v>
      </c>
      <c r="H2584" t="s">
        <v>537</v>
      </c>
    </row>
    <row r="2587" spans="1:8">
      <c r="A2587" t="s">
        <v>0</v>
      </c>
      <c r="B2587" s="3" t="s">
        <v>625</v>
      </c>
    </row>
    <row r="2588" spans="1:8">
      <c r="A2588" t="s">
        <v>2</v>
      </c>
      <c r="B2588" s="3">
        <v>1</v>
      </c>
    </row>
    <row r="2589" spans="1:8">
      <c r="A2589" t="s">
        <v>3</v>
      </c>
      <c r="B2589" s="3" t="s">
        <v>626</v>
      </c>
    </row>
    <row r="2590" spans="1:8">
      <c r="A2590" t="s">
        <v>6</v>
      </c>
      <c r="B2590" s="3" t="s">
        <v>7</v>
      </c>
    </row>
    <row r="2591" spans="1:8">
      <c r="A2591" t="s">
        <v>1</v>
      </c>
      <c r="B2591" s="3" t="s">
        <v>104</v>
      </c>
    </row>
    <row r="2592" spans="1:8">
      <c r="A2592" t="s">
        <v>9</v>
      </c>
      <c r="B2592" s="3" t="s">
        <v>591</v>
      </c>
    </row>
    <row r="2594" spans="1:9">
      <c r="A2594" t="s">
        <v>10</v>
      </c>
    </row>
    <row r="2595" spans="1:9">
      <c r="A2595" t="s">
        <v>11</v>
      </c>
      <c r="B2595" s="3" t="s">
        <v>3</v>
      </c>
      <c r="C2595" t="s">
        <v>12</v>
      </c>
      <c r="D2595" t="s">
        <v>1</v>
      </c>
      <c r="E2595" t="s">
        <v>6</v>
      </c>
      <c r="F2595" t="s">
        <v>13</v>
      </c>
      <c r="G2595" t="s">
        <v>4</v>
      </c>
      <c r="H2595" t="s">
        <v>116</v>
      </c>
      <c r="I2595" t="s">
        <v>9</v>
      </c>
    </row>
    <row r="2596" spans="1:9">
      <c r="A2596" t="s">
        <v>625</v>
      </c>
      <c r="B2596" s="3" t="s">
        <v>626</v>
      </c>
      <c r="C2596">
        <v>1</v>
      </c>
      <c r="D2596" t="s">
        <v>104</v>
      </c>
      <c r="E2596" t="s">
        <v>7</v>
      </c>
      <c r="G2596" t="s">
        <v>15</v>
      </c>
      <c r="H2596" t="s">
        <v>512</v>
      </c>
    </row>
    <row r="2597" spans="1:9">
      <c r="A2597" t="s">
        <v>593</v>
      </c>
      <c r="B2597" s="3" t="s">
        <v>594</v>
      </c>
      <c r="C2597">
        <v>1.08E-9</v>
      </c>
      <c r="D2597" t="s">
        <v>103</v>
      </c>
      <c r="E2597" t="s">
        <v>6</v>
      </c>
      <c r="G2597" t="s">
        <v>18</v>
      </c>
      <c r="H2597" t="s">
        <v>518</v>
      </c>
    </row>
    <row r="2598" spans="1:9">
      <c r="A2598" t="s">
        <v>595</v>
      </c>
      <c r="B2598" s="3" t="s">
        <v>596</v>
      </c>
      <c r="C2598">
        <v>3.0800000000000004E-8</v>
      </c>
      <c r="D2598" t="s">
        <v>24</v>
      </c>
      <c r="E2598" t="s">
        <v>6</v>
      </c>
      <c r="G2598" t="s">
        <v>18</v>
      </c>
      <c r="H2598" t="s">
        <v>518</v>
      </c>
    </row>
    <row r="2599" spans="1:9">
      <c r="A2599" t="s">
        <v>597</v>
      </c>
      <c r="B2599" s="3" t="s">
        <v>598</v>
      </c>
      <c r="C2599">
        <v>1.4700000000000001E-7</v>
      </c>
      <c r="D2599" t="s">
        <v>24</v>
      </c>
      <c r="E2599" t="s">
        <v>7</v>
      </c>
      <c r="G2599" t="s">
        <v>18</v>
      </c>
      <c r="H2599" t="s">
        <v>518</v>
      </c>
    </row>
    <row r="2600" spans="1:9">
      <c r="A2600" t="s">
        <v>571</v>
      </c>
      <c r="B2600" s="3" t="s">
        <v>572</v>
      </c>
      <c r="C2600">
        <v>1.2E-8</v>
      </c>
      <c r="D2600" t="s">
        <v>104</v>
      </c>
      <c r="E2600" t="s">
        <v>37</v>
      </c>
      <c r="G2600" t="s">
        <v>18</v>
      </c>
      <c r="H2600" t="s">
        <v>518</v>
      </c>
    </row>
    <row r="2601" spans="1:9">
      <c r="A2601" t="s">
        <v>573</v>
      </c>
      <c r="B2601" s="3" t="s">
        <v>574</v>
      </c>
      <c r="C2601">
        <v>3.7299999999999999E-5</v>
      </c>
      <c r="D2601" t="s">
        <v>24</v>
      </c>
      <c r="E2601" t="s">
        <v>7</v>
      </c>
      <c r="G2601" t="s">
        <v>18</v>
      </c>
      <c r="H2601" t="s">
        <v>518</v>
      </c>
    </row>
    <row r="2602" spans="1:9">
      <c r="A2602" t="s">
        <v>148</v>
      </c>
      <c r="B2602" s="3" t="s">
        <v>169</v>
      </c>
      <c r="C2602">
        <v>9.9799999999999994E-8</v>
      </c>
      <c r="D2602" t="s">
        <v>103</v>
      </c>
      <c r="E2602" t="s">
        <v>7</v>
      </c>
      <c r="G2602" t="s">
        <v>18</v>
      </c>
      <c r="H2602" t="s">
        <v>518</v>
      </c>
    </row>
    <row r="2603" spans="1:9">
      <c r="A2603" t="s">
        <v>538</v>
      </c>
      <c r="B2603" s="3" t="s">
        <v>599</v>
      </c>
      <c r="C2603">
        <v>0.7641</v>
      </c>
      <c r="D2603" t="s">
        <v>104</v>
      </c>
      <c r="E2603" t="s">
        <v>17</v>
      </c>
      <c r="G2603" t="s">
        <v>18</v>
      </c>
      <c r="H2603" t="s">
        <v>518</v>
      </c>
    </row>
    <row r="2604" spans="1:9">
      <c r="A2604" t="s">
        <v>600</v>
      </c>
      <c r="B2604" s="3" t="s">
        <v>581</v>
      </c>
      <c r="C2604">
        <v>-2.87E-5</v>
      </c>
      <c r="D2604" t="s">
        <v>104</v>
      </c>
      <c r="E2604" t="s">
        <v>7</v>
      </c>
      <c r="G2604" t="s">
        <v>18</v>
      </c>
      <c r="H2604" t="s">
        <v>518</v>
      </c>
    </row>
    <row r="2605" spans="1:9">
      <c r="A2605" t="s">
        <v>601</v>
      </c>
      <c r="B2605" s="3" t="s">
        <v>602</v>
      </c>
      <c r="C2605">
        <v>-1.3899999999999999E-7</v>
      </c>
      <c r="D2605" t="s">
        <v>104</v>
      </c>
      <c r="E2605" t="s">
        <v>7</v>
      </c>
      <c r="G2605" t="s">
        <v>18</v>
      </c>
      <c r="H2605" t="s">
        <v>518</v>
      </c>
    </row>
    <row r="2606" spans="1:9">
      <c r="A2606" t="s">
        <v>603</v>
      </c>
      <c r="B2606" s="3" t="s">
        <v>604</v>
      </c>
      <c r="C2606">
        <v>-1.4700000000000001E-7</v>
      </c>
      <c r="D2606" t="s">
        <v>104</v>
      </c>
      <c r="E2606" t="s">
        <v>7</v>
      </c>
      <c r="G2606" t="s">
        <v>18</v>
      </c>
      <c r="H2606" t="s">
        <v>518</v>
      </c>
    </row>
    <row r="2607" spans="1:9">
      <c r="A2607" t="s">
        <v>576</v>
      </c>
      <c r="B2607" s="3" t="s">
        <v>577</v>
      </c>
      <c r="C2607">
        <v>-3.7299999999999999E-5</v>
      </c>
      <c r="D2607" t="s">
        <v>104</v>
      </c>
      <c r="E2607" t="s">
        <v>7</v>
      </c>
      <c r="G2607" t="s">
        <v>18</v>
      </c>
      <c r="H2607" t="s">
        <v>518</v>
      </c>
    </row>
    <row r="2608" spans="1:9">
      <c r="A2608" t="s">
        <v>565</v>
      </c>
      <c r="B2608" s="3" t="s">
        <v>566</v>
      </c>
      <c r="C2608">
        <v>-8.2799999999999987E-6</v>
      </c>
      <c r="D2608" t="s">
        <v>104</v>
      </c>
      <c r="E2608" t="s">
        <v>37</v>
      </c>
      <c r="G2608" t="s">
        <v>18</v>
      </c>
      <c r="H2608" t="s">
        <v>518</v>
      </c>
    </row>
    <row r="2609" spans="1:9">
      <c r="A2609" t="s">
        <v>582</v>
      </c>
      <c r="C2609">
        <v>5.1100000000000002E-6</v>
      </c>
      <c r="E2609" t="s">
        <v>583</v>
      </c>
      <c r="F2609" t="s">
        <v>584</v>
      </c>
      <c r="G2609" t="s">
        <v>27</v>
      </c>
      <c r="H2609" t="s">
        <v>537</v>
      </c>
    </row>
    <row r="2610" spans="1:9">
      <c r="A2610" t="s">
        <v>585</v>
      </c>
      <c r="C2610">
        <v>2.5599999999999996E-7</v>
      </c>
      <c r="E2610" t="s">
        <v>586</v>
      </c>
      <c r="F2610" t="s">
        <v>584</v>
      </c>
      <c r="G2610" t="s">
        <v>27</v>
      </c>
      <c r="H2610" t="s">
        <v>537</v>
      </c>
    </row>
    <row r="2611" spans="1:9">
      <c r="A2611" t="s">
        <v>587</v>
      </c>
      <c r="C2611">
        <v>2.5599999999999996E-7</v>
      </c>
      <c r="E2611" t="s">
        <v>586</v>
      </c>
      <c r="F2611" t="s">
        <v>584</v>
      </c>
      <c r="G2611" t="s">
        <v>27</v>
      </c>
      <c r="H2611" t="s">
        <v>537</v>
      </c>
    </row>
    <row r="2612" spans="1:9">
      <c r="A2612" t="s">
        <v>143</v>
      </c>
      <c r="C2612">
        <v>3.2699999999999999E-3</v>
      </c>
      <c r="E2612" t="s">
        <v>7</v>
      </c>
      <c r="F2612" t="s">
        <v>135</v>
      </c>
      <c r="G2612" t="s">
        <v>27</v>
      </c>
      <c r="H2612" t="s">
        <v>537</v>
      </c>
    </row>
    <row r="2613" spans="1:9">
      <c r="A2613" t="s">
        <v>188</v>
      </c>
      <c r="C2613">
        <v>9.9799999999999994E-8</v>
      </c>
      <c r="E2613" t="s">
        <v>7</v>
      </c>
      <c r="F2613" t="s">
        <v>135</v>
      </c>
      <c r="G2613" t="s">
        <v>27</v>
      </c>
      <c r="H2613" t="s">
        <v>537</v>
      </c>
    </row>
    <row r="2616" spans="1:9">
      <c r="A2616" t="s">
        <v>0</v>
      </c>
      <c r="B2616" s="3" t="s">
        <v>627</v>
      </c>
    </row>
    <row r="2617" spans="1:9">
      <c r="A2617" t="s">
        <v>2</v>
      </c>
      <c r="B2617" s="3">
        <v>1</v>
      </c>
    </row>
    <row r="2618" spans="1:9">
      <c r="A2618" t="s">
        <v>3</v>
      </c>
      <c r="B2618" s="3" t="s">
        <v>628</v>
      </c>
    </row>
    <row r="2619" spans="1:9">
      <c r="A2619" t="s">
        <v>6</v>
      </c>
      <c r="B2619" s="3" t="s">
        <v>7</v>
      </c>
    </row>
    <row r="2620" spans="1:9">
      <c r="A2620" t="s">
        <v>1</v>
      </c>
      <c r="B2620" s="3" t="s">
        <v>104</v>
      </c>
    </row>
    <row r="2621" spans="1:9">
      <c r="A2621" t="s">
        <v>9</v>
      </c>
      <c r="B2621" s="3" t="s">
        <v>607</v>
      </c>
    </row>
    <row r="2623" spans="1:9">
      <c r="A2623" t="s">
        <v>10</v>
      </c>
    </row>
    <row r="2624" spans="1:9">
      <c r="A2624" t="s">
        <v>11</v>
      </c>
      <c r="B2624" s="3" t="s">
        <v>3</v>
      </c>
      <c r="C2624" t="s">
        <v>12</v>
      </c>
      <c r="D2624" t="s">
        <v>1</v>
      </c>
      <c r="E2624" t="s">
        <v>6</v>
      </c>
      <c r="F2624" t="s">
        <v>13</v>
      </c>
      <c r="G2624" t="s">
        <v>4</v>
      </c>
      <c r="H2624" t="s">
        <v>116</v>
      </c>
      <c r="I2624" t="s">
        <v>9</v>
      </c>
    </row>
    <row r="2625" spans="1:9">
      <c r="A2625" t="s">
        <v>627</v>
      </c>
      <c r="B2625" s="3" t="s">
        <v>628</v>
      </c>
      <c r="C2625">
        <v>1</v>
      </c>
      <c r="D2625" t="s">
        <v>104</v>
      </c>
      <c r="E2625" t="s">
        <v>7</v>
      </c>
      <c r="G2625" t="s">
        <v>15</v>
      </c>
      <c r="H2625" t="s">
        <v>512</v>
      </c>
    </row>
    <row r="2626" spans="1:9">
      <c r="A2626" t="s">
        <v>589</v>
      </c>
      <c r="B2626" s="3" t="s">
        <v>590</v>
      </c>
      <c r="C2626">
        <v>0</v>
      </c>
      <c r="D2626" t="s">
        <v>104</v>
      </c>
      <c r="E2626" t="s">
        <v>7</v>
      </c>
      <c r="G2626" t="s">
        <v>18</v>
      </c>
      <c r="H2626" t="s">
        <v>512</v>
      </c>
      <c r="I2626" t="s">
        <v>592</v>
      </c>
    </row>
    <row r="2627" spans="1:9">
      <c r="A2627" t="s">
        <v>552</v>
      </c>
      <c r="B2627" s="3" t="s">
        <v>552</v>
      </c>
      <c r="C2627">
        <v>7.1999999999999994E-4</v>
      </c>
      <c r="D2627" t="s">
        <v>104</v>
      </c>
      <c r="E2627" t="s">
        <v>17</v>
      </c>
      <c r="G2627" t="s">
        <v>18</v>
      </c>
      <c r="H2627" t="s">
        <v>518</v>
      </c>
    </row>
    <row r="2628" spans="1:9">
      <c r="A2628" t="s">
        <v>575</v>
      </c>
      <c r="B2628" s="3" t="s">
        <v>575</v>
      </c>
      <c r="C2628">
        <v>8.8500000000000004E-4</v>
      </c>
      <c r="D2628" t="s">
        <v>103</v>
      </c>
      <c r="E2628" t="s">
        <v>7</v>
      </c>
      <c r="G2628" t="s">
        <v>18</v>
      </c>
      <c r="H2628" t="s">
        <v>518</v>
      </c>
    </row>
    <row r="2629" spans="1:9">
      <c r="A2629" t="s">
        <v>608</v>
      </c>
      <c r="B2629" s="3" t="s">
        <v>574</v>
      </c>
      <c r="C2629">
        <v>8.8500000000000004E-4</v>
      </c>
      <c r="D2629" t="s">
        <v>103</v>
      </c>
      <c r="E2629" t="s">
        <v>7</v>
      </c>
      <c r="G2629" t="s">
        <v>18</v>
      </c>
      <c r="H2629" t="s">
        <v>518</v>
      </c>
    </row>
    <row r="2630" spans="1:9">
      <c r="A2630" t="s">
        <v>571</v>
      </c>
      <c r="B2630" s="3" t="s">
        <v>572</v>
      </c>
      <c r="C2630">
        <v>2.1200000000000001E-8</v>
      </c>
      <c r="D2630" t="s">
        <v>104</v>
      </c>
      <c r="E2630" t="s">
        <v>37</v>
      </c>
      <c r="G2630" t="s">
        <v>18</v>
      </c>
      <c r="H2630" t="s">
        <v>518</v>
      </c>
    </row>
    <row r="2631" spans="1:9">
      <c r="A2631" t="s">
        <v>600</v>
      </c>
      <c r="B2631" s="3" t="s">
        <v>581</v>
      </c>
      <c r="C2631">
        <v>-5.1E-5</v>
      </c>
      <c r="D2631" t="s">
        <v>104</v>
      </c>
      <c r="E2631" t="s">
        <v>7</v>
      </c>
      <c r="G2631" t="s">
        <v>18</v>
      </c>
      <c r="H2631" t="s">
        <v>518</v>
      </c>
    </row>
    <row r="2632" spans="1:9">
      <c r="A2632" t="s">
        <v>576</v>
      </c>
      <c r="B2632" s="3" t="s">
        <v>577</v>
      </c>
      <c r="C2632">
        <v>-8.8500000000000004E-4</v>
      </c>
      <c r="D2632" t="s">
        <v>104</v>
      </c>
      <c r="E2632" t="s">
        <v>7</v>
      </c>
      <c r="G2632" t="s">
        <v>18</v>
      </c>
      <c r="H2632" t="s">
        <v>518</v>
      </c>
    </row>
    <row r="2635" spans="1:9">
      <c r="A2635" t="s">
        <v>0</v>
      </c>
      <c r="B2635" s="3" t="s">
        <v>629</v>
      </c>
    </row>
    <row r="2636" spans="1:9">
      <c r="A2636" t="s">
        <v>2</v>
      </c>
      <c r="B2636" s="3">
        <v>1</v>
      </c>
    </row>
    <row r="2637" spans="1:9">
      <c r="A2637" t="s">
        <v>3</v>
      </c>
      <c r="B2637" s="3" t="s">
        <v>630</v>
      </c>
    </row>
    <row r="2638" spans="1:9">
      <c r="A2638" t="s">
        <v>6</v>
      </c>
      <c r="B2638" s="3" t="s">
        <v>7</v>
      </c>
    </row>
    <row r="2639" spans="1:9">
      <c r="A2639" t="s">
        <v>1</v>
      </c>
      <c r="B2639" s="3" t="s">
        <v>104</v>
      </c>
    </row>
    <row r="2640" spans="1:9">
      <c r="A2640" t="s">
        <v>9</v>
      </c>
      <c r="B2640" s="3" t="s">
        <v>611</v>
      </c>
    </row>
    <row r="2642" spans="1:9">
      <c r="A2642" t="s">
        <v>10</v>
      </c>
    </row>
    <row r="2643" spans="1:9">
      <c r="A2643" t="s">
        <v>11</v>
      </c>
      <c r="B2643" s="3" t="s">
        <v>3</v>
      </c>
      <c r="C2643" t="s">
        <v>12</v>
      </c>
      <c r="D2643" t="s">
        <v>1</v>
      </c>
      <c r="E2643" t="s">
        <v>6</v>
      </c>
      <c r="F2643" t="s">
        <v>13</v>
      </c>
      <c r="G2643" t="s">
        <v>4</v>
      </c>
      <c r="H2643" t="s">
        <v>116</v>
      </c>
      <c r="I2643" t="s">
        <v>9</v>
      </c>
    </row>
    <row r="2644" spans="1:9">
      <c r="A2644" t="s">
        <v>629</v>
      </c>
      <c r="B2644" s="3" t="s">
        <v>630</v>
      </c>
      <c r="C2644">
        <v>1</v>
      </c>
      <c r="D2644" t="s">
        <v>104</v>
      </c>
      <c r="E2644" t="s">
        <v>7</v>
      </c>
      <c r="G2644" t="s">
        <v>15</v>
      </c>
      <c r="H2644" t="s">
        <v>512</v>
      </c>
    </row>
    <row r="2645" spans="1:9">
      <c r="A2645" t="s">
        <v>605</v>
      </c>
      <c r="B2645" s="3" t="s">
        <v>606</v>
      </c>
      <c r="C2645">
        <v>0</v>
      </c>
      <c r="D2645" t="s">
        <v>104</v>
      </c>
      <c r="E2645" t="s">
        <v>7</v>
      </c>
      <c r="G2645" t="s">
        <v>18</v>
      </c>
      <c r="H2645" t="s">
        <v>512</v>
      </c>
    </row>
    <row r="2646" spans="1:9">
      <c r="A2646" t="s">
        <v>612</v>
      </c>
      <c r="B2646" s="3" t="s">
        <v>612</v>
      </c>
      <c r="C2646">
        <v>0.12533119999999998</v>
      </c>
      <c r="D2646" t="s">
        <v>103</v>
      </c>
      <c r="E2646" t="s">
        <v>28</v>
      </c>
      <c r="G2646" t="s">
        <v>18</v>
      </c>
      <c r="H2646" t="s">
        <v>518</v>
      </c>
      <c r="I2646" t="s">
        <v>613</v>
      </c>
    </row>
    <row r="2647" spans="1:9">
      <c r="A2647" t="s">
        <v>573</v>
      </c>
      <c r="B2647" s="3" t="s">
        <v>574</v>
      </c>
      <c r="C2647">
        <v>1.3799999999999999E-3</v>
      </c>
      <c r="D2647" t="s">
        <v>24</v>
      </c>
      <c r="E2647" t="s">
        <v>7</v>
      </c>
      <c r="G2647" t="s">
        <v>18</v>
      </c>
      <c r="H2647" t="s">
        <v>518</v>
      </c>
    </row>
    <row r="2648" spans="1:9">
      <c r="A2648" t="s">
        <v>614</v>
      </c>
      <c r="B2648" s="3" t="s">
        <v>575</v>
      </c>
      <c r="C2648">
        <v>1.3799999999999999E-3</v>
      </c>
      <c r="D2648" t="s">
        <v>24</v>
      </c>
      <c r="E2648" t="s">
        <v>7</v>
      </c>
      <c r="G2648" t="s">
        <v>18</v>
      </c>
      <c r="H2648" t="s">
        <v>518</v>
      </c>
    </row>
    <row r="2651" spans="1:9">
      <c r="A2651" t="s">
        <v>0</v>
      </c>
      <c r="B2651" s="3" t="s">
        <v>631</v>
      </c>
    </row>
    <row r="2652" spans="1:9">
      <c r="A2652" t="s">
        <v>2</v>
      </c>
      <c r="B2652" s="3">
        <v>1</v>
      </c>
    </row>
    <row r="2653" spans="1:9">
      <c r="A2653" t="s">
        <v>3</v>
      </c>
      <c r="B2653" s="3" t="s">
        <v>632</v>
      </c>
    </row>
    <row r="2654" spans="1:9">
      <c r="A2654" t="s">
        <v>6</v>
      </c>
      <c r="B2654" s="3" t="s">
        <v>7</v>
      </c>
    </row>
    <row r="2655" spans="1:9">
      <c r="A2655" t="s">
        <v>1</v>
      </c>
      <c r="B2655" s="3" t="s">
        <v>104</v>
      </c>
    </row>
    <row r="2656" spans="1:9">
      <c r="A2656" t="s">
        <v>9</v>
      </c>
      <c r="B2656" s="3" t="s">
        <v>617</v>
      </c>
    </row>
    <row r="2658" spans="1:9">
      <c r="A2658" t="s">
        <v>10</v>
      </c>
    </row>
    <row r="2659" spans="1:9">
      <c r="A2659" t="s">
        <v>11</v>
      </c>
      <c r="B2659" s="3" t="s">
        <v>3</v>
      </c>
      <c r="C2659" t="s">
        <v>12</v>
      </c>
      <c r="D2659" t="s">
        <v>1</v>
      </c>
      <c r="E2659" t="s">
        <v>6</v>
      </c>
      <c r="F2659" t="s">
        <v>13</v>
      </c>
      <c r="G2659" t="s">
        <v>4</v>
      </c>
      <c r="H2659" t="s">
        <v>116</v>
      </c>
      <c r="I2659" t="s">
        <v>9</v>
      </c>
    </row>
    <row r="2660" spans="1:9">
      <c r="A2660" t="s">
        <v>631</v>
      </c>
      <c r="B2660" s="3" t="s">
        <v>632</v>
      </c>
      <c r="C2660">
        <v>1</v>
      </c>
      <c r="D2660" t="s">
        <v>104</v>
      </c>
      <c r="E2660" t="s">
        <v>7</v>
      </c>
      <c r="G2660" t="s">
        <v>15</v>
      </c>
      <c r="H2660" t="s">
        <v>512</v>
      </c>
    </row>
    <row r="2661" spans="1:9">
      <c r="A2661" t="s">
        <v>609</v>
      </c>
      <c r="B2661" s="3" t="s">
        <v>610</v>
      </c>
      <c r="C2661">
        <v>0</v>
      </c>
      <c r="D2661" t="s">
        <v>104</v>
      </c>
      <c r="E2661" t="s">
        <v>7</v>
      </c>
      <c r="G2661" t="s">
        <v>18</v>
      </c>
      <c r="H2661" t="s">
        <v>512</v>
      </c>
      <c r="I2661" t="s">
        <v>618</v>
      </c>
    </row>
    <row r="2662" spans="1:9">
      <c r="A2662" t="s">
        <v>287</v>
      </c>
      <c r="B2662" s="3" t="s">
        <v>286</v>
      </c>
      <c r="C2662">
        <v>0</v>
      </c>
      <c r="D2662" t="s">
        <v>104</v>
      </c>
      <c r="E2662" t="s">
        <v>125</v>
      </c>
      <c r="G2662" t="s">
        <v>18</v>
      </c>
      <c r="H2662" t="s">
        <v>518</v>
      </c>
      <c r="I2662" t="s">
        <v>619</v>
      </c>
    </row>
    <row r="2665" spans="1:9">
      <c r="A2665" t="s">
        <v>0</v>
      </c>
      <c r="B2665" s="3" t="s">
        <v>633</v>
      </c>
    </row>
    <row r="2666" spans="1:9">
      <c r="A2666" t="s">
        <v>2</v>
      </c>
      <c r="B2666" s="3">
        <v>1</v>
      </c>
    </row>
    <row r="2667" spans="1:9">
      <c r="A2667" t="s">
        <v>3</v>
      </c>
      <c r="B2667" s="3" t="s">
        <v>634</v>
      </c>
    </row>
    <row r="2668" spans="1:9">
      <c r="A2668" t="s">
        <v>6</v>
      </c>
      <c r="B2668" s="3" t="s">
        <v>7</v>
      </c>
    </row>
    <row r="2669" spans="1:9">
      <c r="A2669" t="s">
        <v>1</v>
      </c>
      <c r="B2669" s="3" t="s">
        <v>104</v>
      </c>
    </row>
    <row r="2670" spans="1:9">
      <c r="A2670" t="s">
        <v>9</v>
      </c>
      <c r="B2670" s="3" t="s">
        <v>622</v>
      </c>
    </row>
    <row r="2672" spans="1:9">
      <c r="A2672" t="s">
        <v>10</v>
      </c>
    </row>
    <row r="2673" spans="1:10">
      <c r="A2673" t="s">
        <v>11</v>
      </c>
      <c r="B2673" s="3" t="s">
        <v>3</v>
      </c>
      <c r="C2673" t="s">
        <v>12</v>
      </c>
      <c r="D2673" t="s">
        <v>1</v>
      </c>
      <c r="E2673" t="s">
        <v>6</v>
      </c>
      <c r="F2673" t="s">
        <v>13</v>
      </c>
      <c r="G2673" t="s">
        <v>4</v>
      </c>
      <c r="H2673" t="s">
        <v>116</v>
      </c>
      <c r="I2673" t="s">
        <v>9</v>
      </c>
    </row>
    <row r="2674" spans="1:10">
      <c r="A2674" t="s">
        <v>633</v>
      </c>
      <c r="B2674" s="3" t="s">
        <v>634</v>
      </c>
      <c r="C2674">
        <v>1</v>
      </c>
      <c r="D2674" t="s">
        <v>104</v>
      </c>
      <c r="E2674" t="s">
        <v>7</v>
      </c>
      <c r="G2674" t="s">
        <v>15</v>
      </c>
      <c r="H2674" t="s">
        <v>512</v>
      </c>
    </row>
    <row r="2675" spans="1:10">
      <c r="A2675" t="s">
        <v>615</v>
      </c>
      <c r="B2675" s="3" t="s">
        <v>616</v>
      </c>
      <c r="C2675">
        <v>0</v>
      </c>
      <c r="D2675" t="s">
        <v>104</v>
      </c>
      <c r="E2675" t="s">
        <v>7</v>
      </c>
      <c r="G2675" t="s">
        <v>18</v>
      </c>
      <c r="H2675" t="s">
        <v>512</v>
      </c>
      <c r="I2675" t="s">
        <v>618</v>
      </c>
    </row>
    <row r="2676" spans="1:10">
      <c r="A2676" t="s">
        <v>287</v>
      </c>
      <c r="B2676" s="3" t="s">
        <v>286</v>
      </c>
      <c r="C2676">
        <v>0</v>
      </c>
      <c r="D2676" t="s">
        <v>104</v>
      </c>
      <c r="E2676" t="s">
        <v>125</v>
      </c>
      <c r="G2676" t="s">
        <v>18</v>
      </c>
      <c r="H2676" t="s">
        <v>518</v>
      </c>
      <c r="I2676" t="s">
        <v>623</v>
      </c>
    </row>
    <row r="2679" spans="1:10">
      <c r="A2679" s="70" t="s">
        <v>0</v>
      </c>
      <c r="B2679" s="70" t="s">
        <v>680</v>
      </c>
      <c r="C2679" s="70"/>
      <c r="D2679" s="70"/>
      <c r="E2679" s="70"/>
      <c r="F2679" s="70"/>
      <c r="G2679" s="70"/>
      <c r="H2679" s="70"/>
      <c r="I2679" s="70"/>
      <c r="J2679" s="70"/>
    </row>
    <row r="2680" spans="1:10">
      <c r="A2680" t="s">
        <v>3</v>
      </c>
      <c r="B2680" t="s">
        <v>681</v>
      </c>
    </row>
    <row r="2681" spans="1:10">
      <c r="A2681" t="s">
        <v>6</v>
      </c>
      <c r="B2681" t="s">
        <v>331</v>
      </c>
    </row>
    <row r="2682" spans="1:10">
      <c r="A2682" t="s">
        <v>1</v>
      </c>
      <c r="B2682" t="s">
        <v>104</v>
      </c>
    </row>
    <row r="2683" spans="1:10">
      <c r="A2683" t="s">
        <v>2</v>
      </c>
      <c r="B2683">
        <v>1</v>
      </c>
    </row>
    <row r="2684" spans="1:10">
      <c r="A2684" t="s">
        <v>9</v>
      </c>
      <c r="B2684" t="s">
        <v>682</v>
      </c>
    </row>
    <row r="2685" spans="1:10">
      <c r="A2685" t="s">
        <v>10</v>
      </c>
      <c r="B2685"/>
    </row>
    <row r="2686" spans="1:10">
      <c r="A2686" t="s">
        <v>11</v>
      </c>
      <c r="B2686" t="s">
        <v>3</v>
      </c>
      <c r="C2686" t="s">
        <v>6</v>
      </c>
      <c r="D2686" t="s">
        <v>12</v>
      </c>
      <c r="E2686" t="s">
        <v>1</v>
      </c>
      <c r="F2686" t="s">
        <v>116</v>
      </c>
      <c r="G2686" t="s">
        <v>4</v>
      </c>
      <c r="H2686" t="s">
        <v>13</v>
      </c>
      <c r="I2686" t="s">
        <v>9</v>
      </c>
    </row>
    <row r="2687" spans="1:10">
      <c r="A2687" t="s">
        <v>680</v>
      </c>
      <c r="B2687" t="s">
        <v>681</v>
      </c>
      <c r="C2687" t="s">
        <v>331</v>
      </c>
      <c r="D2687">
        <v>1</v>
      </c>
      <c r="E2687" t="s">
        <v>104</v>
      </c>
      <c r="F2687" t="s">
        <v>635</v>
      </c>
      <c r="G2687" t="s">
        <v>15</v>
      </c>
    </row>
    <row r="2688" spans="1:10">
      <c r="A2688" t="s">
        <v>636</v>
      </c>
      <c r="B2688" t="s">
        <v>520</v>
      </c>
      <c r="C2688" t="s">
        <v>125</v>
      </c>
      <c r="D2688">
        <v>131.99511111111113</v>
      </c>
      <c r="E2688" t="s">
        <v>104</v>
      </c>
      <c r="F2688" t="s">
        <v>683</v>
      </c>
      <c r="G2688" t="s">
        <v>18</v>
      </c>
      <c r="I2688" t="s">
        <v>637</v>
      </c>
    </row>
    <row r="2689" spans="1:9">
      <c r="A2689" t="s">
        <v>573</v>
      </c>
      <c r="B2689" t="s">
        <v>574</v>
      </c>
      <c r="C2689" t="s">
        <v>7</v>
      </c>
      <c r="D2689">
        <v>66.863406067743341</v>
      </c>
      <c r="E2689" t="s">
        <v>24</v>
      </c>
      <c r="F2689" t="s">
        <v>683</v>
      </c>
      <c r="G2689" t="s">
        <v>18</v>
      </c>
      <c r="I2689" t="s">
        <v>638</v>
      </c>
    </row>
    <row r="2690" spans="1:9">
      <c r="A2690" t="s">
        <v>639</v>
      </c>
      <c r="B2690" t="s">
        <v>640</v>
      </c>
      <c r="C2690" t="s">
        <v>7</v>
      </c>
      <c r="D2690">
        <v>70.600717765988477</v>
      </c>
      <c r="E2690" t="s">
        <v>270</v>
      </c>
      <c r="F2690" t="s">
        <v>683</v>
      </c>
      <c r="G2690" t="s">
        <v>18</v>
      </c>
      <c r="I2690" t="s">
        <v>684</v>
      </c>
    </row>
    <row r="2691" spans="1:9">
      <c r="A2691" t="s">
        <v>541</v>
      </c>
      <c r="B2691" t="s">
        <v>542</v>
      </c>
      <c r="C2691" t="s">
        <v>7</v>
      </c>
      <c r="D2691">
        <v>28.240287106395392</v>
      </c>
      <c r="E2691" t="s">
        <v>104</v>
      </c>
      <c r="F2691" t="s">
        <v>683</v>
      </c>
      <c r="G2691" t="s">
        <v>18</v>
      </c>
      <c r="I2691" t="s">
        <v>685</v>
      </c>
    </row>
    <row r="2692" spans="1:9">
      <c r="A2692" t="s">
        <v>641</v>
      </c>
      <c r="B2692" t="s">
        <v>642</v>
      </c>
      <c r="C2692" t="s">
        <v>7</v>
      </c>
      <c r="D2692">
        <v>0</v>
      </c>
      <c r="E2692" t="s">
        <v>103</v>
      </c>
      <c r="F2692" t="s">
        <v>683</v>
      </c>
      <c r="G2692" t="s">
        <v>18</v>
      </c>
      <c r="I2692" t="s">
        <v>643</v>
      </c>
    </row>
    <row r="2693" spans="1:9">
      <c r="A2693" t="s">
        <v>644</v>
      </c>
      <c r="B2693" t="s">
        <v>645</v>
      </c>
      <c r="C2693" t="s">
        <v>6</v>
      </c>
      <c r="D2693">
        <v>0</v>
      </c>
      <c r="E2693" t="s">
        <v>104</v>
      </c>
      <c r="F2693" t="s">
        <v>683</v>
      </c>
      <c r="G2693" t="s">
        <v>18</v>
      </c>
      <c r="I2693" t="s">
        <v>646</v>
      </c>
    </row>
    <row r="2694" spans="1:9">
      <c r="A2694" t="s">
        <v>287</v>
      </c>
      <c r="B2694" t="s">
        <v>286</v>
      </c>
      <c r="C2694" t="s">
        <v>125</v>
      </c>
      <c r="D2694">
        <v>0</v>
      </c>
      <c r="E2694" t="s">
        <v>104</v>
      </c>
      <c r="F2694" t="s">
        <v>683</v>
      </c>
      <c r="G2694" t="s">
        <v>18</v>
      </c>
      <c r="I2694" t="s">
        <v>647</v>
      </c>
    </row>
    <row r="2695" spans="1:9">
      <c r="A2695" t="s">
        <v>648</v>
      </c>
      <c r="B2695" t="s">
        <v>648</v>
      </c>
      <c r="C2695" t="s">
        <v>17</v>
      </c>
      <c r="D2695">
        <v>24.244000000000003</v>
      </c>
      <c r="E2695" t="s">
        <v>24</v>
      </c>
      <c r="F2695" t="s">
        <v>683</v>
      </c>
      <c r="G2695" t="s">
        <v>18</v>
      </c>
      <c r="I2695" t="s">
        <v>649</v>
      </c>
    </row>
    <row r="2696" spans="1:9">
      <c r="A2696" t="s">
        <v>650</v>
      </c>
      <c r="B2696" t="s">
        <v>651</v>
      </c>
      <c r="C2696" t="s">
        <v>7</v>
      </c>
      <c r="D2696">
        <v>-256.42090325816093</v>
      </c>
      <c r="E2696" t="s">
        <v>104</v>
      </c>
      <c r="F2696" t="s">
        <v>683</v>
      </c>
      <c r="G2696" t="s">
        <v>18</v>
      </c>
      <c r="I2696" t="s">
        <v>652</v>
      </c>
    </row>
    <row r="2697" spans="1:9">
      <c r="A2697" t="s">
        <v>653</v>
      </c>
      <c r="B2697" t="s">
        <v>654</v>
      </c>
      <c r="C2697" t="s">
        <v>6</v>
      </c>
      <c r="D2697">
        <v>1.8518518518518518E-5</v>
      </c>
      <c r="E2697" t="s">
        <v>104</v>
      </c>
      <c r="F2697" t="s">
        <v>635</v>
      </c>
      <c r="G2697" t="s">
        <v>18</v>
      </c>
    </row>
    <row r="2698" spans="1:9">
      <c r="B2698"/>
    </row>
    <row r="2699" spans="1:9">
      <c r="B2699"/>
    </row>
    <row r="2700" spans="1:9">
      <c r="A2700" t="s">
        <v>0</v>
      </c>
      <c r="B2700" t="s">
        <v>686</v>
      </c>
    </row>
    <row r="2701" spans="1:9">
      <c r="A2701" t="s">
        <v>3</v>
      </c>
      <c r="B2701" t="s">
        <v>687</v>
      </c>
    </row>
    <row r="2702" spans="1:9">
      <c r="A2702" t="s">
        <v>6</v>
      </c>
      <c r="B2702" t="s">
        <v>331</v>
      </c>
    </row>
    <row r="2703" spans="1:9">
      <c r="A2703" t="s">
        <v>1</v>
      </c>
      <c r="B2703" t="s">
        <v>104</v>
      </c>
    </row>
    <row r="2704" spans="1:9">
      <c r="A2704" t="s">
        <v>2</v>
      </c>
      <c r="B2704">
        <v>1</v>
      </c>
    </row>
    <row r="2705" spans="1:9">
      <c r="A2705" t="s">
        <v>9</v>
      </c>
      <c r="B2705" t="s">
        <v>688</v>
      </c>
    </row>
    <row r="2706" spans="1:9">
      <c r="A2706" t="s">
        <v>10</v>
      </c>
      <c r="B2706"/>
    </row>
    <row r="2707" spans="1:9">
      <c r="A2707" t="s">
        <v>11</v>
      </c>
      <c r="B2707" t="s">
        <v>3</v>
      </c>
      <c r="C2707" t="s">
        <v>6</v>
      </c>
      <c r="D2707" t="s">
        <v>12</v>
      </c>
      <c r="E2707" t="s">
        <v>1</v>
      </c>
      <c r="F2707" t="s">
        <v>116</v>
      </c>
      <c r="G2707" t="s">
        <v>4</v>
      </c>
      <c r="H2707" t="s">
        <v>13</v>
      </c>
      <c r="I2707" t="s">
        <v>9</v>
      </c>
    </row>
    <row r="2708" spans="1:9">
      <c r="A2708" t="s">
        <v>686</v>
      </c>
      <c r="B2708" t="s">
        <v>687</v>
      </c>
      <c r="C2708" t="s">
        <v>331</v>
      </c>
      <c r="D2708">
        <v>1</v>
      </c>
      <c r="E2708" t="s">
        <v>104</v>
      </c>
      <c r="F2708" t="s">
        <v>635</v>
      </c>
      <c r="G2708" t="s">
        <v>15</v>
      </c>
    </row>
    <row r="2709" spans="1:9">
      <c r="A2709" t="s">
        <v>636</v>
      </c>
      <c r="B2709" t="s">
        <v>520</v>
      </c>
      <c r="C2709" t="s">
        <v>125</v>
      </c>
      <c r="D2709">
        <v>196</v>
      </c>
      <c r="E2709" t="s">
        <v>104</v>
      </c>
      <c r="F2709" t="s">
        <v>683</v>
      </c>
      <c r="G2709" t="s">
        <v>18</v>
      </c>
      <c r="I2709" t="s">
        <v>637</v>
      </c>
    </row>
    <row r="2710" spans="1:9">
      <c r="A2710" t="s">
        <v>648</v>
      </c>
      <c r="B2710" t="s">
        <v>648</v>
      </c>
      <c r="C2710" t="s">
        <v>17</v>
      </c>
      <c r="D2710">
        <v>36</v>
      </c>
      <c r="E2710" t="s">
        <v>24</v>
      </c>
      <c r="F2710" t="s">
        <v>683</v>
      </c>
      <c r="G2710" t="s">
        <v>18</v>
      </c>
      <c r="I2710" t="s">
        <v>649</v>
      </c>
    </row>
    <row r="2711" spans="1:9">
      <c r="A2711" t="s">
        <v>650</v>
      </c>
      <c r="B2711" t="s">
        <v>651</v>
      </c>
      <c r="C2711" t="s">
        <v>7</v>
      </c>
      <c r="D2711">
        <v>-57.802655678047067</v>
      </c>
      <c r="E2711" t="s">
        <v>104</v>
      </c>
      <c r="F2711" t="s">
        <v>683</v>
      </c>
      <c r="G2711" t="s">
        <v>18</v>
      </c>
      <c r="I2711" t="s">
        <v>652</v>
      </c>
    </row>
    <row r="2714" spans="1:9">
      <c r="A2714" t="s">
        <v>0</v>
      </c>
      <c r="B2714" s="3" t="s">
        <v>653</v>
      </c>
    </row>
    <row r="2715" spans="1:9">
      <c r="A2715" t="s">
        <v>3</v>
      </c>
      <c r="B2715" s="3" t="s">
        <v>654</v>
      </c>
    </row>
    <row r="2716" spans="1:9">
      <c r="A2716" t="s">
        <v>9</v>
      </c>
      <c r="B2716" s="3" t="s">
        <v>655</v>
      </c>
    </row>
    <row r="2717" spans="1:9">
      <c r="A2717" t="s">
        <v>1</v>
      </c>
      <c r="B2717" s="3" t="s">
        <v>104</v>
      </c>
    </row>
    <row r="2718" spans="1:9">
      <c r="A2718" t="s">
        <v>2</v>
      </c>
      <c r="B2718" s="3">
        <v>1</v>
      </c>
    </row>
    <row r="2719" spans="1:9">
      <c r="A2719" t="s">
        <v>6</v>
      </c>
      <c r="B2719" s="3" t="s">
        <v>6</v>
      </c>
    </row>
    <row r="2720" spans="1:9">
      <c r="A2720" t="s">
        <v>10</v>
      </c>
    </row>
    <row r="2721" spans="1:9">
      <c r="A2721" t="s">
        <v>11</v>
      </c>
      <c r="B2721" s="3" t="s">
        <v>3</v>
      </c>
      <c r="C2721" t="s">
        <v>6</v>
      </c>
      <c r="D2721" t="s">
        <v>12</v>
      </c>
      <c r="E2721" t="s">
        <v>1</v>
      </c>
      <c r="F2721" t="s">
        <v>116</v>
      </c>
      <c r="G2721" t="s">
        <v>4</v>
      </c>
      <c r="H2721" t="s">
        <v>13</v>
      </c>
      <c r="I2721" t="s">
        <v>9</v>
      </c>
    </row>
    <row r="2722" spans="1:9">
      <c r="A2722" t="s">
        <v>653</v>
      </c>
      <c r="B2722" s="3" t="s">
        <v>654</v>
      </c>
      <c r="C2722" t="s">
        <v>6</v>
      </c>
      <c r="D2722">
        <v>1</v>
      </c>
      <c r="E2722" t="s">
        <v>104</v>
      </c>
      <c r="F2722" t="s">
        <v>635</v>
      </c>
      <c r="G2722" t="s">
        <v>15</v>
      </c>
    </row>
    <row r="2723" spans="1:9">
      <c r="A2723" t="s">
        <v>587</v>
      </c>
      <c r="C2723" t="s">
        <v>586</v>
      </c>
      <c r="D2723">
        <v>5000</v>
      </c>
      <c r="F2723" t="s">
        <v>537</v>
      </c>
      <c r="G2723" t="s">
        <v>27</v>
      </c>
      <c r="H2723" t="s">
        <v>584</v>
      </c>
    </row>
    <row r="2724" spans="1:9">
      <c r="A2724" t="s">
        <v>585</v>
      </c>
      <c r="C2724" t="s">
        <v>586</v>
      </c>
      <c r="D2724">
        <v>5000</v>
      </c>
      <c r="F2724" t="s">
        <v>537</v>
      </c>
      <c r="G2724" t="s">
        <v>27</v>
      </c>
      <c r="H2724" t="s">
        <v>584</v>
      </c>
    </row>
    <row r="2725" spans="1:9">
      <c r="A2725" t="s">
        <v>656</v>
      </c>
      <c r="C2725" t="s">
        <v>583</v>
      </c>
      <c r="D2725">
        <v>2320.5859969558596</v>
      </c>
      <c r="F2725" t="s">
        <v>537</v>
      </c>
      <c r="G2725" t="s">
        <v>27</v>
      </c>
      <c r="H2725" t="s">
        <v>584</v>
      </c>
      <c r="I2725" t="s">
        <v>657</v>
      </c>
    </row>
    <row r="2726" spans="1:9">
      <c r="A2726" t="s">
        <v>573</v>
      </c>
      <c r="B2726" s="3" t="s">
        <v>574</v>
      </c>
      <c r="C2726" t="s">
        <v>7</v>
      </c>
      <c r="D2726">
        <v>7000</v>
      </c>
      <c r="E2726" t="s">
        <v>24</v>
      </c>
      <c r="F2726" t="s">
        <v>518</v>
      </c>
      <c r="G2726" t="s">
        <v>18</v>
      </c>
      <c r="I2726" t="s">
        <v>658</v>
      </c>
    </row>
    <row r="2727" spans="1:9">
      <c r="A2727" t="s">
        <v>659</v>
      </c>
      <c r="B2727" s="3" t="s">
        <v>660</v>
      </c>
      <c r="C2727" t="s">
        <v>7</v>
      </c>
      <c r="D2727">
        <v>3000</v>
      </c>
      <c r="E2727" t="s">
        <v>24</v>
      </c>
      <c r="F2727" t="s">
        <v>518</v>
      </c>
      <c r="G2727" t="s">
        <v>18</v>
      </c>
      <c r="I2727" t="s">
        <v>658</v>
      </c>
    </row>
    <row r="2728" spans="1:9">
      <c r="A2728" t="s">
        <v>639</v>
      </c>
      <c r="B2728" s="3" t="s">
        <v>640</v>
      </c>
      <c r="C2728" t="s">
        <v>7</v>
      </c>
      <c r="D2728">
        <v>1000000</v>
      </c>
      <c r="E2728" t="s">
        <v>270</v>
      </c>
      <c r="F2728" t="s">
        <v>518</v>
      </c>
      <c r="G2728" t="s">
        <v>18</v>
      </c>
    </row>
    <row r="2729" spans="1:9">
      <c r="A2729" t="s">
        <v>661</v>
      </c>
      <c r="B2729" s="3" t="s">
        <v>662</v>
      </c>
      <c r="C2729" t="s">
        <v>7</v>
      </c>
      <c r="D2729">
        <v>300000</v>
      </c>
      <c r="E2729" t="s">
        <v>24</v>
      </c>
      <c r="F2729" t="s">
        <v>518</v>
      </c>
      <c r="G2729" t="s">
        <v>18</v>
      </c>
    </row>
    <row r="2730" spans="1:9">
      <c r="A2730" t="s">
        <v>541</v>
      </c>
      <c r="B2730" s="3" t="s">
        <v>542</v>
      </c>
      <c r="C2730" t="s">
        <v>7</v>
      </c>
      <c r="D2730">
        <v>500000</v>
      </c>
      <c r="E2730" t="s">
        <v>104</v>
      </c>
      <c r="F2730" t="s">
        <v>518</v>
      </c>
      <c r="G2730" t="s">
        <v>18</v>
      </c>
    </row>
    <row r="2731" spans="1:9">
      <c r="A2731" t="s">
        <v>663</v>
      </c>
      <c r="B2731" s="3" t="s">
        <v>664</v>
      </c>
      <c r="C2731" t="s">
        <v>7</v>
      </c>
      <c r="D2731">
        <v>4500000</v>
      </c>
      <c r="E2731" t="s">
        <v>104</v>
      </c>
      <c r="F2731" t="s">
        <v>518</v>
      </c>
      <c r="G2731" t="s">
        <v>18</v>
      </c>
    </row>
    <row r="2732" spans="1:9">
      <c r="A2732" t="s">
        <v>576</v>
      </c>
      <c r="B2732" s="3" t="s">
        <v>577</v>
      </c>
      <c r="C2732" t="s">
        <v>7</v>
      </c>
      <c r="D2732">
        <v>-270000</v>
      </c>
      <c r="E2732" t="s">
        <v>104</v>
      </c>
      <c r="F2732" t="s">
        <v>518</v>
      </c>
      <c r="G2732" t="s">
        <v>18</v>
      </c>
      <c r="I2732" t="s">
        <v>665</v>
      </c>
    </row>
    <row r="2733" spans="1:9">
      <c r="A2733" t="s">
        <v>666</v>
      </c>
      <c r="B2733" s="3" t="s">
        <v>667</v>
      </c>
      <c r="C2733" t="s">
        <v>7</v>
      </c>
      <c r="D2733">
        <v>-5400000</v>
      </c>
      <c r="E2733" t="s">
        <v>104</v>
      </c>
      <c r="F2733" t="s">
        <v>518</v>
      </c>
      <c r="G2733" t="s">
        <v>18</v>
      </c>
    </row>
    <row r="2734" spans="1:9">
      <c r="A2734" t="s">
        <v>668</v>
      </c>
      <c r="B2734" s="3" t="s">
        <v>669</v>
      </c>
      <c r="C2734" t="s">
        <v>7</v>
      </c>
      <c r="D2734">
        <v>-3000</v>
      </c>
      <c r="E2734" t="s">
        <v>24</v>
      </c>
      <c r="F2734" t="s">
        <v>518</v>
      </c>
      <c r="G2734" t="s">
        <v>18</v>
      </c>
    </row>
    <row r="2736" spans="1:9">
      <c r="A2736" t="s">
        <v>0</v>
      </c>
      <c r="B2736" s="3" t="s">
        <v>670</v>
      </c>
    </row>
    <row r="2737" spans="1:9">
      <c r="A2737" t="s">
        <v>3</v>
      </c>
      <c r="B2737" s="3" t="s">
        <v>671</v>
      </c>
    </row>
    <row r="2738" spans="1:9">
      <c r="A2738" t="s">
        <v>9</v>
      </c>
      <c r="B2738" s="3" t="s">
        <v>672</v>
      </c>
    </row>
    <row r="2739" spans="1:9">
      <c r="A2739" t="s">
        <v>1</v>
      </c>
      <c r="B2739" s="3" t="s">
        <v>104</v>
      </c>
    </row>
    <row r="2740" spans="1:9">
      <c r="A2740" t="s">
        <v>2</v>
      </c>
      <c r="B2740" s="3">
        <v>1</v>
      </c>
    </row>
    <row r="2741" spans="1:9">
      <c r="A2741" t="s">
        <v>6</v>
      </c>
      <c r="B2741" s="3" t="s">
        <v>6</v>
      </c>
    </row>
    <row r="2742" spans="1:9">
      <c r="A2742" t="s">
        <v>10</v>
      </c>
    </row>
    <row r="2743" spans="1:9">
      <c r="A2743" t="s">
        <v>11</v>
      </c>
      <c r="B2743" s="3" t="s">
        <v>3</v>
      </c>
      <c r="C2743" t="s">
        <v>6</v>
      </c>
      <c r="D2743" t="s">
        <v>12</v>
      </c>
      <c r="E2743" t="s">
        <v>1</v>
      </c>
      <c r="F2743" t="s">
        <v>116</v>
      </c>
      <c r="G2743" t="s">
        <v>4</v>
      </c>
      <c r="H2743" t="s">
        <v>13</v>
      </c>
      <c r="I2743" t="s">
        <v>9</v>
      </c>
    </row>
    <row r="2744" spans="1:9">
      <c r="A2744" t="s">
        <v>670</v>
      </c>
      <c r="B2744" s="3" t="s">
        <v>671</v>
      </c>
      <c r="C2744" t="s">
        <v>6</v>
      </c>
      <c r="D2744">
        <v>1</v>
      </c>
      <c r="E2744" t="s">
        <v>104</v>
      </c>
      <c r="F2744" t="s">
        <v>635</v>
      </c>
      <c r="G2744" t="s">
        <v>15</v>
      </c>
    </row>
    <row r="2745" spans="1:9">
      <c r="A2745" t="s">
        <v>639</v>
      </c>
      <c r="B2745" s="3" t="s">
        <v>640</v>
      </c>
      <c r="C2745" t="s">
        <v>7</v>
      </c>
      <c r="D2745">
        <v>51580.525353860619</v>
      </c>
      <c r="E2745" t="s">
        <v>270</v>
      </c>
      <c r="F2745" t="s">
        <v>518</v>
      </c>
      <c r="G2745" t="s">
        <v>18</v>
      </c>
    </row>
    <row r="2748" spans="1:9">
      <c r="A2748" t="s">
        <v>0</v>
      </c>
      <c r="B2748" t="s">
        <v>689</v>
      </c>
    </row>
    <row r="2749" spans="1:9">
      <c r="A2749" t="s">
        <v>3</v>
      </c>
      <c r="B2749" t="s">
        <v>690</v>
      </c>
    </row>
    <row r="2750" spans="1:9">
      <c r="A2750" t="s">
        <v>9</v>
      </c>
      <c r="B2750" t="s">
        <v>691</v>
      </c>
    </row>
    <row r="2751" spans="1:9">
      <c r="A2751" t="s">
        <v>1</v>
      </c>
      <c r="B2751" t="s">
        <v>104</v>
      </c>
    </row>
    <row r="2752" spans="1:9">
      <c r="A2752" t="s">
        <v>2</v>
      </c>
      <c r="B2752">
        <v>1</v>
      </c>
    </row>
    <row r="2753" spans="1:9">
      <c r="A2753" t="s">
        <v>6</v>
      </c>
      <c r="B2753" t="s">
        <v>6</v>
      </c>
    </row>
    <row r="2754" spans="1:9">
      <c r="A2754" t="s">
        <v>10</v>
      </c>
      <c r="B2754"/>
    </row>
    <row r="2755" spans="1:9">
      <c r="A2755" t="s">
        <v>11</v>
      </c>
      <c r="B2755" t="s">
        <v>3</v>
      </c>
      <c r="C2755" t="s">
        <v>6</v>
      </c>
      <c r="D2755" t="s">
        <v>12</v>
      </c>
      <c r="E2755" t="s">
        <v>1</v>
      </c>
      <c r="F2755" t="s">
        <v>116</v>
      </c>
      <c r="G2755" t="s">
        <v>4</v>
      </c>
      <c r="H2755" t="s">
        <v>13</v>
      </c>
      <c r="I2755" t="s">
        <v>9</v>
      </c>
    </row>
    <row r="2756" spans="1:9">
      <c r="A2756" t="s">
        <v>689</v>
      </c>
      <c r="B2756" t="s">
        <v>690</v>
      </c>
      <c r="C2756" t="s">
        <v>6</v>
      </c>
      <c r="D2756">
        <v>1</v>
      </c>
      <c r="E2756" t="s">
        <v>104</v>
      </c>
      <c r="F2756" t="s">
        <v>635</v>
      </c>
      <c r="G2756" t="s">
        <v>15</v>
      </c>
    </row>
    <row r="2757" spans="1:9">
      <c r="A2757" t="s">
        <v>673</v>
      </c>
      <c r="B2757" t="s">
        <v>674</v>
      </c>
      <c r="C2757" t="s">
        <v>6</v>
      </c>
      <c r="D2757">
        <v>2</v>
      </c>
      <c r="E2757" t="s">
        <v>104</v>
      </c>
      <c r="F2757" t="s">
        <v>683</v>
      </c>
      <c r="G2757" t="s">
        <v>18</v>
      </c>
      <c r="I2757" t="s">
        <v>692</v>
      </c>
    </row>
    <row r="2758" spans="1:9">
      <c r="A2758" t="s">
        <v>573</v>
      </c>
      <c r="B2758" t="s">
        <v>574</v>
      </c>
      <c r="C2758" t="s">
        <v>7</v>
      </c>
      <c r="D2758">
        <v>0</v>
      </c>
      <c r="E2758" t="s">
        <v>24</v>
      </c>
      <c r="F2758" t="s">
        <v>683</v>
      </c>
      <c r="G2758" t="s">
        <v>18</v>
      </c>
      <c r="I2758" t="s">
        <v>693</v>
      </c>
    </row>
    <row r="2759" spans="1:9">
      <c r="A2759" t="s">
        <v>587</v>
      </c>
      <c r="B2759"/>
      <c r="C2759" t="s">
        <v>586</v>
      </c>
      <c r="D2759">
        <v>500</v>
      </c>
      <c r="F2759" t="s">
        <v>694</v>
      </c>
      <c r="G2759" t="s">
        <v>27</v>
      </c>
      <c r="H2759" t="s">
        <v>584</v>
      </c>
      <c r="I2759" t="s">
        <v>675</v>
      </c>
    </row>
    <row r="2760" spans="1:9">
      <c r="A2760" t="s">
        <v>585</v>
      </c>
      <c r="B2760"/>
      <c r="C2760" t="s">
        <v>586</v>
      </c>
      <c r="D2760">
        <v>500</v>
      </c>
      <c r="F2760" t="s">
        <v>694</v>
      </c>
      <c r="G2760" t="s">
        <v>27</v>
      </c>
      <c r="H2760" t="s">
        <v>584</v>
      </c>
      <c r="I2760" t="s">
        <v>675</v>
      </c>
    </row>
    <row r="2761" spans="1:9">
      <c r="A2761" t="s">
        <v>582</v>
      </c>
      <c r="B2761"/>
      <c r="C2761" t="s">
        <v>583</v>
      </c>
      <c r="D2761">
        <v>15000</v>
      </c>
      <c r="F2761" t="s">
        <v>694</v>
      </c>
      <c r="G2761" t="s">
        <v>27</v>
      </c>
      <c r="H2761" t="s">
        <v>584</v>
      </c>
      <c r="I2761" t="s">
        <v>675</v>
      </c>
    </row>
    <row r="2762" spans="1:9">
      <c r="A2762" t="s">
        <v>620</v>
      </c>
      <c r="B2762" t="s">
        <v>621</v>
      </c>
      <c r="C2762" t="s">
        <v>7</v>
      </c>
      <c r="D2762">
        <v>543977.71433816536</v>
      </c>
      <c r="E2762" t="s">
        <v>104</v>
      </c>
      <c r="F2762" t="s">
        <v>512</v>
      </c>
      <c r="G2762" t="s">
        <v>18</v>
      </c>
    </row>
    <row r="2763" spans="1:9">
      <c r="A2763" t="s">
        <v>680</v>
      </c>
      <c r="B2763" t="s">
        <v>681</v>
      </c>
      <c r="C2763" t="s">
        <v>331</v>
      </c>
      <c r="D2763">
        <v>12000</v>
      </c>
      <c r="E2763" t="s">
        <v>104</v>
      </c>
      <c r="F2763" t="s">
        <v>635</v>
      </c>
      <c r="G2763" t="s">
        <v>18</v>
      </c>
    </row>
    <row r="2764" spans="1:9">
      <c r="A2764" t="s">
        <v>686</v>
      </c>
      <c r="B2764" t="s">
        <v>687</v>
      </c>
      <c r="C2764" t="s">
        <v>331</v>
      </c>
      <c r="D2764">
        <v>42000</v>
      </c>
      <c r="E2764" t="s">
        <v>104</v>
      </c>
      <c r="F2764" t="s">
        <v>635</v>
      </c>
      <c r="G2764" t="s">
        <v>18</v>
      </c>
    </row>
    <row r="2765" spans="1:9">
      <c r="A2765" t="s">
        <v>670</v>
      </c>
      <c r="B2765" t="s">
        <v>671</v>
      </c>
      <c r="C2765" t="s">
        <v>6</v>
      </c>
      <c r="D2765">
        <v>1</v>
      </c>
      <c r="E2765" t="s">
        <v>104</v>
      </c>
      <c r="F2765" t="s">
        <v>635</v>
      </c>
      <c r="G2765" t="s">
        <v>18</v>
      </c>
    </row>
    <row r="2768" spans="1:9">
      <c r="A2768" t="s">
        <v>0</v>
      </c>
      <c r="B2768" s="3" t="s">
        <v>676</v>
      </c>
    </row>
    <row r="2769" spans="1:9">
      <c r="A2769" t="s">
        <v>3</v>
      </c>
      <c r="B2769" s="3" t="s">
        <v>145</v>
      </c>
    </row>
    <row r="2770" spans="1:9">
      <c r="A2770" t="s">
        <v>9</v>
      </c>
      <c r="B2770" s="3" t="s">
        <v>677</v>
      </c>
    </row>
    <row r="2771" spans="1:9">
      <c r="A2771" t="s">
        <v>1</v>
      </c>
      <c r="B2771" s="3" t="s">
        <v>104</v>
      </c>
    </row>
    <row r="2772" spans="1:9">
      <c r="A2772" t="s">
        <v>2</v>
      </c>
      <c r="B2772" s="3">
        <v>1</v>
      </c>
    </row>
    <row r="2773" spans="1:9">
      <c r="A2773" t="s">
        <v>6</v>
      </c>
      <c r="B2773" s="3" t="s">
        <v>125</v>
      </c>
    </row>
    <row r="2774" spans="1:9">
      <c r="A2774" t="s">
        <v>10</v>
      </c>
    </row>
    <row r="2775" spans="1:9">
      <c r="A2775" t="s">
        <v>11</v>
      </c>
      <c r="B2775" s="3" t="s">
        <v>3</v>
      </c>
      <c r="C2775" t="s">
        <v>6</v>
      </c>
      <c r="D2775" t="s">
        <v>12</v>
      </c>
      <c r="E2775" t="s">
        <v>1</v>
      </c>
      <c r="F2775" t="s">
        <v>116</v>
      </c>
      <c r="G2775" t="s">
        <v>4</v>
      </c>
      <c r="H2775" t="s">
        <v>13</v>
      </c>
      <c r="I2775" t="s">
        <v>9</v>
      </c>
    </row>
    <row r="2776" spans="1:9">
      <c r="A2776" t="s">
        <v>676</v>
      </c>
      <c r="B2776" s="3" t="s">
        <v>145</v>
      </c>
      <c r="C2776" t="s">
        <v>125</v>
      </c>
      <c r="D2776">
        <v>1</v>
      </c>
      <c r="E2776" t="s">
        <v>104</v>
      </c>
      <c r="F2776" t="s">
        <v>635</v>
      </c>
      <c r="G2776" t="s">
        <v>15</v>
      </c>
    </row>
    <row r="2777" spans="1:9">
      <c r="A2777" t="s">
        <v>689</v>
      </c>
      <c r="B2777" s="3" t="s">
        <v>690</v>
      </c>
      <c r="C2777" t="s">
        <v>6</v>
      </c>
      <c r="D2777">
        <v>1.1210128731148261E-9</v>
      </c>
      <c r="E2777" t="s">
        <v>104</v>
      </c>
      <c r="F2777" t="s">
        <v>635</v>
      </c>
      <c r="G2777" t="s">
        <v>18</v>
      </c>
    </row>
    <row r="2778" spans="1:9">
      <c r="A2778" t="s">
        <v>620</v>
      </c>
      <c r="B2778" s="3" t="s">
        <v>621</v>
      </c>
      <c r="C2778" t="s">
        <v>7</v>
      </c>
      <c r="D2778">
        <v>3.0490301023033148E-5</v>
      </c>
      <c r="E2778" t="s">
        <v>104</v>
      </c>
      <c r="F2778" t="s">
        <v>512</v>
      </c>
      <c r="G2778" t="s">
        <v>18</v>
      </c>
      <c r="I2778" t="s">
        <v>678</v>
      </c>
    </row>
  </sheetData>
  <autoFilter ref="A1:O2320" xr:uid="{00000000-0001-0000-04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98"/>
  <sheetViews>
    <sheetView workbookViewId="0"/>
  </sheetViews>
  <sheetFormatPr defaultColWidth="8.85546875" defaultRowHeight="15"/>
  <cols>
    <col min="1" max="1" width="34.42578125" bestFit="1" customWidth="1"/>
    <col min="2" max="2" width="50" customWidth="1"/>
    <col min="3" max="3" width="16.7109375" customWidth="1"/>
    <col min="4" max="4" width="22" customWidth="1"/>
    <col min="5" max="5" width="13.42578125" bestFit="1" customWidth="1"/>
    <col min="6" max="6" width="25.42578125" bestFit="1" customWidth="1"/>
    <col min="7" max="7" width="16" customWidth="1"/>
  </cols>
  <sheetData>
    <row r="1" spans="1:2">
      <c r="A1" t="s">
        <v>22</v>
      </c>
    </row>
    <row r="2" spans="1:2">
      <c r="A2" s="4" t="s">
        <v>42</v>
      </c>
    </row>
    <row r="3" spans="1:2">
      <c r="A3" t="s">
        <v>23</v>
      </c>
      <c r="B3">
        <v>1.0550558999999999E-3</v>
      </c>
    </row>
    <row r="4" spans="1:2">
      <c r="A4" t="s">
        <v>25</v>
      </c>
      <c r="B4">
        <v>3.7850000000000001</v>
      </c>
    </row>
    <row r="5" spans="1:2">
      <c r="A5" t="s">
        <v>26</v>
      </c>
      <c r="B5">
        <v>29.7</v>
      </c>
    </row>
    <row r="6" spans="1:2">
      <c r="A6" t="s">
        <v>112</v>
      </c>
      <c r="B6">
        <v>37.200000000000003</v>
      </c>
    </row>
    <row r="7" spans="1:2">
      <c r="A7" t="s">
        <v>113</v>
      </c>
      <c r="B7">
        <v>43</v>
      </c>
    </row>
    <row r="8" spans="1:2">
      <c r="A8" t="s">
        <v>29</v>
      </c>
      <c r="B8">
        <v>0.4536</v>
      </c>
    </row>
    <row r="9" spans="1:2">
      <c r="A9" t="s">
        <v>31</v>
      </c>
      <c r="B9">
        <v>1.61</v>
      </c>
    </row>
    <row r="10" spans="1:2">
      <c r="A10" t="s">
        <v>32</v>
      </c>
      <c r="B10">
        <f>1/39.37</f>
        <v>2.5400050800101603E-2</v>
      </c>
    </row>
    <row r="11" spans="1:2">
      <c r="A11" t="s">
        <v>33</v>
      </c>
      <c r="B11">
        <v>10000</v>
      </c>
    </row>
    <row r="12" spans="1:2">
      <c r="A12" t="s">
        <v>40</v>
      </c>
      <c r="B12">
        <v>0.78900000000000003</v>
      </c>
    </row>
    <row r="13" spans="1:2">
      <c r="A13" t="s">
        <v>41</v>
      </c>
      <c r="B13">
        <v>4047</v>
      </c>
    </row>
    <row r="14" spans="1:2">
      <c r="A14" t="s">
        <v>92</v>
      </c>
      <c r="B14">
        <v>0.52200000000000002</v>
      </c>
    </row>
    <row r="15" spans="1:2">
      <c r="A15" t="s">
        <v>93</v>
      </c>
      <c r="B15">
        <f>B14*(44/12)</f>
        <v>1.9139999999999999</v>
      </c>
    </row>
    <row r="16" spans="1:2">
      <c r="A16" t="s">
        <v>109</v>
      </c>
      <c r="B16">
        <v>2.85</v>
      </c>
    </row>
    <row r="17" spans="1:10">
      <c r="A17" t="s">
        <v>114</v>
      </c>
      <c r="B17">
        <v>3.15</v>
      </c>
    </row>
    <row r="18" spans="1:10">
      <c r="A18" t="s">
        <v>115</v>
      </c>
      <c r="B18">
        <v>0.90700000000000003</v>
      </c>
    </row>
    <row r="19" spans="1:10">
      <c r="A19" s="4" t="s">
        <v>64</v>
      </c>
      <c r="G19" s="3"/>
    </row>
    <row r="20" spans="1:10">
      <c r="A20" s="4" t="s">
        <v>14</v>
      </c>
      <c r="G20" s="3"/>
    </row>
    <row r="21" spans="1:10">
      <c r="B21" s="5"/>
      <c r="C21" s="6" t="s">
        <v>43</v>
      </c>
      <c r="D21" s="7"/>
      <c r="E21" s="8"/>
      <c r="F21" s="8"/>
      <c r="G21" s="8"/>
      <c r="H21" s="19"/>
    </row>
    <row r="22" spans="1:10">
      <c r="B22" s="9"/>
      <c r="C22" s="10" t="s">
        <v>44</v>
      </c>
      <c r="D22" s="11" t="s">
        <v>45</v>
      </c>
      <c r="E22" s="11" t="s">
        <v>46</v>
      </c>
      <c r="F22" s="11" t="s">
        <v>47</v>
      </c>
      <c r="G22" s="11" t="s">
        <v>48</v>
      </c>
      <c r="H22" s="20" t="s">
        <v>49</v>
      </c>
    </row>
    <row r="23" spans="1:10">
      <c r="B23" s="12" t="s">
        <v>50</v>
      </c>
      <c r="C23" s="13">
        <v>1.7889999999999999</v>
      </c>
      <c r="D23" s="13">
        <v>1.7889999999999999</v>
      </c>
      <c r="E23" s="13">
        <v>1.7889999999999999</v>
      </c>
      <c r="F23" s="13">
        <v>1.7889999999999999</v>
      </c>
      <c r="G23" s="13">
        <v>1.7889999999999999</v>
      </c>
      <c r="H23" s="13">
        <v>1.7889999999999999</v>
      </c>
    </row>
    <row r="24" spans="1:10">
      <c r="B24" s="12" t="s">
        <v>51</v>
      </c>
      <c r="C24" s="24">
        <v>80</v>
      </c>
      <c r="D24" s="26">
        <v>80</v>
      </c>
      <c r="E24" s="26">
        <v>80</v>
      </c>
      <c r="F24" s="26">
        <v>80</v>
      </c>
      <c r="G24" s="26">
        <v>80</v>
      </c>
      <c r="H24" s="26">
        <v>80</v>
      </c>
    </row>
    <row r="25" spans="1:10">
      <c r="B25" s="34" t="s">
        <v>91</v>
      </c>
      <c r="C25" s="17">
        <f>8576/1000</f>
        <v>8.5760000000000005</v>
      </c>
      <c r="D25" s="17">
        <f>8823/1000</f>
        <v>8.8230000000000004</v>
      </c>
      <c r="E25" s="17">
        <f>7294/1000</f>
        <v>7.2939999999999996</v>
      </c>
      <c r="F25" s="17">
        <f>7451/1000</f>
        <v>7.4509999999999996</v>
      </c>
      <c r="G25" s="18">
        <f>7310/1000</f>
        <v>7.31</v>
      </c>
      <c r="H25" s="21">
        <f>7874/1000</f>
        <v>7.8739999999999997</v>
      </c>
    </row>
    <row r="27" spans="1:10">
      <c r="C27" t="s">
        <v>8</v>
      </c>
      <c r="G27" s="3"/>
    </row>
    <row r="28" spans="1:10">
      <c r="A28" t="s">
        <v>53</v>
      </c>
      <c r="B28">
        <v>2.36</v>
      </c>
      <c r="C28" t="s">
        <v>19</v>
      </c>
      <c r="J28">
        <f>1/0.013</f>
        <v>76.92307692307692</v>
      </c>
    </row>
    <row r="29" spans="1:10">
      <c r="A29" t="s">
        <v>54</v>
      </c>
      <c r="B29">
        <v>0.107</v>
      </c>
      <c r="C29" t="s">
        <v>52</v>
      </c>
    </row>
    <row r="30" spans="1:10">
      <c r="A30" t="s">
        <v>55</v>
      </c>
      <c r="B30">
        <v>0.82</v>
      </c>
      <c r="G30" s="3"/>
    </row>
    <row r="32" spans="1:10">
      <c r="A32" t="s">
        <v>83</v>
      </c>
    </row>
    <row r="33" spans="1:8">
      <c r="A33" t="s">
        <v>56</v>
      </c>
    </row>
    <row r="34" spans="1:8">
      <c r="A34" t="s">
        <v>84</v>
      </c>
      <c r="B34" s="2">
        <f>((1/C24)/(B4*B12))*1000</f>
        <v>4.1856906305826644</v>
      </c>
      <c r="C34" t="s">
        <v>34</v>
      </c>
      <c r="F34" s="4" t="s">
        <v>65</v>
      </c>
      <c r="G34" s="4" t="s">
        <v>66</v>
      </c>
    </row>
    <row r="35" spans="1:8">
      <c r="A35" t="s">
        <v>57</v>
      </c>
      <c r="D35" t="s">
        <v>60</v>
      </c>
      <c r="F35" t="s">
        <v>62</v>
      </c>
      <c r="G35" t="s">
        <v>67</v>
      </c>
    </row>
    <row r="36" spans="1:8">
      <c r="A36" t="s">
        <v>63</v>
      </c>
      <c r="B36">
        <v>1</v>
      </c>
      <c r="C36" t="s">
        <v>34</v>
      </c>
      <c r="D36" s="2">
        <f>B36*($B$28/$B$4*$B$12*$B$30)</f>
        <v>0.40340100396301187</v>
      </c>
      <c r="E36" s="22" t="s">
        <v>61</v>
      </c>
      <c r="F36" s="23">
        <f>D36/(D36+D37)</f>
        <v>0.86288984699852078</v>
      </c>
      <c r="G36" s="23">
        <f>(B36*$B$5)/((B36*$B$5)+(B37*3.6))</f>
        <v>0.93230283093081379</v>
      </c>
    </row>
    <row r="37" spans="1:8">
      <c r="A37" t="s">
        <v>58</v>
      </c>
      <c r="B37" s="2">
        <f>C23/(B4*B12)</f>
        <v>0.59905604304899096</v>
      </c>
      <c r="C37" t="s">
        <v>59</v>
      </c>
      <c r="D37" s="2">
        <f>B37*$B$29</f>
        <v>6.4098996606242034E-2</v>
      </c>
      <c r="E37" s="22" t="s">
        <v>61</v>
      </c>
      <c r="F37" s="23">
        <f>D37/(D37+D36)</f>
        <v>0.13711015300147925</v>
      </c>
      <c r="G37" s="23">
        <f>1-G36</f>
        <v>6.7697169069186214E-2</v>
      </c>
    </row>
    <row r="40" spans="1:8">
      <c r="B40" s="5"/>
      <c r="C40" s="6" t="s">
        <v>43</v>
      </c>
      <c r="D40" s="12"/>
      <c r="E40" s="28"/>
      <c r="F40" s="28"/>
      <c r="G40" s="28"/>
      <c r="H40" s="28"/>
    </row>
    <row r="41" spans="1:8">
      <c r="B41" s="9"/>
      <c r="C41" s="10" t="s">
        <v>69</v>
      </c>
      <c r="D41" s="29"/>
      <c r="E41" s="28"/>
      <c r="F41" s="28"/>
      <c r="G41" s="28"/>
      <c r="H41" s="28"/>
    </row>
    <row r="42" spans="1:8">
      <c r="B42" s="12" t="s">
        <v>50</v>
      </c>
      <c r="C42" s="48">
        <v>4.673</v>
      </c>
      <c r="D42" s="13"/>
      <c r="E42" s="14"/>
      <c r="F42" s="14"/>
      <c r="G42" s="15"/>
      <c r="H42" s="15"/>
    </row>
    <row r="43" spans="1:8">
      <c r="B43" s="12" t="s">
        <v>85</v>
      </c>
      <c r="C43" s="24">
        <v>21.4</v>
      </c>
      <c r="D43" s="24"/>
      <c r="E43" s="26"/>
      <c r="F43" s="26"/>
      <c r="G43" s="27"/>
      <c r="H43" s="27"/>
    </row>
    <row r="44" spans="1:8">
      <c r="B44" s="34" t="s">
        <v>91</v>
      </c>
      <c r="C44" s="35">
        <f>14776/1000</f>
        <v>14.776</v>
      </c>
      <c r="D44" s="26"/>
      <c r="E44" s="26"/>
      <c r="F44" s="26"/>
      <c r="G44" s="27"/>
      <c r="H44" s="27"/>
    </row>
    <row r="47" spans="1:8">
      <c r="A47" t="s">
        <v>74</v>
      </c>
    </row>
    <row r="48" spans="1:8">
      <c r="A48" t="s">
        <v>56</v>
      </c>
    </row>
    <row r="49" spans="1:7">
      <c r="A49" t="s">
        <v>86</v>
      </c>
      <c r="B49" s="2">
        <f>((1/B18/C43)/(B4*B12))*1000</f>
        <v>17.251865060258897</v>
      </c>
      <c r="C49" t="s">
        <v>34</v>
      </c>
      <c r="F49" s="4" t="s">
        <v>65</v>
      </c>
      <c r="G49" s="4" t="s">
        <v>66</v>
      </c>
    </row>
    <row r="50" spans="1:7">
      <c r="A50" t="s">
        <v>57</v>
      </c>
      <c r="D50" t="s">
        <v>60</v>
      </c>
      <c r="F50" t="s">
        <v>62</v>
      </c>
      <c r="G50" t="s">
        <v>67</v>
      </c>
    </row>
    <row r="51" spans="1:7">
      <c r="A51" t="s">
        <v>63</v>
      </c>
      <c r="B51">
        <v>1</v>
      </c>
      <c r="C51" t="s">
        <v>34</v>
      </c>
      <c r="D51" s="2">
        <f>B51*($B$28/$B$4*$B$12*$B$30)</f>
        <v>0.40340100396301187</v>
      </c>
      <c r="E51" s="22" t="s">
        <v>61</v>
      </c>
      <c r="F51" s="23">
        <f>D51/(D51+D52)</f>
        <v>0.70668915382489195</v>
      </c>
      <c r="G51" s="23">
        <f>(B51*$B$5)/((B51*$B$5)+(B52*3.6))</f>
        <v>0.84056914053315945</v>
      </c>
    </row>
    <row r="52" spans="1:7">
      <c r="A52" t="s">
        <v>58</v>
      </c>
      <c r="B52" s="2">
        <f>C42/(B4*B12)</f>
        <v>1.5647785853370233</v>
      </c>
      <c r="C52" t="s">
        <v>59</v>
      </c>
      <c r="D52" s="2">
        <f>B52*$B$29</f>
        <v>0.16743130863106148</v>
      </c>
      <c r="E52" s="22" t="s">
        <v>61</v>
      </c>
      <c r="F52" s="23">
        <f>D52/(D52+D51)</f>
        <v>0.29331084617510816</v>
      </c>
      <c r="G52" s="23">
        <f>1-G51</f>
        <v>0.15943085946684055</v>
      </c>
    </row>
    <row r="56" spans="1:7">
      <c r="B56" s="5"/>
      <c r="C56" s="6" t="s">
        <v>43</v>
      </c>
      <c r="D56" s="7"/>
      <c r="E56" s="7"/>
      <c r="F56" s="32"/>
    </row>
    <row r="57" spans="1:7">
      <c r="B57" s="9"/>
      <c r="C57" s="10" t="s">
        <v>87</v>
      </c>
      <c r="D57" t="s">
        <v>88</v>
      </c>
      <c r="E57" t="s">
        <v>89</v>
      </c>
      <c r="F57" s="33" t="s">
        <v>90</v>
      </c>
    </row>
    <row r="58" spans="1:7">
      <c r="B58" s="12" t="s">
        <v>50</v>
      </c>
      <c r="C58" s="24">
        <v>0</v>
      </c>
      <c r="D58" s="7">
        <v>0</v>
      </c>
      <c r="E58" s="7">
        <v>13.59</v>
      </c>
      <c r="F58" s="32">
        <v>2.4900000000000002</v>
      </c>
    </row>
    <row r="59" spans="1:7">
      <c r="B59" s="12" t="s">
        <v>85</v>
      </c>
      <c r="C59" s="25">
        <f>2.84/B10</f>
        <v>111.81079999999999</v>
      </c>
      <c r="D59" s="30">
        <f>2.81/B10</f>
        <v>110.62969999999999</v>
      </c>
      <c r="E59" s="2">
        <v>9.57</v>
      </c>
      <c r="F59" s="33">
        <v>17.21</v>
      </c>
    </row>
    <row r="60" spans="1:7">
      <c r="B60" s="12" t="s">
        <v>96</v>
      </c>
      <c r="C60" s="36">
        <f>5.63*B8</f>
        <v>2.5537679999999998</v>
      </c>
      <c r="D60">
        <v>5.63</v>
      </c>
      <c r="E60">
        <v>0</v>
      </c>
      <c r="F60" s="33">
        <v>0</v>
      </c>
    </row>
    <row r="61" spans="1:7">
      <c r="B61" s="46" t="s">
        <v>97</v>
      </c>
      <c r="C61" s="2"/>
      <c r="E61">
        <v>16.3</v>
      </c>
      <c r="F61" s="33"/>
    </row>
    <row r="62" spans="1:7">
      <c r="B62" s="46" t="s">
        <v>102</v>
      </c>
      <c r="C62" s="2">
        <v>0.54</v>
      </c>
      <c r="F62" s="33"/>
    </row>
    <row r="63" spans="1:7">
      <c r="B63" s="34" t="s">
        <v>91</v>
      </c>
      <c r="C63" s="31">
        <v>2.36</v>
      </c>
      <c r="D63" s="31"/>
      <c r="E63" s="37">
        <f>25362/1000</f>
        <v>25.361999999999998</v>
      </c>
      <c r="F63" s="38">
        <f>11023/1000</f>
        <v>11.023</v>
      </c>
    </row>
    <row r="64" spans="1:7">
      <c r="B64" s="39" t="s">
        <v>94</v>
      </c>
      <c r="C64" s="40">
        <v>0.84699999999999998</v>
      </c>
      <c r="D64" s="40">
        <v>0.80100000000000005</v>
      </c>
      <c r="E64" s="41">
        <v>0.98</v>
      </c>
      <c r="F64" s="42">
        <v>0.93500000000000005</v>
      </c>
    </row>
    <row r="65" spans="1:6">
      <c r="B65" s="34" t="s">
        <v>95</v>
      </c>
      <c r="C65" s="43">
        <v>0.64400000000000002</v>
      </c>
      <c r="D65" s="43">
        <v>0.60899999999999999</v>
      </c>
      <c r="E65" s="44">
        <v>0.96799999999999997</v>
      </c>
      <c r="F65" s="45">
        <v>0.90100000000000002</v>
      </c>
    </row>
    <row r="67" spans="1:6">
      <c r="C67" t="s">
        <v>99</v>
      </c>
      <c r="D67" t="s">
        <v>100</v>
      </c>
      <c r="E67" t="s">
        <v>101</v>
      </c>
    </row>
    <row r="68" spans="1:6">
      <c r="B68" t="s">
        <v>98</v>
      </c>
      <c r="C68">
        <v>3.03</v>
      </c>
      <c r="D68">
        <v>7.53</v>
      </c>
      <c r="E68">
        <v>0</v>
      </c>
    </row>
    <row r="78" spans="1:6">
      <c r="A78" s="4" t="s">
        <v>68</v>
      </c>
    </row>
    <row r="79" spans="1:6">
      <c r="A79" s="4" t="s">
        <v>14</v>
      </c>
    </row>
    <row r="81" spans="1:7">
      <c r="B81" s="9"/>
      <c r="C81" s="10" t="s">
        <v>71</v>
      </c>
      <c r="D81" s="11" t="s">
        <v>72</v>
      </c>
    </row>
    <row r="82" spans="1:7">
      <c r="B82" s="12" t="s">
        <v>73</v>
      </c>
      <c r="C82" s="24">
        <v>26.1</v>
      </c>
      <c r="D82" s="26">
        <f>(0.13*B5/B12)/3.6</f>
        <v>1.3593155893536122</v>
      </c>
    </row>
    <row r="83" spans="1:7">
      <c r="B83" s="9" t="s">
        <v>70</v>
      </c>
      <c r="C83" s="16">
        <v>85.2</v>
      </c>
      <c r="D83" s="17">
        <f>(1/0.01808)/B5/B12</f>
        <v>2.3603049725507863</v>
      </c>
    </row>
    <row r="85" spans="1:7">
      <c r="A85" t="s">
        <v>74</v>
      </c>
    </row>
    <row r="86" spans="1:7">
      <c r="A86" t="s">
        <v>56</v>
      </c>
    </row>
    <row r="87" spans="1:7">
      <c r="A87" t="s">
        <v>76</v>
      </c>
      <c r="B87">
        <v>1000</v>
      </c>
      <c r="F87" s="4" t="s">
        <v>65</v>
      </c>
      <c r="G87" s="4" t="s">
        <v>66</v>
      </c>
    </row>
    <row r="88" spans="1:7">
      <c r="A88" t="s">
        <v>75</v>
      </c>
      <c r="D88" t="s">
        <v>60</v>
      </c>
      <c r="F88" t="s">
        <v>62</v>
      </c>
      <c r="G88" t="s">
        <v>67</v>
      </c>
    </row>
    <row r="89" spans="1:7">
      <c r="A89" t="s">
        <v>77</v>
      </c>
      <c r="B89" s="27">
        <f>C83*B12</f>
        <v>67.222800000000007</v>
      </c>
      <c r="C89" t="s">
        <v>34</v>
      </c>
      <c r="D89" s="2">
        <f>B89*(B28/B4*B12*B30)</f>
        <v>27.117745009204757</v>
      </c>
      <c r="E89" s="22" t="s">
        <v>61</v>
      </c>
      <c r="F89" s="23">
        <f>D89/(D89+D90)</f>
        <v>0.90663127883451533</v>
      </c>
      <c r="G89" s="23">
        <f>(B89*$B$5)/((B89*$B$5)+(B90*3.6))</f>
        <v>0.9550533238067046</v>
      </c>
    </row>
    <row r="90" spans="1:7">
      <c r="A90" t="s">
        <v>78</v>
      </c>
      <c r="B90" s="27">
        <f>C82</f>
        <v>26.1</v>
      </c>
      <c r="C90" t="s">
        <v>59</v>
      </c>
      <c r="D90" s="2">
        <f>B90*B29</f>
        <v>2.7927</v>
      </c>
      <c r="E90" s="22" t="s">
        <v>61</v>
      </c>
      <c r="F90" s="23">
        <f>D90/(D90+D89)</f>
        <v>9.3368721165484614E-2</v>
      </c>
      <c r="G90" s="23">
        <f>1-G89</f>
        <v>4.4946676193295398E-2</v>
      </c>
    </row>
    <row r="93" spans="1:7">
      <c r="A93" t="s">
        <v>79</v>
      </c>
    </row>
    <row r="94" spans="1:7">
      <c r="A94" t="s">
        <v>56</v>
      </c>
    </row>
    <row r="95" spans="1:7">
      <c r="A95" t="s">
        <v>80</v>
      </c>
      <c r="B95">
        <v>1000</v>
      </c>
      <c r="F95" s="4" t="s">
        <v>65</v>
      </c>
      <c r="G95" s="4" t="s">
        <v>66</v>
      </c>
    </row>
    <row r="96" spans="1:7">
      <c r="A96" t="s">
        <v>75</v>
      </c>
      <c r="D96" t="s">
        <v>60</v>
      </c>
      <c r="F96" t="s">
        <v>62</v>
      </c>
      <c r="G96" t="s">
        <v>67</v>
      </c>
    </row>
    <row r="97" spans="1:7">
      <c r="A97" t="s">
        <v>77</v>
      </c>
      <c r="B97" s="27">
        <f>D83*1000</f>
        <v>2360.3049725507863</v>
      </c>
      <c r="C97" t="s">
        <v>34</v>
      </c>
      <c r="D97" s="2">
        <f>B97*(B28/B4*B12*B30)</f>
        <v>952.14939558587639</v>
      </c>
      <c r="E97" s="22" t="s">
        <v>61</v>
      </c>
      <c r="F97" s="23">
        <f>D97/(D97+D98)</f>
        <v>0.73499615836189169</v>
      </c>
      <c r="G97" s="23">
        <f>(B97*$B$5)/((B97*$B$5)+(B98*3.6))</f>
        <v>0.85854189336235043</v>
      </c>
    </row>
    <row r="98" spans="1:7">
      <c r="A98" t="s">
        <v>78</v>
      </c>
      <c r="B98" s="27">
        <f>D82*B97</f>
        <v>3208.3993448171336</v>
      </c>
      <c r="C98" t="s">
        <v>59</v>
      </c>
      <c r="D98" s="2">
        <f>B98*B29</f>
        <v>343.29872989543327</v>
      </c>
      <c r="E98" s="22" t="s">
        <v>61</v>
      </c>
      <c r="F98" s="23">
        <f>D98/(D98+D97)</f>
        <v>0.26500384163810831</v>
      </c>
      <c r="G98" s="23">
        <f>1-G97</f>
        <v>0.14145810663764957</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lci</vt:lpstr>
      <vt:lpstr>Parameters</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Treyer Karin</cp:lastModifiedBy>
  <dcterms:created xsi:type="dcterms:W3CDTF">2021-01-18T11:29:07Z</dcterms:created>
  <dcterms:modified xsi:type="dcterms:W3CDTF">2025-05-13T09:20:29Z</dcterms:modified>
</cp:coreProperties>
</file>